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oetbal\Bestuur Secretaris en Algemene Zaken\Notulen en Agenda\ALV\"/>
    </mc:Choice>
  </mc:AlternateContent>
  <xr:revisionPtr revIDLastSave="0" documentId="8_{C57041B5-6B20-4D10-9168-C38D3950FC4F}" xr6:coauthVersionLast="47" xr6:coauthVersionMax="47" xr10:uidLastSave="{00000000-0000-0000-0000-000000000000}"/>
  <bookViews>
    <workbookView xWindow="-120" yWindow="-120" windowWidth="26640" windowHeight="15090" xr2:uid="{8C39B658-573D-493F-A457-0D62EF8A28EC}"/>
  </bookViews>
  <sheets>
    <sheet name="begroting 2627" sheetId="1" r:id="rId1"/>
    <sheet name="resultaat" sheetId="2" r:id="rId2"/>
    <sheet name="detail baten" sheetId="4" r:id="rId3"/>
    <sheet name="detail lasten" sheetId="3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Print_Area" localSheetId="0">'begroting 2627'!$A$1:$AG$93</definedName>
    <definedName name="_xlnm.Print_Area" localSheetId="2">'detail baten'!$A$1:$J$39</definedName>
    <definedName name="_xlnm.Print_Area" localSheetId="3">'detail lasten'!$A$1:$M$75</definedName>
    <definedName name="_xlnm.Print_Area" localSheetId="1">resultaat!$A$1:$G$43</definedName>
    <definedName name="_xlnm.Print_Titles" localSheetId="0">'begroting 2627'!$1:$17</definedName>
    <definedName name="_xlnm.Print_Titles" localSheetId="3">'detail lasten'!$1:$5</definedName>
    <definedName name="Afschrijvingen">'[1]begroting detail'!$B$89</definedName>
    <definedName name="Bijzondere_baten">'[1]begroting detail'!$A$28</definedName>
    <definedName name="Budget">[2]Budget!$A$2:$C$140</definedName>
    <definedName name="Club_van_100">'[1]begroting detail'!$A$19</definedName>
    <definedName name="Clubblad">'[1]begroting detail'!$B$72</definedName>
    <definedName name="Contributies___donaties">'[1]begroting detail'!$A$8</definedName>
    <definedName name="Diverse_kosten">'[1]begroting detail'!$B$74</definedName>
    <definedName name="Elftallen">'[1]begroting detail'!$B$58</definedName>
    <definedName name="Entreegelden">'[1]begroting detail'!$A$13</definedName>
    <definedName name="Gebouwen">'[1]begroting detail'!$B$37</definedName>
    <definedName name="Groepen">[3]Groepen!$A$4:$C$25</definedName>
    <definedName name="Grote_Club_Actie">'[1]begroting detail'!$A$17</definedName>
    <definedName name="Kantine">'[1]begroting detail'!$A$11</definedName>
    <definedName name="KNVB_lidmaatschappen">'[1]begroting detail'!$B$65</definedName>
    <definedName name="Personeel">'[1]begroting detail'!$B$49</definedName>
    <definedName name="Rente">'[1]begroting detail'!$B$85</definedName>
    <definedName name="Representatie_PR">'[1]begroting detail'!$B$67</definedName>
    <definedName name="Slicer_cost_code">#N/A</definedName>
    <definedName name="Slicer_cost_code1">#N/A</definedName>
    <definedName name="Sponsoring">'[1]begroting detail'!$A$21</definedName>
    <definedName name="Sponsorvorm">[4]Lijsten!$A$2:$A$8</definedName>
    <definedName name="Toto_Lotto">'[1]begroting detail'!$A$15</definedName>
    <definedName name="Velden_en_terreinen">'[1]begroting detail'!$B$43</definedName>
    <definedName name="Vrijwilligersbeleid">'[1]begroting detail'!$B$54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3" i="1" l="1"/>
  <c r="C31" i="1"/>
  <c r="B26" i="4"/>
  <c r="D25" i="4"/>
  <c r="D26" i="4" s="1"/>
  <c r="B23" i="4"/>
  <c r="D22" i="4"/>
  <c r="F22" i="4" s="1"/>
  <c r="D21" i="4"/>
  <c r="F21" i="4" s="1"/>
  <c r="D20" i="4"/>
  <c r="F20" i="4" s="1"/>
  <c r="B18" i="4"/>
  <c r="D17" i="4"/>
  <c r="D18" i="4" s="1"/>
  <c r="B14" i="4"/>
  <c r="D13" i="4"/>
  <c r="D14" i="4" s="1"/>
  <c r="B11" i="4"/>
  <c r="D10" i="4"/>
  <c r="F10" i="4" s="1"/>
  <c r="D9" i="4"/>
  <c r="F9" i="4" s="1"/>
  <c r="E75" i="3"/>
  <c r="P74" i="3"/>
  <c r="N74" i="3"/>
  <c r="P73" i="3"/>
  <c r="N73" i="3"/>
  <c r="Q72" i="3"/>
  <c r="N72" i="3"/>
  <c r="I72" i="3"/>
  <c r="I75" i="3" s="1"/>
  <c r="G72" i="3"/>
  <c r="E72" i="3"/>
  <c r="C72" i="3"/>
  <c r="P71" i="3"/>
  <c r="N71" i="3"/>
  <c r="M71" i="3"/>
  <c r="K71" i="3"/>
  <c r="P70" i="3"/>
  <c r="N70" i="3"/>
  <c r="K70" i="3"/>
  <c r="M70" i="3" s="1"/>
  <c r="P69" i="3"/>
  <c r="N69" i="3"/>
  <c r="M69" i="3"/>
  <c r="K69" i="3"/>
  <c r="P68" i="3"/>
  <c r="N68" i="3"/>
  <c r="K68" i="3"/>
  <c r="M68" i="3" s="1"/>
  <c r="P67" i="3"/>
  <c r="N67" i="3"/>
  <c r="M67" i="3"/>
  <c r="K67" i="3"/>
  <c r="K72" i="3" s="1"/>
  <c r="M72" i="3" s="1"/>
  <c r="P66" i="3"/>
  <c r="N66" i="3"/>
  <c r="P65" i="3"/>
  <c r="N65" i="3"/>
  <c r="Q64" i="3"/>
  <c r="P64" i="3"/>
  <c r="N64" i="3"/>
  <c r="I64" i="3"/>
  <c r="G64" i="3"/>
  <c r="E64" i="3"/>
  <c r="C64" i="3"/>
  <c r="P63" i="3"/>
  <c r="N63" i="3"/>
  <c r="M63" i="3"/>
  <c r="K63" i="3"/>
  <c r="P62" i="3"/>
  <c r="N62" i="3"/>
  <c r="M62" i="3"/>
  <c r="K62" i="3"/>
  <c r="P61" i="3"/>
  <c r="N61" i="3"/>
  <c r="M61" i="3"/>
  <c r="K61" i="3"/>
  <c r="P60" i="3"/>
  <c r="N60" i="3"/>
  <c r="M60" i="3"/>
  <c r="K60" i="3"/>
  <c r="P59" i="3"/>
  <c r="N59" i="3"/>
  <c r="M59" i="3"/>
  <c r="K59" i="3"/>
  <c r="P58" i="3"/>
  <c r="N58" i="3"/>
  <c r="M58" i="3"/>
  <c r="K58" i="3"/>
  <c r="P57" i="3"/>
  <c r="N57" i="3"/>
  <c r="K57" i="3"/>
  <c r="M57" i="3" s="1"/>
  <c r="P56" i="3"/>
  <c r="N56" i="3"/>
  <c r="Q54" i="3"/>
  <c r="N54" i="3"/>
  <c r="I54" i="3"/>
  <c r="P54" i="3" s="1"/>
  <c r="G54" i="3"/>
  <c r="E54" i="3"/>
  <c r="C54" i="3"/>
  <c r="P53" i="3"/>
  <c r="N53" i="3"/>
  <c r="M53" i="3"/>
  <c r="K53" i="3"/>
  <c r="K54" i="3" s="1"/>
  <c r="M54" i="3" s="1"/>
  <c r="P52" i="3"/>
  <c r="N52" i="3"/>
  <c r="Q51" i="3"/>
  <c r="P51" i="3"/>
  <c r="I51" i="3"/>
  <c r="N51" i="3" s="1"/>
  <c r="G51" i="3"/>
  <c r="E51" i="3"/>
  <c r="C51" i="3"/>
  <c r="P50" i="3"/>
  <c r="N50" i="3"/>
  <c r="M50" i="3"/>
  <c r="K50" i="3"/>
  <c r="P49" i="3"/>
  <c r="N49" i="3"/>
  <c r="K49" i="3"/>
  <c r="M49" i="3" s="1"/>
  <c r="P48" i="3"/>
  <c r="N48" i="3"/>
  <c r="M48" i="3"/>
  <c r="K48" i="3"/>
  <c r="K51" i="3" s="1"/>
  <c r="P47" i="3"/>
  <c r="N47" i="3"/>
  <c r="K47" i="3"/>
  <c r="M47" i="3" s="1"/>
  <c r="M46" i="3"/>
  <c r="K46" i="3"/>
  <c r="P45" i="3"/>
  <c r="N45" i="3"/>
  <c r="K45" i="3"/>
  <c r="M45" i="3" s="1"/>
  <c r="P44" i="3"/>
  <c r="N44" i="3"/>
  <c r="M44" i="3"/>
  <c r="K44" i="3"/>
  <c r="P43" i="3"/>
  <c r="N43" i="3"/>
  <c r="Q42" i="3"/>
  <c r="I42" i="3"/>
  <c r="P42" i="3" s="1"/>
  <c r="G42" i="3"/>
  <c r="E42" i="3"/>
  <c r="C42" i="3"/>
  <c r="P41" i="3"/>
  <c r="N41" i="3"/>
  <c r="K41" i="3"/>
  <c r="M41" i="3" s="1"/>
  <c r="P40" i="3"/>
  <c r="N40" i="3"/>
  <c r="M40" i="3"/>
  <c r="K40" i="3"/>
  <c r="P39" i="3"/>
  <c r="N39" i="3"/>
  <c r="P38" i="3"/>
  <c r="N38" i="3"/>
  <c r="Q37" i="3"/>
  <c r="P37" i="3"/>
  <c r="N37" i="3"/>
  <c r="I37" i="3"/>
  <c r="G37" i="3"/>
  <c r="E37" i="3"/>
  <c r="C37" i="3"/>
  <c r="P36" i="3"/>
  <c r="N36" i="3"/>
  <c r="K36" i="3"/>
  <c r="M36" i="3" s="1"/>
  <c r="P35" i="3"/>
  <c r="N35" i="3"/>
  <c r="M35" i="3"/>
  <c r="K35" i="3"/>
  <c r="P34" i="3"/>
  <c r="N34" i="3"/>
  <c r="K34" i="3"/>
  <c r="M34" i="3" s="1"/>
  <c r="P33" i="3"/>
  <c r="N33" i="3"/>
  <c r="Q32" i="3"/>
  <c r="N32" i="3"/>
  <c r="I32" i="3"/>
  <c r="P32" i="3" s="1"/>
  <c r="G32" i="3"/>
  <c r="E32" i="3"/>
  <c r="C32" i="3"/>
  <c r="P31" i="3"/>
  <c r="N31" i="3"/>
  <c r="M31" i="3"/>
  <c r="K31" i="3"/>
  <c r="P30" i="3"/>
  <c r="N30" i="3"/>
  <c r="K30" i="3"/>
  <c r="M30" i="3" s="1"/>
  <c r="P29" i="3"/>
  <c r="N29" i="3"/>
  <c r="M29" i="3"/>
  <c r="K29" i="3"/>
  <c r="P28" i="3"/>
  <c r="N28" i="3"/>
  <c r="K28" i="3"/>
  <c r="M28" i="3" s="1"/>
  <c r="P27" i="3"/>
  <c r="N27" i="3"/>
  <c r="M27" i="3"/>
  <c r="K27" i="3"/>
  <c r="P26" i="3"/>
  <c r="N26" i="3"/>
  <c r="K26" i="3"/>
  <c r="M26" i="3" s="1"/>
  <c r="P25" i="3"/>
  <c r="N25" i="3"/>
  <c r="M25" i="3"/>
  <c r="K25" i="3"/>
  <c r="K32" i="3" s="1"/>
  <c r="M32" i="3" s="1"/>
  <c r="P24" i="3"/>
  <c r="N24" i="3"/>
  <c r="Q22" i="3"/>
  <c r="P22" i="3"/>
  <c r="L22" i="3"/>
  <c r="I22" i="3"/>
  <c r="N22" i="3" s="1"/>
  <c r="K21" i="3"/>
  <c r="M21" i="3" s="1"/>
  <c r="M20" i="3"/>
  <c r="K20" i="3"/>
  <c r="M19" i="3"/>
  <c r="K19" i="3"/>
  <c r="K22" i="3" s="1"/>
  <c r="M22" i="3" s="1"/>
  <c r="P18" i="3"/>
  <c r="N18" i="3"/>
  <c r="P17" i="3"/>
  <c r="N17" i="3"/>
  <c r="Q16" i="3"/>
  <c r="N16" i="3"/>
  <c r="I16" i="3"/>
  <c r="P16" i="3" s="1"/>
  <c r="G16" i="3"/>
  <c r="E16" i="3"/>
  <c r="C16" i="3"/>
  <c r="P15" i="3"/>
  <c r="N15" i="3"/>
  <c r="M15" i="3"/>
  <c r="K15" i="3"/>
  <c r="P14" i="3"/>
  <c r="N14" i="3"/>
  <c r="K14" i="3"/>
  <c r="M14" i="3" s="1"/>
  <c r="P13" i="3"/>
  <c r="N13" i="3"/>
  <c r="M13" i="3"/>
  <c r="K13" i="3"/>
  <c r="K16" i="3" s="1"/>
  <c r="M16" i="3" s="1"/>
  <c r="P12" i="3"/>
  <c r="N12" i="3"/>
  <c r="P11" i="3"/>
  <c r="N11" i="3"/>
  <c r="Q10" i="3"/>
  <c r="Q75" i="3" s="1"/>
  <c r="P10" i="3"/>
  <c r="N10" i="3"/>
  <c r="I10" i="3"/>
  <c r="G10" i="3"/>
  <c r="G75" i="3" s="1"/>
  <c r="E10" i="3"/>
  <c r="C10" i="3"/>
  <c r="C75" i="3" s="1"/>
  <c r="P9" i="3"/>
  <c r="N9" i="3"/>
  <c r="K9" i="3"/>
  <c r="M9" i="3" s="1"/>
  <c r="P8" i="3"/>
  <c r="N8" i="3"/>
  <c r="M8" i="3"/>
  <c r="K8" i="3"/>
  <c r="K10" i="3" s="1"/>
  <c r="F41" i="2"/>
  <c r="F40" i="2"/>
  <c r="F39" i="2"/>
  <c r="F37" i="2"/>
  <c r="J34" i="2"/>
  <c r="H34" i="2"/>
  <c r="J32" i="2"/>
  <c r="H32" i="2"/>
  <c r="D31" i="2"/>
  <c r="F31" i="2" s="1"/>
  <c r="B31" i="2"/>
  <c r="J31" i="2" s="1"/>
  <c r="J30" i="2"/>
  <c r="H30" i="2"/>
  <c r="D30" i="2"/>
  <c r="F30" i="2" s="1"/>
  <c r="B30" i="2"/>
  <c r="D29" i="2"/>
  <c r="F29" i="2" s="1"/>
  <c r="B29" i="2"/>
  <c r="B33" i="2" s="1"/>
  <c r="H28" i="2"/>
  <c r="D28" i="2"/>
  <c r="B28" i="2"/>
  <c r="J28" i="2" s="1"/>
  <c r="J27" i="2"/>
  <c r="H27" i="2"/>
  <c r="F27" i="2"/>
  <c r="D27" i="2"/>
  <c r="B27" i="2"/>
  <c r="J26" i="2"/>
  <c r="H26" i="2"/>
  <c r="J25" i="2"/>
  <c r="H25" i="2"/>
  <c r="J24" i="2"/>
  <c r="H24" i="2"/>
  <c r="J22" i="2"/>
  <c r="H22" i="2"/>
  <c r="J20" i="2"/>
  <c r="H20" i="2"/>
  <c r="D20" i="2"/>
  <c r="F20" i="2" s="1"/>
  <c r="B20" i="2"/>
  <c r="D19" i="2"/>
  <c r="F19" i="2" s="1"/>
  <c r="B19" i="2"/>
  <c r="J19" i="2" s="1"/>
  <c r="J18" i="2"/>
  <c r="H18" i="2"/>
  <c r="D18" i="2"/>
  <c r="F18" i="2" s="1"/>
  <c r="B18" i="2"/>
  <c r="B21" i="2" s="1"/>
  <c r="H14" i="2"/>
  <c r="D14" i="2"/>
  <c r="F14" i="2" s="1"/>
  <c r="B14" i="2"/>
  <c r="J14" i="2" s="1"/>
  <c r="H13" i="2"/>
  <c r="F13" i="2"/>
  <c r="D13" i="2"/>
  <c r="B13" i="2"/>
  <c r="J13" i="2" s="1"/>
  <c r="D12" i="2"/>
  <c r="F12" i="2" s="1"/>
  <c r="B12" i="2"/>
  <c r="J12" i="2" s="1"/>
  <c r="J11" i="2"/>
  <c r="F11" i="2"/>
  <c r="D11" i="2"/>
  <c r="B11" i="2"/>
  <c r="H11" i="2" s="1"/>
  <c r="J10" i="2"/>
  <c r="H10" i="2"/>
  <c r="D10" i="2"/>
  <c r="F10" i="2" s="1"/>
  <c r="B10" i="2"/>
  <c r="D9" i="2"/>
  <c r="F9" i="2" s="1"/>
  <c r="B9" i="2"/>
  <c r="J9" i="2" s="1"/>
  <c r="J8" i="2"/>
  <c r="H8" i="2"/>
  <c r="D8" i="2"/>
  <c r="F8" i="2" s="1"/>
  <c r="B8" i="2"/>
  <c r="D7" i="2"/>
  <c r="D15" i="2" s="1"/>
  <c r="B7" i="2"/>
  <c r="B15" i="2" s="1"/>
  <c r="H6" i="2"/>
  <c r="D6" i="2"/>
  <c r="F6" i="2" s="1"/>
  <c r="B6" i="2"/>
  <c r="J6" i="2" s="1"/>
  <c r="F99" i="1"/>
  <c r="E99" i="1"/>
  <c r="C99" i="1"/>
  <c r="B99" i="1"/>
  <c r="J99" i="1" s="1"/>
  <c r="M93" i="1"/>
  <c r="K93" i="1"/>
  <c r="M92" i="1"/>
  <c r="K92" i="1"/>
  <c r="S91" i="1"/>
  <c r="R91" i="1"/>
  <c r="M90" i="1"/>
  <c r="K90" i="1"/>
  <c r="P89" i="1"/>
  <c r="P93" i="1" s="1"/>
  <c r="R93" i="1" s="1"/>
  <c r="S93" i="1" s="1"/>
  <c r="M89" i="1"/>
  <c r="K89" i="1"/>
  <c r="G89" i="1"/>
  <c r="F89" i="1"/>
  <c r="E89" i="1"/>
  <c r="D89" i="1"/>
  <c r="C89" i="1"/>
  <c r="B89" i="1"/>
  <c r="J89" i="1" s="1"/>
  <c r="R88" i="1"/>
  <c r="S88" i="1" s="1"/>
  <c r="M88" i="1"/>
  <c r="K88" i="1"/>
  <c r="I88" i="1"/>
  <c r="R87" i="1"/>
  <c r="S87" i="1" s="1"/>
  <c r="M87" i="1"/>
  <c r="K87" i="1"/>
  <c r="I87" i="1"/>
  <c r="S86" i="1"/>
  <c r="R86" i="1"/>
  <c r="M86" i="1"/>
  <c r="K86" i="1"/>
  <c r="I86" i="1"/>
  <c r="R85" i="1"/>
  <c r="S85" i="1" s="1"/>
  <c r="M85" i="1"/>
  <c r="K85" i="1"/>
  <c r="I85" i="1"/>
  <c r="R84" i="1"/>
  <c r="S84" i="1" s="1"/>
  <c r="M84" i="1"/>
  <c r="K84" i="1"/>
  <c r="I84" i="1"/>
  <c r="I89" i="1" s="1"/>
  <c r="M83" i="1"/>
  <c r="K83" i="1"/>
  <c r="M82" i="1"/>
  <c r="K82" i="1"/>
  <c r="P81" i="1"/>
  <c r="R81" i="1" s="1"/>
  <c r="S81" i="1" s="1"/>
  <c r="M81" i="1"/>
  <c r="K81" i="1"/>
  <c r="F81" i="1"/>
  <c r="E81" i="1"/>
  <c r="D81" i="1"/>
  <c r="C81" i="1"/>
  <c r="B81" i="1"/>
  <c r="I80" i="1"/>
  <c r="R79" i="1"/>
  <c r="S79" i="1" s="1"/>
  <c r="M79" i="1"/>
  <c r="K79" i="1"/>
  <c r="R78" i="1"/>
  <c r="S78" i="1" s="1"/>
  <c r="M78" i="1"/>
  <c r="K78" i="1"/>
  <c r="I78" i="1"/>
  <c r="R77" i="1"/>
  <c r="S77" i="1" s="1"/>
  <c r="M77" i="1"/>
  <c r="K77" i="1"/>
  <c r="I77" i="1"/>
  <c r="R76" i="1"/>
  <c r="S76" i="1" s="1"/>
  <c r="M76" i="1"/>
  <c r="K76" i="1"/>
  <c r="H76" i="1"/>
  <c r="I76" i="1" s="1"/>
  <c r="R75" i="1"/>
  <c r="S75" i="1" s="1"/>
  <c r="M75" i="1"/>
  <c r="K75" i="1"/>
  <c r="I75" i="1"/>
  <c r="M74" i="1"/>
  <c r="K74" i="1"/>
  <c r="I74" i="1"/>
  <c r="M73" i="1"/>
  <c r="K73" i="1"/>
  <c r="R70" i="1"/>
  <c r="S70" i="1" s="1"/>
  <c r="P70" i="1"/>
  <c r="M70" i="1"/>
  <c r="K70" i="1"/>
  <c r="I70" i="1"/>
  <c r="F70" i="1"/>
  <c r="J70" i="1" s="1"/>
  <c r="E70" i="1"/>
  <c r="D70" i="1"/>
  <c r="C70" i="1"/>
  <c r="B70" i="1"/>
  <c r="R69" i="1"/>
  <c r="S69" i="1" s="1"/>
  <c r="M69" i="1"/>
  <c r="K69" i="1"/>
  <c r="I69" i="1"/>
  <c r="M68" i="1"/>
  <c r="K68" i="1"/>
  <c r="P66" i="1"/>
  <c r="R66" i="1" s="1"/>
  <c r="S66" i="1" s="1"/>
  <c r="M66" i="1"/>
  <c r="K66" i="1"/>
  <c r="F66" i="1"/>
  <c r="E66" i="1"/>
  <c r="D66" i="1"/>
  <c r="C66" i="1"/>
  <c r="S65" i="1"/>
  <c r="R65" i="1"/>
  <c r="M65" i="1"/>
  <c r="K65" i="1"/>
  <c r="I65" i="1"/>
  <c r="R64" i="1"/>
  <c r="S64" i="1" s="1"/>
  <c r="M64" i="1"/>
  <c r="K64" i="1"/>
  <c r="I64" i="1"/>
  <c r="S63" i="1"/>
  <c r="R63" i="1"/>
  <c r="M63" i="1"/>
  <c r="K63" i="1"/>
  <c r="B63" i="1"/>
  <c r="B66" i="1" s="1"/>
  <c r="J66" i="1" s="1"/>
  <c r="S62" i="1"/>
  <c r="R62" i="1"/>
  <c r="M62" i="1"/>
  <c r="K62" i="1"/>
  <c r="I62" i="1"/>
  <c r="I61" i="1"/>
  <c r="R60" i="1"/>
  <c r="S60" i="1" s="1"/>
  <c r="M60" i="1"/>
  <c r="K60" i="1"/>
  <c r="I60" i="1"/>
  <c r="R59" i="1"/>
  <c r="S59" i="1" s="1"/>
  <c r="M59" i="1"/>
  <c r="K59" i="1"/>
  <c r="I59" i="1"/>
  <c r="M58" i="1"/>
  <c r="K58" i="1"/>
  <c r="P56" i="1"/>
  <c r="R56" i="1" s="1"/>
  <c r="S56" i="1" s="1"/>
  <c r="M56" i="1"/>
  <c r="K56" i="1"/>
  <c r="E56" i="1"/>
  <c r="D56" i="1"/>
  <c r="C56" i="1"/>
  <c r="B56" i="1"/>
  <c r="R55" i="1"/>
  <c r="S55" i="1" s="1"/>
  <c r="M55" i="1"/>
  <c r="K55" i="1"/>
  <c r="I55" i="1"/>
  <c r="R54" i="1"/>
  <c r="S54" i="1" s="1"/>
  <c r="M54" i="1"/>
  <c r="K54" i="1"/>
  <c r="I54" i="1"/>
  <c r="S53" i="1"/>
  <c r="R53" i="1"/>
  <c r="M53" i="1"/>
  <c r="K53" i="1"/>
  <c r="F56" i="1"/>
  <c r="J56" i="1" s="1"/>
  <c r="M52" i="1"/>
  <c r="K52" i="1"/>
  <c r="M51" i="1"/>
  <c r="K51" i="1"/>
  <c r="P50" i="1"/>
  <c r="R50" i="1" s="1"/>
  <c r="S50" i="1" s="1"/>
  <c r="M50" i="1"/>
  <c r="K50" i="1"/>
  <c r="J50" i="1"/>
  <c r="I50" i="1"/>
  <c r="F50" i="1"/>
  <c r="E50" i="1"/>
  <c r="D50" i="1"/>
  <c r="C50" i="1"/>
  <c r="B50" i="1"/>
  <c r="R49" i="1"/>
  <c r="S49" i="1" s="1"/>
  <c r="M49" i="1"/>
  <c r="K49" i="1"/>
  <c r="I49" i="1"/>
  <c r="R48" i="1"/>
  <c r="S48" i="1" s="1"/>
  <c r="M48" i="1"/>
  <c r="K48" i="1"/>
  <c r="I48" i="1"/>
  <c r="S47" i="1"/>
  <c r="R47" i="1"/>
  <c r="M47" i="1"/>
  <c r="K47" i="1"/>
  <c r="I47" i="1"/>
  <c r="M46" i="1"/>
  <c r="K46" i="1"/>
  <c r="R44" i="1"/>
  <c r="S44" i="1" s="1"/>
  <c r="P44" i="1"/>
  <c r="M44" i="1"/>
  <c r="K44" i="1"/>
  <c r="F44" i="1"/>
  <c r="E44" i="1"/>
  <c r="D44" i="1"/>
  <c r="C44" i="1"/>
  <c r="B44" i="1"/>
  <c r="J44" i="1" s="1"/>
  <c r="R43" i="1"/>
  <c r="S43" i="1" s="1"/>
  <c r="M43" i="1"/>
  <c r="K43" i="1"/>
  <c r="I43" i="1"/>
  <c r="S42" i="1"/>
  <c r="R42" i="1"/>
  <c r="M42" i="1"/>
  <c r="K42" i="1"/>
  <c r="I42" i="1"/>
  <c r="R41" i="1"/>
  <c r="S41" i="1" s="1"/>
  <c r="M41" i="1"/>
  <c r="K41" i="1"/>
  <c r="I41" i="1"/>
  <c r="S40" i="1"/>
  <c r="R40" i="1"/>
  <c r="M40" i="1"/>
  <c r="K40" i="1"/>
  <c r="I40" i="1"/>
  <c r="R39" i="1"/>
  <c r="S39" i="1" s="1"/>
  <c r="M39" i="1"/>
  <c r="K39" i="1"/>
  <c r="I39" i="1"/>
  <c r="R38" i="1"/>
  <c r="S38" i="1" s="1"/>
  <c r="M38" i="1"/>
  <c r="K38" i="1"/>
  <c r="I38" i="1"/>
  <c r="R37" i="1"/>
  <c r="S37" i="1" s="1"/>
  <c r="M37" i="1"/>
  <c r="K37" i="1"/>
  <c r="I37" i="1"/>
  <c r="I44" i="1" s="1"/>
  <c r="M36" i="1"/>
  <c r="K36" i="1"/>
  <c r="Q34" i="1"/>
  <c r="P34" i="1"/>
  <c r="M34" i="1"/>
  <c r="K34" i="1"/>
  <c r="I33" i="1"/>
  <c r="G32" i="1"/>
  <c r="G34" i="1" s="1"/>
  <c r="G93" i="1" s="1"/>
  <c r="F32" i="1"/>
  <c r="E32" i="1"/>
  <c r="D32" i="1"/>
  <c r="D34" i="1" s="1"/>
  <c r="C32" i="1"/>
  <c r="B32" i="1"/>
  <c r="B34" i="1" s="1"/>
  <c r="R31" i="1"/>
  <c r="R34" i="1" s="1"/>
  <c r="I31" i="1"/>
  <c r="F31" i="1"/>
  <c r="F34" i="1" s="1"/>
  <c r="E31" i="1"/>
  <c r="E34" i="1" s="1"/>
  <c r="C34" i="1"/>
  <c r="B31" i="1"/>
  <c r="M30" i="1"/>
  <c r="K30" i="1"/>
  <c r="M29" i="1"/>
  <c r="K29" i="1"/>
  <c r="R28" i="1"/>
  <c r="S28" i="1" s="1"/>
  <c r="M28" i="1"/>
  <c r="K28" i="1"/>
  <c r="E28" i="1"/>
  <c r="C28" i="1"/>
  <c r="B28" i="1"/>
  <c r="R27" i="1"/>
  <c r="S27" i="1" s="1"/>
  <c r="M27" i="1"/>
  <c r="K27" i="1"/>
  <c r="F27" i="1"/>
  <c r="F28" i="1" s="1"/>
  <c r="R26" i="1"/>
  <c r="S26" i="1" s="1"/>
  <c r="M26" i="1"/>
  <c r="K26" i="1"/>
  <c r="I26" i="1"/>
  <c r="R25" i="1"/>
  <c r="S25" i="1" s="1"/>
  <c r="M25" i="1"/>
  <c r="K25" i="1"/>
  <c r="I25" i="1"/>
  <c r="M24" i="1"/>
  <c r="K24" i="1"/>
  <c r="M23" i="1"/>
  <c r="K23" i="1"/>
  <c r="R22" i="1"/>
  <c r="S22" i="1" s="1"/>
  <c r="P22" i="1"/>
  <c r="M22" i="1"/>
  <c r="K22" i="1"/>
  <c r="F22" i="1"/>
  <c r="E22" i="1"/>
  <c r="C22" i="1"/>
  <c r="B22" i="1"/>
  <c r="J22" i="1" s="1"/>
  <c r="R20" i="1"/>
  <c r="S20" i="1" s="1"/>
  <c r="M20" i="1"/>
  <c r="K20" i="1"/>
  <c r="R19" i="1"/>
  <c r="S19" i="1" s="1"/>
  <c r="M19" i="1"/>
  <c r="K19" i="1"/>
  <c r="B12" i="1"/>
  <c r="B11" i="1"/>
  <c r="J11" i="1" s="1"/>
  <c r="J10" i="1"/>
  <c r="J9" i="1"/>
  <c r="J8" i="1"/>
  <c r="J7" i="1"/>
  <c r="J6" i="1"/>
  <c r="J5" i="1"/>
  <c r="J4" i="1"/>
  <c r="J12" i="1" s="1"/>
  <c r="F14" i="4" l="1"/>
  <c r="F26" i="4"/>
  <c r="F18" i="4"/>
  <c r="F13" i="4"/>
  <c r="F17" i="4"/>
  <c r="D23" i="4"/>
  <c r="F23" i="4" s="1"/>
  <c r="B29" i="4"/>
  <c r="F25" i="4"/>
  <c r="D11" i="4"/>
  <c r="D29" i="4" s="1"/>
  <c r="P75" i="3"/>
  <c r="N75" i="3"/>
  <c r="M10" i="3"/>
  <c r="K75" i="3"/>
  <c r="M75" i="3" s="1"/>
  <c r="M51" i="3"/>
  <c r="P72" i="3"/>
  <c r="K42" i="3"/>
  <c r="M42" i="3" s="1"/>
  <c r="N42" i="3"/>
  <c r="K37" i="3"/>
  <c r="M37" i="3" s="1"/>
  <c r="K64" i="3"/>
  <c r="M64" i="3" s="1"/>
  <c r="F44" i="2"/>
  <c r="J15" i="2"/>
  <c r="B23" i="2"/>
  <c r="H15" i="2"/>
  <c r="B35" i="2"/>
  <c r="J33" i="2"/>
  <c r="H33" i="2"/>
  <c r="F15" i="2"/>
  <c r="D23" i="2"/>
  <c r="F23" i="2" s="1"/>
  <c r="H21" i="2"/>
  <c r="J21" i="2"/>
  <c r="D33" i="2"/>
  <c r="H7" i="2"/>
  <c r="H29" i="2"/>
  <c r="F7" i="2"/>
  <c r="J7" i="2"/>
  <c r="H12" i="2"/>
  <c r="J29" i="2"/>
  <c r="H9" i="2"/>
  <c r="H19" i="2"/>
  <c r="D21" i="2"/>
  <c r="F21" i="2" s="1"/>
  <c r="F28" i="2"/>
  <c r="H31" i="2"/>
  <c r="D44" i="2"/>
  <c r="C93" i="1"/>
  <c r="D93" i="1"/>
  <c r="I81" i="1"/>
  <c r="I34" i="1"/>
  <c r="E93" i="1"/>
  <c r="I28" i="1"/>
  <c r="J34" i="1"/>
  <c r="F93" i="1"/>
  <c r="J28" i="1"/>
  <c r="J101" i="1" s="1"/>
  <c r="I53" i="1"/>
  <c r="I56" i="1" s="1"/>
  <c r="H81" i="1"/>
  <c r="J81" i="1" s="1"/>
  <c r="R89" i="1"/>
  <c r="S89" i="1" s="1"/>
  <c r="B93" i="1"/>
  <c r="I27" i="1"/>
  <c r="I32" i="1"/>
  <c r="S31" i="1"/>
  <c r="S34" i="1" s="1"/>
  <c r="I63" i="1"/>
  <c r="I66" i="1" s="1"/>
  <c r="F11" i="4" l="1"/>
  <c r="F29" i="4"/>
  <c r="B38" i="2"/>
  <c r="B44" i="2"/>
  <c r="J35" i="2"/>
  <c r="H35" i="2"/>
  <c r="D35" i="2"/>
  <c r="F35" i="2" s="1"/>
  <c r="F33" i="2"/>
  <c r="J23" i="2"/>
  <c r="H23" i="2"/>
  <c r="I93" i="1"/>
  <c r="J93" i="1"/>
  <c r="J103" i="1" s="1"/>
  <c r="J105" i="1" s="1"/>
  <c r="F38" i="2" l="1"/>
  <c r="B42" i="2"/>
  <c r="F4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Eigenaar</author>
  </authors>
  <commentList>
    <comment ref="F27" authorId="0" shapeId="0" xr:uid="{27D1D427-C04B-4CD7-A696-2E7CAA67E8FF}">
      <text>
        <r>
          <rPr>
            <b/>
            <sz val="9"/>
            <color indexed="81"/>
            <rFont val="Tahoma"/>
            <charset val="1"/>
          </rPr>
          <t>Eigenaar:</t>
        </r>
        <r>
          <rPr>
            <sz val="9"/>
            <color indexed="81"/>
            <rFont val="Tahoma"/>
            <charset val="1"/>
          </rPr>
          <t xml:space="preserve">
incl 18K rente BOSA</t>
        </r>
      </text>
    </comment>
  </commentList>
</comments>
</file>

<file path=xl/sharedStrings.xml><?xml version="1.0" encoding="utf-8"?>
<sst xmlns="http://schemas.openxmlformats.org/spreadsheetml/2006/main" count="254" uniqueCount="150">
  <si>
    <t>Begroting 2026-2027</t>
  </si>
  <si>
    <t>indexering</t>
  </si>
  <si>
    <t>BATEN</t>
  </si>
  <si>
    <t>index</t>
  </si>
  <si>
    <t>Contributie</t>
  </si>
  <si>
    <t>excl index</t>
  </si>
  <si>
    <t>Bouwsparen</t>
  </si>
  <si>
    <t>Sponsorinkomsten</t>
  </si>
  <si>
    <t>Clubacties</t>
  </si>
  <si>
    <t>Rabo clubactie</t>
  </si>
  <si>
    <t>interest</t>
  </si>
  <si>
    <t>Spaarrek</t>
  </si>
  <si>
    <t>Barinkomsten</t>
  </si>
  <si>
    <t>Ondanks nieuwbouw houden we deze prognose</t>
  </si>
  <si>
    <t>Indien Horecamangager; dan wordt inkomsten verhoogd</t>
  </si>
  <si>
    <t>Verhuur accommodatie BSO</t>
  </si>
  <si>
    <t>Besluit Bestuur</t>
  </si>
  <si>
    <t>huidige clubhuis</t>
  </si>
  <si>
    <t>positief besluit</t>
  </si>
  <si>
    <t>Incidentele baten</t>
  </si>
  <si>
    <t xml:space="preserve"> interest BOSA, naar bouwsparen</t>
  </si>
  <si>
    <t>Totaal</t>
  </si>
  <si>
    <t>voetbalzaken Sen incl Fysio</t>
  </si>
  <si>
    <t>voetbalacademie</t>
  </si>
  <si>
    <t>Scheidsrechtersacademie</t>
  </si>
  <si>
    <t>verenigingszaken</t>
  </si>
  <si>
    <t>Accommodatie incl velden</t>
  </si>
  <si>
    <t>Horeca</t>
  </si>
  <si>
    <t>Hogerop</t>
  </si>
  <si>
    <t>Subtotaal</t>
  </si>
  <si>
    <t>LASTEN</t>
  </si>
  <si>
    <t>Concept</t>
  </si>
  <si>
    <t>Afschrijvingen activa</t>
  </si>
  <si>
    <t>Afschrijving gebouwen</t>
  </si>
  <si>
    <t>Afschrijving overige</t>
  </si>
  <si>
    <t>Afschrijving Nieuwbouw</t>
  </si>
  <si>
    <t>Mutaties voorzieningen</t>
  </si>
  <si>
    <t>Voorziening groot onderhoud</t>
  </si>
  <si>
    <t>Voorziening jubileum</t>
  </si>
  <si>
    <t>Voorziening  Nieuwbouwsparen</t>
  </si>
  <si>
    <t>Personeelskosten</t>
  </si>
  <si>
    <t xml:space="preserve">Salariskosten </t>
  </si>
  <si>
    <t>Vrijwilligersvergoeding</t>
  </si>
  <si>
    <t>Opleidingskosten</t>
  </si>
  <si>
    <t>Huisvestingskosten</t>
  </si>
  <si>
    <t>Electra, gas en water</t>
  </si>
  <si>
    <t>Belastingen gebouwen</t>
  </si>
  <si>
    <t>Verzekering gebouwen</t>
  </si>
  <si>
    <t>Inboedelverzekering</t>
  </si>
  <si>
    <t>Beveiliging (bewakingsdienst)</t>
  </si>
  <si>
    <t>Schoonmaakartikelen</t>
  </si>
  <si>
    <t>Onderhoud</t>
  </si>
  <si>
    <t>Bureaukosten</t>
  </si>
  <si>
    <t>Kantoorbehoeften</t>
  </si>
  <si>
    <t>Kosten automatisering / internet/telefoon</t>
  </si>
  <si>
    <t>Abonnementen</t>
  </si>
  <si>
    <t>Accommodatiekosten / sportvelden</t>
  </si>
  <si>
    <t>Huur sportvelden</t>
  </si>
  <si>
    <t>Onderhoud velden</t>
  </si>
  <si>
    <t>Extra huur velden</t>
  </si>
  <si>
    <t>Wedstrijdkosten</t>
  </si>
  <si>
    <t>(Spel)materialen</t>
  </si>
  <si>
    <t>Kledingkosten</t>
  </si>
  <si>
    <t>Schoenebonnen  selectie</t>
  </si>
  <si>
    <t>Medische kosten</t>
  </si>
  <si>
    <t>Toernooien, activiteiten e.d.</t>
  </si>
  <si>
    <t>Kosten KNVB</t>
  </si>
  <si>
    <t>Selectiekosten</t>
  </si>
  <si>
    <t>Bestuur en commissies</t>
  </si>
  <si>
    <t>Repesentatie en  div kosten commissies</t>
  </si>
  <si>
    <t>Diverse lasten</t>
  </si>
  <si>
    <t>Kosten reclameborden e.d.</t>
  </si>
  <si>
    <t>Kosten clubblad</t>
  </si>
  <si>
    <t>Sponsoractiviteiten</t>
  </si>
  <si>
    <t>Bankkosten Pin en bankmutaties</t>
  </si>
  <si>
    <t>WA bedrijfs- bestuursverzekering</t>
  </si>
  <si>
    <t>Incidentele lasten</t>
  </si>
  <si>
    <t>Adm algemeen</t>
  </si>
  <si>
    <t>Kantinekosten</t>
  </si>
  <si>
    <t>Inkoop</t>
  </si>
  <si>
    <t>Eigen gebruik vrijw/commissies</t>
  </si>
  <si>
    <t>Eigen gebruik kant/werkers</t>
  </si>
  <si>
    <t>Overige kantinekosten</t>
  </si>
  <si>
    <t>Containerkosten</t>
  </si>
  <si>
    <t>Totaal lasten</t>
  </si>
  <si>
    <t>Baten</t>
  </si>
  <si>
    <t>Contributies</t>
  </si>
  <si>
    <t>Donateurs</t>
  </si>
  <si>
    <t>Afschrijving en voorziening</t>
  </si>
  <si>
    <t>Saldo B&amp;L na afschr en voorziening</t>
  </si>
  <si>
    <t>Saldo B&amp;L voor aschr en voorziening</t>
  </si>
  <si>
    <t>Begroting 2026/2027</t>
  </si>
  <si>
    <t>Begroting</t>
  </si>
  <si>
    <t>begroting</t>
  </si>
  <si>
    <t>Delta</t>
  </si>
  <si>
    <t>S2526</t>
  </si>
  <si>
    <t>S2627</t>
  </si>
  <si>
    <t>EUR</t>
  </si>
  <si>
    <t>V B</t>
  </si>
  <si>
    <t>V W</t>
  </si>
  <si>
    <t>Afschrijvingen</t>
  </si>
  <si>
    <t>Voorzieningen</t>
  </si>
  <si>
    <t>Personeelskosten incl VC</t>
  </si>
  <si>
    <t>Accommodatiekosten/sportvelden</t>
  </si>
  <si>
    <t>10000 extra Kgrs veld</t>
  </si>
  <si>
    <t>Kleding spelmat en knvb</t>
  </si>
  <si>
    <t>Inkoopwaarde omzet</t>
  </si>
  <si>
    <t>Eigen gebruik</t>
  </si>
  <si>
    <t>Groei</t>
  </si>
  <si>
    <t>Sponsoring / reclameborden / entreegelden e.d.</t>
  </si>
  <si>
    <t>Acties / loterijen</t>
  </si>
  <si>
    <t>Diverse baten</t>
  </si>
  <si>
    <t>Kantine-inkomsten</t>
  </si>
  <si>
    <t>Totaal baten</t>
  </si>
  <si>
    <t>Resultaat na afschrijving en voorzieningen</t>
  </si>
  <si>
    <t>Afhankelijk van keuzes is winst wel/niet noodzakelijk</t>
  </si>
  <si>
    <t>Resultaat bestemming</t>
  </si>
  <si>
    <t>Resultaat boekjaar</t>
  </si>
  <si>
    <t>Bestemmingsreserve investering LED en zonnepanelen</t>
  </si>
  <si>
    <t>Overboeking naar bestemmingreserve investering gebouw</t>
  </si>
  <si>
    <t>Bestemmingsreserve investering gebouw/licht veld 7</t>
  </si>
  <si>
    <t>Nodig straks: 19000 per jaar</t>
  </si>
  <si>
    <t>Zie tabblad Reserve</t>
  </si>
  <si>
    <t>Naar vrije reserve</t>
  </si>
  <si>
    <t>Resultaat voor afschrijvingen</t>
  </si>
  <si>
    <t>Werkelijk</t>
  </si>
  <si>
    <t>2014/2015</t>
  </si>
  <si>
    <t>2015/2016</t>
  </si>
  <si>
    <t>Voorziening Bouwsparen</t>
  </si>
  <si>
    <t>Salariskosten</t>
  </si>
  <si>
    <t>Vrijwilligerskosten</t>
  </si>
  <si>
    <t>Huur sportvelden incl extra huur Valkenhuizen</t>
  </si>
  <si>
    <t>Schoenenbonnen</t>
  </si>
  <si>
    <t>Diverse kosten</t>
  </si>
  <si>
    <t>Bankkosten</t>
  </si>
  <si>
    <t>Bedrijfsschadeverzekering</t>
  </si>
  <si>
    <t>Sponsoring e.d.</t>
  </si>
  <si>
    <t>Sponsorbijdragen</t>
  </si>
  <si>
    <t>Overige acties</t>
  </si>
  <si>
    <t>Interest</t>
  </si>
  <si>
    <t>Huur BSO</t>
  </si>
  <si>
    <t>incidentele baten (intrest BOSA)</t>
  </si>
  <si>
    <t>Kantineverkopen aan derden</t>
  </si>
  <si>
    <t>Senioren</t>
  </si>
  <si>
    <t>Junioren</t>
  </si>
  <si>
    <t>Pupillen</t>
  </si>
  <si>
    <t>Trainingsleden</t>
  </si>
  <si>
    <t>Niet Spelend Leden</t>
  </si>
  <si>
    <t>Vriend van VDZ</t>
  </si>
  <si>
    <t>Contributie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</si>
</sst>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[$€-413]\ * #,##0_ ;_ [$€-413]\ * \-#,##0_ ;_ [$€-413]\ * &quot;-&quot;??_ ;_ @_ "/>
    <numFmt numFmtId="165" formatCode="&quot;€&quot;\ #,##0"/>
    <numFmt numFmtId="166" formatCode="_ [$€-413]\ * #,##0.00_ ;_ [$€-413]\ * \-#,##0.00_ ;_ [$€-413]\ * &quot;-&quot;??_ ;_ @_ "/>
    <numFmt numFmtId="167" formatCode="_-&quot;€&quot;\ * #,##0.00_-;_-&quot;€&quot;\ * #,##0.00\-;_-&quot;€&quot;\ * &quot;-&quot;??_-;_-@_-"/>
    <numFmt numFmtId="168" formatCode="_-&quot;€&quot;\ * #,##0_-;_-&quot;€&quot;\ * #,##0\-;_-&quot;€&quot;\ * &quot;-&quot;??_-;_-@_-"/>
    <numFmt numFmtId="169" formatCode="0.0%"/>
    <numFmt numFmtId="170" formatCode="_ * #,##0_ ;_ * \-#,##0_ ;_ * &quot;-&quot;??_ ;_ @_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0" tint="-0.499984740745262"/>
      <name val="Arial"/>
      <family val="2"/>
    </font>
    <font>
      <sz val="9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b/>
      <u val="double"/>
      <sz val="11"/>
      <color theme="1"/>
      <name val="Calibri"/>
      <family val="2"/>
      <scheme val="minor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color theme="5" tint="-0.24997711111789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0" tint="-0.499984740745262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2"/>
      <color theme="5" tint="-0.249977111117893"/>
      <name val="Arial"/>
      <family val="2"/>
    </font>
    <font>
      <sz val="12"/>
      <color theme="5" tint="-0.249977111117893"/>
      <name val="Arial"/>
      <family val="2"/>
    </font>
    <font>
      <b/>
      <sz val="8"/>
      <color theme="5" tint="-0.249977111117893"/>
      <name val="Arial"/>
      <family val="2"/>
    </font>
    <font>
      <b/>
      <sz val="10"/>
      <color theme="0" tint="-0.499984740745262"/>
      <name val="Arial"/>
      <family val="2"/>
    </font>
    <font>
      <sz val="10"/>
      <color rgb="FFFF0000"/>
      <name val="Arial"/>
      <family val="2"/>
    </font>
    <font>
      <u val="singleAccounting"/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218">
    <xf numFmtId="0" fontId="0" fillId="0" borderId="0" xfId="0"/>
    <xf numFmtId="0" fontId="4" fillId="0" borderId="0" xfId="2" applyFont="1"/>
    <xf numFmtId="0" fontId="0" fillId="0" borderId="0" xfId="0" applyAlignment="1">
      <alignment horizontal="center"/>
    </xf>
    <xf numFmtId="0" fontId="3" fillId="0" borderId="0" xfId="2"/>
    <xf numFmtId="0" fontId="5" fillId="0" borderId="0" xfId="2" applyFont="1"/>
    <xf numFmtId="0" fontId="5" fillId="0" borderId="1" xfId="2" applyFont="1" applyBorder="1"/>
    <xf numFmtId="0" fontId="3" fillId="0" borderId="1" xfId="2" applyBorder="1"/>
    <xf numFmtId="0" fontId="3" fillId="0" borderId="2" xfId="2" applyBorder="1"/>
    <xf numFmtId="0" fontId="5" fillId="0" borderId="3" xfId="2" applyFont="1" applyBorder="1"/>
    <xf numFmtId="0" fontId="5" fillId="0" borderId="3" xfId="2" applyFont="1" applyBorder="1" applyAlignment="1">
      <alignment horizontal="center"/>
    </xf>
    <xf numFmtId="164" fontId="5" fillId="0" borderId="0" xfId="1" applyNumberFormat="1" applyFont="1" applyBorder="1"/>
    <xf numFmtId="9" fontId="5" fillId="0" borderId="0" xfId="2" applyNumberFormat="1" applyFont="1"/>
    <xf numFmtId="164" fontId="5" fillId="0" borderId="0" xfId="2" applyNumberFormat="1" applyFont="1"/>
    <xf numFmtId="0" fontId="3" fillId="0" borderId="4" xfId="2" applyBorder="1"/>
    <xf numFmtId="0" fontId="5" fillId="0" borderId="5" xfId="2" applyFont="1" applyBorder="1"/>
    <xf numFmtId="164" fontId="5" fillId="0" borderId="5" xfId="2" applyNumberFormat="1" applyFont="1" applyBorder="1" applyAlignment="1">
      <alignment horizontal="center"/>
    </xf>
    <xf numFmtId="164" fontId="5" fillId="0" borderId="0" xfId="1" applyNumberFormat="1" applyFont="1"/>
    <xf numFmtId="0" fontId="5" fillId="2" borderId="0" xfId="2" applyFont="1" applyFill="1"/>
    <xf numFmtId="164" fontId="5" fillId="2" borderId="0" xfId="2" applyNumberFormat="1" applyFont="1" applyFill="1"/>
    <xf numFmtId="0" fontId="5" fillId="2" borderId="5" xfId="2" applyFont="1" applyFill="1" applyBorder="1"/>
    <xf numFmtId="164" fontId="5" fillId="2" borderId="5" xfId="2" applyNumberFormat="1" applyFont="1" applyFill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3" borderId="0" xfId="2" applyFont="1" applyFill="1"/>
    <xf numFmtId="0" fontId="5" fillId="3" borderId="5" xfId="2" applyFont="1" applyFill="1" applyBorder="1"/>
    <xf numFmtId="0" fontId="5" fillId="3" borderId="5" xfId="2" applyFont="1" applyFill="1" applyBorder="1" applyAlignment="1">
      <alignment horizontal="center"/>
    </xf>
    <xf numFmtId="0" fontId="6" fillId="0" borderId="0" xfId="2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3" fillId="0" borderId="0" xfId="2" applyAlignment="1">
      <alignment horizontal="center"/>
    </xf>
    <xf numFmtId="0" fontId="5" fillId="0" borderId="0" xfId="2" applyFont="1" applyAlignment="1">
      <alignment horizontal="center"/>
    </xf>
    <xf numFmtId="165" fontId="0" fillId="0" borderId="0" xfId="0" applyNumberFormat="1"/>
    <xf numFmtId="0" fontId="0" fillId="0" borderId="4" xfId="0" applyBorder="1" applyAlignment="1">
      <alignment horizontal="center"/>
    </xf>
    <xf numFmtId="0" fontId="7" fillId="0" borderId="0" xfId="2" applyFont="1"/>
    <xf numFmtId="166" fontId="0" fillId="4" borderId="6" xfId="0" applyNumberFormat="1" applyFill="1" applyBorder="1"/>
    <xf numFmtId="166" fontId="3" fillId="0" borderId="6" xfId="3" applyNumberFormat="1" applyFont="1" applyBorder="1"/>
    <xf numFmtId="168" fontId="8" fillId="0" borderId="0" xfId="3" applyNumberFormat="1" applyFont="1"/>
    <xf numFmtId="0" fontId="9" fillId="0" borderId="0" xfId="2" applyFont="1"/>
    <xf numFmtId="168" fontId="3" fillId="0" borderId="0" xfId="3" applyNumberFormat="1" applyFont="1"/>
    <xf numFmtId="168" fontId="0" fillId="0" borderId="0" xfId="3" applyNumberFormat="1" applyFont="1"/>
    <xf numFmtId="168" fontId="7" fillId="0" borderId="0" xfId="3" applyNumberFormat="1" applyFont="1"/>
    <xf numFmtId="169" fontId="7" fillId="0" borderId="0" xfId="4" applyNumberFormat="1" applyFont="1"/>
    <xf numFmtId="168" fontId="8" fillId="0" borderId="7" xfId="3" applyNumberFormat="1" applyFont="1" applyBorder="1"/>
    <xf numFmtId="168" fontId="3" fillId="0" borderId="7" xfId="3" applyNumberFormat="1" applyFont="1" applyBorder="1"/>
    <xf numFmtId="168" fontId="0" fillId="0" borderId="0" xfId="3" applyNumberFormat="1" applyFont="1" applyBorder="1"/>
    <xf numFmtId="168" fontId="7" fillId="0" borderId="7" xfId="3" applyNumberFormat="1" applyFont="1" applyBorder="1"/>
    <xf numFmtId="169" fontId="7" fillId="0" borderId="7" xfId="4" applyNumberFormat="1" applyFont="1" applyBorder="1"/>
    <xf numFmtId="168" fontId="8" fillId="0" borderId="0" xfId="3" applyNumberFormat="1" applyFont="1" applyBorder="1"/>
    <xf numFmtId="168" fontId="3" fillId="0" borderId="0" xfId="3" applyNumberFormat="1" applyFont="1" applyBorder="1"/>
    <xf numFmtId="168" fontId="7" fillId="0" borderId="0" xfId="3" applyNumberFormat="1" applyFont="1" applyBorder="1"/>
    <xf numFmtId="169" fontId="7" fillId="0" borderId="0" xfId="4" applyNumberFormat="1" applyFont="1" applyBorder="1"/>
    <xf numFmtId="166" fontId="10" fillId="4" borderId="6" xfId="0" applyNumberFormat="1" applyFont="1" applyFill="1" applyBorder="1"/>
    <xf numFmtId="166" fontId="10" fillId="0" borderId="6" xfId="0" applyNumberFormat="1" applyFont="1" applyBorder="1"/>
    <xf numFmtId="165" fontId="2" fillId="0" borderId="6" xfId="0" applyNumberFormat="1" applyFont="1" applyBorder="1"/>
    <xf numFmtId="165" fontId="2" fillId="0" borderId="6" xfId="0" applyNumberFormat="1" applyFont="1" applyBorder="1" applyAlignment="1">
      <alignment horizontal="center"/>
    </xf>
    <xf numFmtId="168" fontId="3" fillId="0" borderId="0" xfId="3" applyNumberFormat="1" applyFont="1" applyFill="1"/>
    <xf numFmtId="168" fontId="5" fillId="0" borderId="0" xfId="3" applyNumberFormat="1" applyFont="1" applyFill="1"/>
    <xf numFmtId="168" fontId="0" fillId="0" borderId="0" xfId="3" applyNumberFormat="1" applyFont="1" applyFill="1"/>
    <xf numFmtId="168" fontId="7" fillId="0" borderId="0" xfId="3" applyNumberFormat="1" applyFont="1" applyFill="1"/>
    <xf numFmtId="166" fontId="0" fillId="0" borderId="0" xfId="0" applyNumberFormat="1"/>
    <xf numFmtId="0" fontId="0" fillId="0" borderId="4" xfId="0" applyBorder="1"/>
    <xf numFmtId="166" fontId="2" fillId="4" borderId="6" xfId="0" applyNumberFormat="1" applyFont="1" applyFill="1" applyBorder="1"/>
    <xf numFmtId="166" fontId="0" fillId="0" borderId="5" xfId="0" applyNumberFormat="1" applyBorder="1"/>
    <xf numFmtId="164" fontId="3" fillId="0" borderId="6" xfId="3" applyNumberFormat="1" applyFont="1" applyFill="1" applyBorder="1"/>
    <xf numFmtId="166" fontId="0" fillId="0" borderId="6" xfId="0" applyNumberFormat="1" applyBorder="1"/>
    <xf numFmtId="168" fontId="3" fillId="0" borderId="0" xfId="3" applyNumberFormat="1" applyFont="1" applyFill="1" applyBorder="1"/>
    <xf numFmtId="168" fontId="0" fillId="0" borderId="0" xfId="3" applyNumberFormat="1" applyFont="1" applyFill="1" applyBorder="1"/>
    <xf numFmtId="164" fontId="0" fillId="0" borderId="6" xfId="0" applyNumberFormat="1" applyBorder="1"/>
    <xf numFmtId="168" fontId="3" fillId="0" borderId="7" xfId="3" applyNumberFormat="1" applyFont="1" applyFill="1" applyBorder="1"/>
    <xf numFmtId="168" fontId="7" fillId="0" borderId="7" xfId="3" applyNumberFormat="1" applyFont="1" applyFill="1" applyBorder="1"/>
    <xf numFmtId="164" fontId="10" fillId="0" borderId="6" xfId="0" applyNumberFormat="1" applyFont="1" applyBorder="1"/>
    <xf numFmtId="165" fontId="5" fillId="0" borderId="6" xfId="2" applyNumberFormat="1" applyFont="1" applyBorder="1"/>
    <xf numFmtId="165" fontId="5" fillId="0" borderId="6" xfId="2" applyNumberFormat="1" applyFont="1" applyBorder="1" applyAlignment="1">
      <alignment horizontal="center"/>
    </xf>
    <xf numFmtId="168" fontId="5" fillId="0" borderId="0" xfId="3" applyNumberFormat="1" applyFont="1" applyFill="1" applyBorder="1"/>
    <xf numFmtId="166" fontId="3" fillId="0" borderId="6" xfId="3" applyNumberFormat="1" applyFont="1" applyFill="1" applyBorder="1"/>
    <xf numFmtId="168" fontId="7" fillId="0" borderId="0" xfId="3" applyNumberFormat="1" applyFont="1" applyFill="1" applyBorder="1"/>
    <xf numFmtId="166" fontId="0" fillId="4" borderId="8" xfId="0" applyNumberFormat="1" applyFill="1" applyBorder="1"/>
    <xf numFmtId="166" fontId="10" fillId="4" borderId="8" xfId="0" applyNumberFormat="1" applyFont="1" applyFill="1" applyBorder="1"/>
    <xf numFmtId="170" fontId="3" fillId="0" borderId="8" xfId="1" applyNumberFormat="1" applyFont="1" applyFill="1" applyBorder="1"/>
    <xf numFmtId="164" fontId="0" fillId="0" borderId="5" xfId="0" applyNumberFormat="1" applyBorder="1"/>
    <xf numFmtId="170" fontId="10" fillId="0" borderId="8" xfId="1" applyNumberFormat="1" applyFont="1" applyBorder="1"/>
    <xf numFmtId="166" fontId="10" fillId="0" borderId="8" xfId="0" applyNumberFormat="1" applyFont="1" applyBorder="1"/>
    <xf numFmtId="166" fontId="3" fillId="0" borderId="0" xfId="2" applyNumberFormat="1"/>
    <xf numFmtId="166" fontId="0" fillId="4" borderId="9" xfId="0" applyNumberFormat="1" applyFill="1" applyBorder="1"/>
    <xf numFmtId="168" fontId="5" fillId="0" borderId="7" xfId="3" applyNumberFormat="1" applyFont="1" applyFill="1" applyBorder="1"/>
    <xf numFmtId="170" fontId="0" fillId="0" borderId="8" xfId="1" applyNumberFormat="1" applyFont="1" applyBorder="1"/>
    <xf numFmtId="166" fontId="0" fillId="0" borderId="9" xfId="0" applyNumberFormat="1" applyBorder="1"/>
    <xf numFmtId="168" fontId="8" fillId="0" borderId="0" xfId="3" applyNumberFormat="1" applyFont="1" applyFill="1"/>
    <xf numFmtId="165" fontId="5" fillId="0" borderId="6" xfId="2" applyNumberFormat="1" applyFont="1" applyBorder="1" applyAlignment="1">
      <alignment horizontal="right"/>
    </xf>
    <xf numFmtId="168" fontId="5" fillId="0" borderId="0" xfId="3" applyNumberFormat="1" applyFont="1"/>
    <xf numFmtId="168" fontId="5" fillId="0" borderId="7" xfId="3" applyNumberFormat="1" applyFont="1" applyBorder="1"/>
    <xf numFmtId="166" fontId="10" fillId="0" borderId="10" xfId="0" applyNumberFormat="1" applyFont="1" applyBorder="1"/>
    <xf numFmtId="0" fontId="11" fillId="0" borderId="11" xfId="2" applyFont="1" applyBorder="1"/>
    <xf numFmtId="165" fontId="12" fillId="0" borderId="8" xfId="2" applyNumberFormat="1" applyFont="1" applyBorder="1"/>
    <xf numFmtId="165" fontId="12" fillId="0" borderId="11" xfId="2" applyNumberFormat="1" applyFont="1" applyBorder="1"/>
    <xf numFmtId="165" fontId="12" fillId="0" borderId="12" xfId="2" applyNumberFormat="1" applyFont="1" applyBorder="1"/>
    <xf numFmtId="165" fontId="12" fillId="0" borderId="12" xfId="2" applyNumberFormat="1" applyFont="1" applyBorder="1" applyAlignment="1">
      <alignment horizontal="center"/>
    </xf>
    <xf numFmtId="168" fontId="13" fillId="0" borderId="0" xfId="3" applyNumberFormat="1" applyFont="1" applyBorder="1"/>
    <xf numFmtId="168" fontId="14" fillId="0" borderId="11" xfId="3" applyNumberFormat="1" applyFont="1" applyBorder="1"/>
    <xf numFmtId="168" fontId="15" fillId="0" borderId="11" xfId="3" applyNumberFormat="1" applyFont="1" applyBorder="1"/>
    <xf numFmtId="168" fontId="16" fillId="0" borderId="11" xfId="3" applyNumberFormat="1" applyFont="1" applyBorder="1"/>
    <xf numFmtId="169" fontId="16" fillId="0" borderId="11" xfId="4" applyNumberFormat="1" applyFont="1" applyBorder="1"/>
    <xf numFmtId="165" fontId="5" fillId="0" borderId="8" xfId="2" applyNumberFormat="1" applyFont="1" applyBorder="1"/>
    <xf numFmtId="165" fontId="5" fillId="0" borderId="11" xfId="2" applyNumberFormat="1" applyFont="1" applyBorder="1"/>
    <xf numFmtId="165" fontId="5" fillId="0" borderId="12" xfId="2" applyNumberFormat="1" applyFont="1" applyBorder="1"/>
    <xf numFmtId="165" fontId="5" fillId="0" borderId="12" xfId="2" applyNumberFormat="1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164" fontId="17" fillId="0" borderId="15" xfId="0" applyNumberFormat="1" applyFont="1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164" fontId="17" fillId="0" borderId="17" xfId="0" applyNumberFormat="1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164" fontId="2" fillId="5" borderId="20" xfId="0" applyNumberFormat="1" applyFont="1" applyFill="1" applyBorder="1" applyAlignment="1">
      <alignment horizontal="center"/>
    </xf>
    <xf numFmtId="0" fontId="8" fillId="0" borderId="0" xfId="2" applyFont="1"/>
    <xf numFmtId="168" fontId="8" fillId="6" borderId="0" xfId="3" applyNumberFormat="1" applyFont="1" applyFill="1"/>
    <xf numFmtId="9" fontId="8" fillId="0" borderId="0" xfId="2" applyNumberFormat="1" applyFont="1"/>
    <xf numFmtId="0" fontId="14" fillId="0" borderId="0" xfId="2" applyFont="1"/>
    <xf numFmtId="168" fontId="20" fillId="0" borderId="0" xfId="3" applyNumberFormat="1" applyFont="1"/>
    <xf numFmtId="0" fontId="21" fillId="0" borderId="0" xfId="2" applyFont="1"/>
    <xf numFmtId="9" fontId="22" fillId="0" borderId="0" xfId="4" applyFont="1" applyAlignment="1">
      <alignment horizontal="left"/>
    </xf>
    <xf numFmtId="168" fontId="14" fillId="0" borderId="0" xfId="2" applyNumberFormat="1" applyFont="1"/>
    <xf numFmtId="168" fontId="20" fillId="0" borderId="21" xfId="3" applyNumberFormat="1" applyFont="1" applyBorder="1"/>
    <xf numFmtId="168" fontId="15" fillId="0" borderId="0" xfId="2" applyNumberFormat="1" applyFont="1"/>
    <xf numFmtId="168" fontId="3" fillId="0" borderId="0" xfId="2" applyNumberFormat="1"/>
    <xf numFmtId="168" fontId="5" fillId="0" borderId="0" xfId="2" applyNumberFormat="1" applyFont="1"/>
    <xf numFmtId="169" fontId="0" fillId="0" borderId="0" xfId="4" applyNumberFormat="1" applyFont="1"/>
    <xf numFmtId="169" fontId="5" fillId="0" borderId="0" xfId="4" applyNumberFormat="1" applyFont="1"/>
    <xf numFmtId="0" fontId="3" fillId="0" borderId="0" xfId="5"/>
    <xf numFmtId="0" fontId="5" fillId="0" borderId="0" xfId="5" applyFont="1"/>
    <xf numFmtId="0" fontId="5" fillId="0" borderId="0" xfId="5" applyFont="1" applyAlignment="1">
      <alignment horizontal="center"/>
    </xf>
    <xf numFmtId="0" fontId="9" fillId="0" borderId="0" xfId="5" applyFont="1"/>
    <xf numFmtId="0" fontId="6" fillId="0" borderId="0" xfId="5" applyFont="1"/>
    <xf numFmtId="170" fontId="6" fillId="0" borderId="0" xfId="1" applyNumberFormat="1" applyFont="1" applyFill="1"/>
    <xf numFmtId="0" fontId="24" fillId="0" borderId="0" xfId="5" applyFont="1"/>
    <xf numFmtId="3" fontId="3" fillId="0" borderId="0" xfId="5" applyNumberFormat="1"/>
    <xf numFmtId="0" fontId="26" fillId="0" borderId="0" xfId="2" applyFont="1"/>
    <xf numFmtId="10" fontId="3" fillId="0" borderId="0" xfId="4" applyNumberFormat="1" applyFont="1"/>
    <xf numFmtId="0" fontId="4" fillId="7" borderId="0" xfId="2" applyFont="1" applyFill="1"/>
    <xf numFmtId="0" fontId="3" fillId="7" borderId="0" xfId="2" applyFill="1"/>
    <xf numFmtId="0" fontId="5" fillId="7" borderId="0" xfId="2" applyFont="1" applyFill="1"/>
    <xf numFmtId="0" fontId="7" fillId="7" borderId="0" xfId="2" applyFont="1" applyFill="1"/>
    <xf numFmtId="0" fontId="3" fillId="7" borderId="0" xfId="2" quotePrefix="1" applyFill="1" applyAlignment="1">
      <alignment horizontal="center"/>
    </xf>
    <xf numFmtId="0" fontId="5" fillId="7" borderId="0" xfId="2" applyFont="1" applyFill="1" applyAlignment="1">
      <alignment horizontal="center"/>
    </xf>
    <xf numFmtId="0" fontId="3" fillId="7" borderId="0" xfId="2" applyFill="1" applyAlignment="1">
      <alignment horizontal="center"/>
    </xf>
    <xf numFmtId="0" fontId="7" fillId="7" borderId="0" xfId="2" applyFont="1" applyFill="1" applyAlignment="1">
      <alignment horizontal="center"/>
    </xf>
    <xf numFmtId="0" fontId="15" fillId="7" borderId="0" xfId="2" applyFont="1" applyFill="1"/>
    <xf numFmtId="0" fontId="3" fillId="7" borderId="7" xfId="2" quotePrefix="1" applyFill="1" applyBorder="1" applyAlignment="1">
      <alignment horizontal="center"/>
    </xf>
    <xf numFmtId="0" fontId="5" fillId="7" borderId="7" xfId="2" applyFont="1" applyFill="1" applyBorder="1" applyAlignment="1">
      <alignment horizontal="center"/>
    </xf>
    <xf numFmtId="0" fontId="7" fillId="7" borderId="7" xfId="2" applyFont="1" applyFill="1" applyBorder="1" applyAlignment="1">
      <alignment horizontal="center"/>
    </xf>
    <xf numFmtId="168" fontId="0" fillId="7" borderId="0" xfId="3" applyNumberFormat="1" applyFont="1" applyFill="1"/>
    <xf numFmtId="168" fontId="5" fillId="7" borderId="0" xfId="3" applyNumberFormat="1" applyFont="1" applyFill="1"/>
    <xf numFmtId="168" fontId="7" fillId="7" borderId="0" xfId="3" applyNumberFormat="1" applyFont="1" applyFill="1"/>
    <xf numFmtId="168" fontId="0" fillId="7" borderId="7" xfId="3" applyNumberFormat="1" applyFont="1" applyFill="1" applyBorder="1"/>
    <xf numFmtId="168" fontId="0" fillId="7" borderId="0" xfId="3" applyNumberFormat="1" applyFont="1" applyFill="1" applyBorder="1"/>
    <xf numFmtId="168" fontId="5" fillId="7" borderId="7" xfId="3" applyNumberFormat="1" applyFont="1" applyFill="1" applyBorder="1"/>
    <xf numFmtId="168" fontId="7" fillId="7" borderId="0" xfId="3" applyNumberFormat="1" applyFont="1" applyFill="1" applyBorder="1"/>
    <xf numFmtId="168" fontId="5" fillId="7" borderId="0" xfId="3" applyNumberFormat="1" applyFont="1" applyFill="1" applyAlignment="1">
      <alignment wrapText="1"/>
    </xf>
    <xf numFmtId="168" fontId="7" fillId="7" borderId="7" xfId="3" applyNumberFormat="1" applyFont="1" applyFill="1" applyBorder="1"/>
    <xf numFmtId="0" fontId="15" fillId="7" borderId="11" xfId="2" applyFont="1" applyFill="1" applyBorder="1"/>
    <xf numFmtId="168" fontId="0" fillId="7" borderId="11" xfId="3" applyNumberFormat="1" applyFont="1" applyFill="1" applyBorder="1"/>
    <xf numFmtId="168" fontId="15" fillId="7" borderId="11" xfId="3" applyNumberFormat="1" applyFont="1" applyFill="1" applyBorder="1"/>
    <xf numFmtId="168" fontId="5" fillId="7" borderId="11" xfId="3" applyNumberFormat="1" applyFont="1" applyFill="1" applyBorder="1"/>
    <xf numFmtId="168" fontId="16" fillId="7" borderId="11" xfId="3" applyNumberFormat="1" applyFont="1" applyFill="1" applyBorder="1"/>
    <xf numFmtId="0" fontId="14" fillId="7" borderId="0" xfId="2" applyFont="1" applyFill="1"/>
    <xf numFmtId="168" fontId="16" fillId="7" borderId="0" xfId="3" applyNumberFormat="1" applyFont="1" applyFill="1"/>
    <xf numFmtId="168" fontId="14" fillId="7" borderId="0" xfId="2" applyNumberFormat="1" applyFont="1" applyFill="1"/>
    <xf numFmtId="168" fontId="15" fillId="7" borderId="0" xfId="2" applyNumberFormat="1" applyFont="1" applyFill="1"/>
    <xf numFmtId="168" fontId="14" fillId="7" borderId="7" xfId="2" applyNumberFormat="1" applyFont="1" applyFill="1" applyBorder="1"/>
    <xf numFmtId="0" fontId="23" fillId="7" borderId="0" xfId="2" applyFont="1" applyFill="1"/>
    <xf numFmtId="168" fontId="23" fillId="7" borderId="0" xfId="2" applyNumberFormat="1" applyFont="1" applyFill="1"/>
    <xf numFmtId="0" fontId="4" fillId="7" borderId="0" xfId="5" applyFont="1" applyFill="1"/>
    <xf numFmtId="15" fontId="3" fillId="7" borderId="0" xfId="5" applyNumberFormat="1" applyFill="1"/>
    <xf numFmtId="4" fontId="3" fillId="7" borderId="0" xfId="5" applyNumberFormat="1" applyFill="1" applyAlignment="1">
      <alignment horizontal="center"/>
    </xf>
    <xf numFmtId="0" fontId="3" fillId="7" borderId="0" xfId="5" applyFill="1"/>
    <xf numFmtId="0" fontId="5" fillId="7" borderId="0" xfId="5" applyFont="1" applyFill="1"/>
    <xf numFmtId="0" fontId="3" fillId="7" borderId="0" xfId="5" applyFill="1" applyAlignment="1">
      <alignment horizontal="center"/>
    </xf>
    <xf numFmtId="0" fontId="5" fillId="7" borderId="0" xfId="5" applyFont="1" applyFill="1" applyAlignment="1">
      <alignment horizontal="center"/>
    </xf>
    <xf numFmtId="0" fontId="7" fillId="7" borderId="0" xfId="5" applyFont="1" applyFill="1" applyAlignment="1">
      <alignment horizontal="center"/>
    </xf>
    <xf numFmtId="0" fontId="3" fillId="7" borderId="7" xfId="5" applyFill="1" applyBorder="1" applyAlignment="1">
      <alignment horizontal="center"/>
    </xf>
    <xf numFmtId="0" fontId="3" fillId="7" borderId="7" xfId="5" quotePrefix="1" applyFill="1" applyBorder="1" applyAlignment="1">
      <alignment horizontal="center"/>
    </xf>
    <xf numFmtId="0" fontId="3" fillId="7" borderId="0" xfId="5" quotePrefix="1" applyFill="1" applyAlignment="1">
      <alignment horizontal="center"/>
    </xf>
    <xf numFmtId="0" fontId="5" fillId="7" borderId="7" xfId="5" applyFont="1" applyFill="1" applyBorder="1" applyAlignment="1">
      <alignment horizontal="center"/>
    </xf>
    <xf numFmtId="0" fontId="7" fillId="7" borderId="7" xfId="5" applyFont="1" applyFill="1" applyBorder="1" applyAlignment="1">
      <alignment horizontal="center"/>
    </xf>
    <xf numFmtId="0" fontId="7" fillId="7" borderId="0" xfId="5" applyFont="1" applyFill="1"/>
    <xf numFmtId="4" fontId="3" fillId="7" borderId="0" xfId="5" applyNumberFormat="1" applyFill="1"/>
    <xf numFmtId="168" fontId="3" fillId="7" borderId="0" xfId="3" applyNumberFormat="1" applyFont="1" applyFill="1"/>
    <xf numFmtId="168" fontId="3" fillId="7" borderId="7" xfId="3" applyNumberFormat="1" applyFont="1" applyFill="1" applyBorder="1"/>
    <xf numFmtId="168" fontId="3" fillId="7" borderId="0" xfId="5" applyNumberFormat="1" applyFill="1"/>
    <xf numFmtId="168" fontId="5" fillId="7" borderId="1" xfId="3" applyNumberFormat="1" applyFont="1" applyFill="1" applyBorder="1"/>
    <xf numFmtId="168" fontId="3" fillId="7" borderId="0" xfId="3" applyNumberFormat="1" applyFont="1" applyFill="1" applyBorder="1"/>
    <xf numFmtId="168" fontId="5" fillId="7" borderId="0" xfId="3" applyNumberFormat="1" applyFont="1" applyFill="1" applyBorder="1"/>
    <xf numFmtId="168" fontId="3" fillId="7" borderId="1" xfId="3" applyNumberFormat="1" applyFont="1" applyFill="1" applyBorder="1"/>
    <xf numFmtId="168" fontId="25" fillId="7" borderId="0" xfId="3" applyNumberFormat="1" applyFont="1" applyFill="1"/>
    <xf numFmtId="0" fontId="15" fillId="7" borderId="11" xfId="5" applyFont="1" applyFill="1" applyBorder="1"/>
    <xf numFmtId="4" fontId="14" fillId="7" borderId="11" xfId="5" applyNumberFormat="1" applyFont="1" applyFill="1" applyBorder="1"/>
    <xf numFmtId="0" fontId="14" fillId="7" borderId="11" xfId="5" applyFont="1" applyFill="1" applyBorder="1"/>
    <xf numFmtId="168" fontId="14" fillId="7" borderId="11" xfId="5" applyNumberFormat="1" applyFont="1" applyFill="1" applyBorder="1"/>
    <xf numFmtId="168" fontId="14" fillId="7" borderId="11" xfId="3" applyNumberFormat="1" applyFont="1" applyFill="1" applyBorder="1"/>
    <xf numFmtId="0" fontId="26" fillId="7" borderId="0" xfId="2" applyFont="1" applyFill="1"/>
    <xf numFmtId="0" fontId="27" fillId="7" borderId="0" xfId="2" applyFont="1" applyFill="1"/>
    <xf numFmtId="0" fontId="3" fillId="7" borderId="22" xfId="2" applyFill="1" applyBorder="1"/>
    <xf numFmtId="0" fontId="27" fillId="7" borderId="1" xfId="2" applyFont="1" applyFill="1" applyBorder="1"/>
    <xf numFmtId="0" fontId="3" fillId="7" borderId="1" xfId="2" applyFill="1" applyBorder="1"/>
    <xf numFmtId="0" fontId="5" fillId="7" borderId="1" xfId="2" applyFont="1" applyFill="1" applyBorder="1"/>
    <xf numFmtId="0" fontId="26" fillId="7" borderId="2" xfId="2" applyFont="1" applyFill="1" applyBorder="1"/>
    <xf numFmtId="0" fontId="3" fillId="7" borderId="9" xfId="2" applyFill="1" applyBorder="1"/>
    <xf numFmtId="0" fontId="3" fillId="7" borderId="0" xfId="2" applyFill="1" applyBorder="1"/>
    <xf numFmtId="0" fontId="5" fillId="7" borderId="0" xfId="2" applyFont="1" applyFill="1" applyBorder="1"/>
    <xf numFmtId="0" fontId="26" fillId="7" borderId="4" xfId="2" applyFont="1" applyFill="1" applyBorder="1"/>
    <xf numFmtId="168" fontId="5" fillId="7" borderId="0" xfId="2" applyNumberFormat="1" applyFont="1" applyFill="1" applyBorder="1"/>
    <xf numFmtId="0" fontId="3" fillId="7" borderId="23" xfId="2" applyFill="1" applyBorder="1"/>
    <xf numFmtId="0" fontId="3" fillId="7" borderId="0" xfId="2" applyFill="1" applyBorder="1" applyAlignment="1">
      <alignment horizontal="center"/>
    </xf>
    <xf numFmtId="2" fontId="5" fillId="7" borderId="0" xfId="2" applyNumberFormat="1" applyFont="1" applyFill="1" applyBorder="1" applyAlignment="1">
      <alignment horizontal="center"/>
    </xf>
    <xf numFmtId="2" fontId="26" fillId="7" borderId="4" xfId="2" applyNumberFormat="1" applyFont="1" applyFill="1" applyBorder="1" applyAlignment="1">
      <alignment horizontal="center"/>
    </xf>
    <xf numFmtId="0" fontId="3" fillId="7" borderId="7" xfId="2" applyFill="1" applyBorder="1" applyAlignment="1">
      <alignment horizontal="center"/>
    </xf>
    <xf numFmtId="2" fontId="5" fillId="7" borderId="7" xfId="2" applyNumberFormat="1" applyFont="1" applyFill="1" applyBorder="1" applyAlignment="1">
      <alignment horizontal="center"/>
    </xf>
    <xf numFmtId="2" fontId="26" fillId="7" borderId="24" xfId="2" applyNumberFormat="1" applyFont="1" applyFill="1" applyBorder="1" applyAlignment="1">
      <alignment horizontal="center"/>
    </xf>
  </cellXfs>
  <cellStyles count="6">
    <cellStyle name="Euro" xfId="3" xr:uid="{7E953F65-3D40-46D2-9E5F-0F4FA612335E}"/>
    <cellStyle name="Komma" xfId="1" builtinId="3"/>
    <cellStyle name="Procent 2" xfId="4" xr:uid="{A9B5B32B-D81E-4433-A5BE-7D06FEF8EB45}"/>
    <cellStyle name="Standaard" xfId="0" builtinId="0"/>
    <cellStyle name="Standaard 2" xfId="2" xr:uid="{8BBF1780-5602-4312-9852-8BE06762544E}"/>
    <cellStyle name="Standaard 2 2" xfId="5" xr:uid="{8396CB4C-14FA-480F-93C2-B5251BEB34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rive\vdz\2006-2007\begroting\VDZ%20begroting%20vs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vdz\2007-2008\Rapportages\Financiele%20analyse%2007%2008%20met%20begrotin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meester\AppData\Local\Packages\Microsoft.MicrosoftEdge_8wekyb3d8bbwe\TempState\Downloads\VDZ%20prognose%20plus%20realisatie%20Seizoenen%2008-18%20vs%20181226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VDZ-H%20NAW%20en%20contractgegevens%202010-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igenaar\Documents\begrotingen%20en%20realisatie\begroting%20S2627\begroting%20nieuwe%20stijl26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groting meerjaren"/>
      <sheetName val="begroting detail"/>
      <sheetName val="Liquiditeit meerjaren"/>
      <sheetName val="contributie"/>
      <sheetName val="bar"/>
      <sheetName val="velden en terreinen"/>
      <sheetName val="onderhoud"/>
      <sheetName val="SVL 3b"/>
    </sheetNames>
    <sheetDataSet>
      <sheetData sheetId="0"/>
      <sheetData sheetId="1" refreshError="1">
        <row r="8">
          <cell r="A8" t="str">
            <v>Contributies &amp; donaties</v>
          </cell>
        </row>
        <row r="11">
          <cell r="A11" t="str">
            <v>Kantine</v>
          </cell>
        </row>
        <row r="13">
          <cell r="A13" t="str">
            <v>Entreegelden</v>
          </cell>
        </row>
        <row r="15">
          <cell r="A15" t="str">
            <v>Toto/Lotto</v>
          </cell>
        </row>
        <row r="17">
          <cell r="A17" t="str">
            <v>Grote Club Actie</v>
          </cell>
        </row>
        <row r="19">
          <cell r="A19" t="str">
            <v>Club van 100</v>
          </cell>
        </row>
        <row r="21">
          <cell r="A21" t="str">
            <v>Sponsoring</v>
          </cell>
        </row>
        <row r="28">
          <cell r="A28" t="str">
            <v>Bijzondere baten</v>
          </cell>
        </row>
        <row r="37">
          <cell r="B37" t="str">
            <v>Gebouwen</v>
          </cell>
        </row>
        <row r="43">
          <cell r="B43" t="str">
            <v>Velden en terreinen</v>
          </cell>
        </row>
        <row r="49">
          <cell r="B49" t="str">
            <v>Personeel</v>
          </cell>
        </row>
        <row r="54">
          <cell r="B54" t="str">
            <v>Vrijwilligersbeleid</v>
          </cell>
        </row>
        <row r="58">
          <cell r="B58" t="str">
            <v>Elftallen</v>
          </cell>
        </row>
        <row r="65">
          <cell r="B65" t="str">
            <v>KNVB lidmaatschappen</v>
          </cell>
        </row>
        <row r="67">
          <cell r="B67" t="str">
            <v>Representatie PR</v>
          </cell>
        </row>
        <row r="72">
          <cell r="B72" t="str">
            <v>Clubblad</v>
          </cell>
        </row>
        <row r="74">
          <cell r="B74" t="str">
            <v>Diverse kosten</v>
          </cell>
        </row>
        <row r="85">
          <cell r="B85" t="str">
            <v>Rente</v>
          </cell>
        </row>
        <row r="89">
          <cell r="B89" t="str">
            <v>Afschrijvingen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egroting"/>
      <sheetName val="Blad2"/>
      <sheetName val="GROOTBOEK"/>
      <sheetName val="Saldidgbk"/>
      <sheetName val="DATA"/>
      <sheetName val="BTW"/>
      <sheetName val="Personeel"/>
      <sheetName val="Marge 080105"/>
      <sheetName val="Marge 080606"/>
      <sheetName val="VH budgetten"/>
      <sheetName val="kasaansluiting"/>
      <sheetName val="Koffie 080105"/>
      <sheetName val="schoonmaak"/>
      <sheetName val="Gratis"/>
      <sheetName val="Budget"/>
      <sheetName val="Blad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">
          <cell r="A2" t="str">
            <v>0011</v>
          </cell>
          <cell r="B2" t="str">
            <v>Afschrijving gebouwen</v>
          </cell>
          <cell r="C2">
            <v>11225</v>
          </cell>
        </row>
        <row r="3">
          <cell r="A3" t="str">
            <v>0016</v>
          </cell>
          <cell r="B3" t="str">
            <v>Afschrijving verbouwing/renovatie</v>
          </cell>
          <cell r="C3">
            <v>0</v>
          </cell>
        </row>
        <row r="4">
          <cell r="A4" t="str">
            <v>0021</v>
          </cell>
          <cell r="B4" t="str">
            <v>Afschrijving inventaris (kantine)</v>
          </cell>
          <cell r="C4">
            <v>3600</v>
          </cell>
        </row>
        <row r="5">
          <cell r="A5" t="str">
            <v>0031</v>
          </cell>
          <cell r="B5" t="str">
            <v>Afschrijving kantoorinventaris</v>
          </cell>
          <cell r="C5">
            <v>0</v>
          </cell>
        </row>
        <row r="6">
          <cell r="A6" t="str">
            <v>0041</v>
          </cell>
          <cell r="B6" t="str">
            <v>Afschrijving computer (netwerk)</v>
          </cell>
          <cell r="C6">
            <v>0</v>
          </cell>
        </row>
        <row r="7">
          <cell r="A7" t="str">
            <v>0051</v>
          </cell>
          <cell r="B7" t="str">
            <v>Afschrijving machines</v>
          </cell>
          <cell r="C7">
            <v>0</v>
          </cell>
        </row>
        <row r="8">
          <cell r="A8" t="str">
            <v>0061</v>
          </cell>
          <cell r="B8" t="str">
            <v>Afschrijving lichtinstallatie</v>
          </cell>
          <cell r="C8">
            <v>0</v>
          </cell>
        </row>
        <row r="9">
          <cell r="A9" t="str">
            <v>0071</v>
          </cell>
          <cell r="B9" t="str">
            <v>Afschrijving tribune</v>
          </cell>
          <cell r="C9">
            <v>0</v>
          </cell>
        </row>
        <row r="10">
          <cell r="A10" t="str">
            <v>0091</v>
          </cell>
          <cell r="B10" t="str">
            <v>Afschrijving overige</v>
          </cell>
          <cell r="C10">
            <v>0</v>
          </cell>
        </row>
        <row r="11">
          <cell r="A11" t="str">
            <v>2211</v>
          </cell>
          <cell r="B11" t="str">
            <v>Voorziening groot onderhoud</v>
          </cell>
          <cell r="C11">
            <v>3000</v>
          </cell>
        </row>
        <row r="12">
          <cell r="A12" t="str">
            <v>2221</v>
          </cell>
          <cell r="B12" t="str">
            <v>Voorziening jubileum</v>
          </cell>
          <cell r="C12">
            <v>1050</v>
          </cell>
        </row>
        <row r="13">
          <cell r="A13" t="str">
            <v>2231</v>
          </cell>
          <cell r="B13" t="str">
            <v>Voorziening reserve jeugd</v>
          </cell>
          <cell r="C13">
            <v>0</v>
          </cell>
        </row>
        <row r="14">
          <cell r="A14" t="str">
            <v>2241</v>
          </cell>
          <cell r="B14" t="str">
            <v>Voorziening reserve inventaris</v>
          </cell>
          <cell r="C14">
            <v>0</v>
          </cell>
        </row>
        <row r="15">
          <cell r="A15" t="str">
            <v>2291</v>
          </cell>
          <cell r="B15" t="str">
            <v>Overige voorzieningen</v>
          </cell>
          <cell r="C15">
            <v>0</v>
          </cell>
        </row>
        <row r="16">
          <cell r="A16" t="str">
            <v>4010</v>
          </cell>
          <cell r="B16" t="str">
            <v>Salarissen trainers</v>
          </cell>
          <cell r="C16">
            <v>27650</v>
          </cell>
        </row>
        <row r="17">
          <cell r="A17" t="str">
            <v>4020</v>
          </cell>
          <cell r="B17" t="str">
            <v>Salarissen overige medewerkers</v>
          </cell>
          <cell r="C17">
            <v>0</v>
          </cell>
        </row>
        <row r="18">
          <cell r="A18" t="str">
            <v>4030</v>
          </cell>
          <cell r="B18" t="str">
            <v>Loonsubsidies (negatief)</v>
          </cell>
          <cell r="C18">
            <v>0</v>
          </cell>
        </row>
        <row r="19">
          <cell r="A19" t="str">
            <v>4040</v>
          </cell>
          <cell r="B19" t="str">
            <v>Sociale lasten (UWV/Belastingdienst)</v>
          </cell>
          <cell r="C19">
            <v>0</v>
          </cell>
        </row>
        <row r="20">
          <cell r="A20" t="str">
            <v>4050</v>
          </cell>
          <cell r="B20" t="str">
            <v>Pensioenlasten</v>
          </cell>
          <cell r="C20">
            <v>0</v>
          </cell>
        </row>
        <row r="21">
          <cell r="A21" t="str">
            <v>4060</v>
          </cell>
          <cell r="B21" t="str">
            <v>Reiskosten woon-werkverkeer</v>
          </cell>
          <cell r="C21">
            <v>0</v>
          </cell>
        </row>
        <row r="22">
          <cell r="A22" t="str">
            <v>4061</v>
          </cell>
          <cell r="B22" t="str">
            <v>Overige reis- en verblijfkosten</v>
          </cell>
          <cell r="C22">
            <v>0</v>
          </cell>
        </row>
        <row r="23">
          <cell r="A23" t="str">
            <v>4065</v>
          </cell>
          <cell r="B23" t="str">
            <v>Overige personeelskosten</v>
          </cell>
          <cell r="C23">
            <v>0</v>
          </cell>
        </row>
        <row r="24">
          <cell r="A24" t="str">
            <v>4070</v>
          </cell>
          <cell r="B24" t="str">
            <v>Arbodienst</v>
          </cell>
          <cell r="C24">
            <v>0</v>
          </cell>
        </row>
        <row r="25">
          <cell r="A25" t="str">
            <v>4075</v>
          </cell>
          <cell r="B25" t="str">
            <v>(Kader)opleidingskosten</v>
          </cell>
          <cell r="C25">
            <v>350</v>
          </cell>
        </row>
        <row r="26">
          <cell r="A26" t="str">
            <v>4080</v>
          </cell>
          <cell r="B26" t="str">
            <v>Vrijwilligersvergoedingen</v>
          </cell>
          <cell r="C26">
            <v>17250</v>
          </cell>
        </row>
        <row r="27">
          <cell r="A27" t="str">
            <v>4090</v>
          </cell>
          <cell r="B27" t="str">
            <v>Overige kosten vrijwilligers</v>
          </cell>
          <cell r="C27">
            <v>0</v>
          </cell>
        </row>
        <row r="28">
          <cell r="A28" t="str">
            <v>4110</v>
          </cell>
          <cell r="B28" t="str">
            <v>Huur gebouwen</v>
          </cell>
          <cell r="C28">
            <v>2500</v>
          </cell>
        </row>
        <row r="29">
          <cell r="A29" t="str">
            <v>4120</v>
          </cell>
          <cell r="B29" t="str">
            <v>Electra, gas en water</v>
          </cell>
          <cell r="C29">
            <v>16500</v>
          </cell>
        </row>
        <row r="30">
          <cell r="A30" t="str">
            <v>4130</v>
          </cell>
          <cell r="B30" t="str">
            <v>Belastingen gebouwen</v>
          </cell>
          <cell r="C30">
            <v>150</v>
          </cell>
        </row>
        <row r="31">
          <cell r="A31" t="str">
            <v>4140</v>
          </cell>
          <cell r="B31" t="str">
            <v>Verzekering gebouwen</v>
          </cell>
          <cell r="C31">
            <v>2100</v>
          </cell>
        </row>
        <row r="32">
          <cell r="A32" t="str">
            <v>4150</v>
          </cell>
          <cell r="B32" t="str">
            <v>Inboedelverzekering</v>
          </cell>
          <cell r="C32">
            <v>650</v>
          </cell>
        </row>
        <row r="33">
          <cell r="A33" t="str">
            <v>4160</v>
          </cell>
          <cell r="B33" t="str">
            <v>Beveiliging (bewakingsdienst)</v>
          </cell>
          <cell r="C33">
            <v>0</v>
          </cell>
        </row>
        <row r="34">
          <cell r="A34" t="str">
            <v>4170</v>
          </cell>
          <cell r="B34" t="str">
            <v>(Klein) onderhoud</v>
          </cell>
          <cell r="C34">
            <v>4500</v>
          </cell>
        </row>
        <row r="35">
          <cell r="A35" t="str">
            <v>4175</v>
          </cell>
          <cell r="B35" t="str">
            <v>Groot onderhoud</v>
          </cell>
          <cell r="C35">
            <v>0</v>
          </cell>
        </row>
        <row r="36">
          <cell r="A36" t="str">
            <v>4180</v>
          </cell>
          <cell r="B36" t="str">
            <v>Rente lening(en) bank</v>
          </cell>
          <cell r="C36">
            <v>4605</v>
          </cell>
        </row>
        <row r="37">
          <cell r="A37" t="str">
            <v>4190</v>
          </cell>
          <cell r="B37" t="str">
            <v>Overige huisvestingskosten</v>
          </cell>
          <cell r="C37">
            <v>0</v>
          </cell>
        </row>
        <row r="38">
          <cell r="A38" t="str">
            <v>4191</v>
          </cell>
          <cell r="B38" t="str">
            <v>Kleine aanschaffingen</v>
          </cell>
          <cell r="C38">
            <v>1250</v>
          </cell>
        </row>
        <row r="39">
          <cell r="A39" t="str">
            <v>4210</v>
          </cell>
          <cell r="B39" t="str">
            <v>Kantoorbehoeften</v>
          </cell>
          <cell r="C39">
            <v>1500</v>
          </cell>
        </row>
        <row r="40">
          <cell r="A40" t="str">
            <v>4220</v>
          </cell>
          <cell r="B40" t="str">
            <v>Portokosten</v>
          </cell>
          <cell r="C40">
            <v>1000</v>
          </cell>
        </row>
        <row r="41">
          <cell r="A41" t="str">
            <v>4230</v>
          </cell>
          <cell r="B41" t="str">
            <v>Telefoonkosten</v>
          </cell>
          <cell r="C41">
            <v>1000</v>
          </cell>
        </row>
        <row r="42">
          <cell r="A42" t="str">
            <v>4240</v>
          </cell>
          <cell r="B42" t="str">
            <v>Kosten automatisering / internet</v>
          </cell>
          <cell r="C42">
            <v>0</v>
          </cell>
        </row>
        <row r="43">
          <cell r="A43" t="str">
            <v>4250</v>
          </cell>
          <cell r="B43" t="str">
            <v>Kopieerkosten</v>
          </cell>
          <cell r="C43">
            <v>0</v>
          </cell>
        </row>
        <row r="44">
          <cell r="A44" t="str">
            <v>4260</v>
          </cell>
          <cell r="B44" t="str">
            <v>Abonnementen</v>
          </cell>
          <cell r="C44">
            <v>2000</v>
          </cell>
        </row>
        <row r="45">
          <cell r="A45" t="str">
            <v>4290</v>
          </cell>
          <cell r="B45" t="str">
            <v>Overige bureaukosten</v>
          </cell>
          <cell r="C45">
            <v>35</v>
          </cell>
        </row>
        <row r="46">
          <cell r="A46" t="str">
            <v>4310</v>
          </cell>
          <cell r="B46" t="str">
            <v>Huur sportvelden</v>
          </cell>
          <cell r="C46">
            <v>17000</v>
          </cell>
        </row>
        <row r="47">
          <cell r="A47" t="str">
            <v>4320</v>
          </cell>
          <cell r="B47" t="str">
            <v>(Klein) onderhoud</v>
          </cell>
          <cell r="C47">
            <v>1500</v>
          </cell>
        </row>
        <row r="48">
          <cell r="A48" t="str">
            <v>4330</v>
          </cell>
          <cell r="B48" t="str">
            <v>Groot onderhoud</v>
          </cell>
          <cell r="C48">
            <v>0</v>
          </cell>
        </row>
        <row r="49">
          <cell r="A49" t="str">
            <v>4340</v>
          </cell>
          <cell r="B49" t="str">
            <v>Licht terreinen</v>
          </cell>
          <cell r="C49">
            <v>2500</v>
          </cell>
        </row>
        <row r="50">
          <cell r="A50" t="str">
            <v>4390</v>
          </cell>
          <cell r="B50" t="str">
            <v>Overige kosten speelvelden</v>
          </cell>
          <cell r="C50">
            <v>0</v>
          </cell>
        </row>
        <row r="51">
          <cell r="A51" t="str">
            <v>4410</v>
          </cell>
          <cell r="B51" t="str">
            <v>(Spel)materialen</v>
          </cell>
          <cell r="C51">
            <v>4500</v>
          </cell>
        </row>
        <row r="52">
          <cell r="A52" t="str">
            <v>4420</v>
          </cell>
          <cell r="B52" t="str">
            <v>Kledingkosten</v>
          </cell>
          <cell r="C52">
            <v>1485</v>
          </cell>
        </row>
        <row r="53">
          <cell r="A53" t="str">
            <v>4421</v>
          </cell>
          <cell r="B53" t="str">
            <v>Waskosten</v>
          </cell>
          <cell r="C53">
            <v>0</v>
          </cell>
        </row>
        <row r="54">
          <cell r="A54" t="str">
            <v>4430</v>
          </cell>
          <cell r="B54" t="str">
            <v>Medische kosten (w.o. EHBO)</v>
          </cell>
          <cell r="C54">
            <v>1500</v>
          </cell>
        </row>
        <row r="55">
          <cell r="A55" t="str">
            <v>4440</v>
          </cell>
          <cell r="B55" t="str">
            <v>Vervoer- en verblijfkosten</v>
          </cell>
          <cell r="C55">
            <v>0</v>
          </cell>
        </row>
        <row r="56">
          <cell r="A56" t="str">
            <v>4450</v>
          </cell>
          <cell r="B56" t="str">
            <v>Toernooien</v>
          </cell>
          <cell r="C56">
            <v>4615</v>
          </cell>
        </row>
        <row r="57">
          <cell r="A57" t="str">
            <v>4460</v>
          </cell>
          <cell r="B57" t="str">
            <v>Clubscheidsrechterskosten</v>
          </cell>
          <cell r="C57">
            <v>0</v>
          </cell>
        </row>
        <row r="58">
          <cell r="A58" t="str">
            <v>4470</v>
          </cell>
          <cell r="B58" t="str">
            <v>Kosten KNVB (gehele nota)</v>
          </cell>
          <cell r="C58">
            <v>17000</v>
          </cell>
        </row>
        <row r="59">
          <cell r="A59" t="str">
            <v>4480</v>
          </cell>
          <cell r="B59" t="str">
            <v>Kosten futsal</v>
          </cell>
          <cell r="C59">
            <v>0</v>
          </cell>
        </row>
        <row r="60">
          <cell r="A60" t="str">
            <v>4490</v>
          </cell>
          <cell r="B60" t="str">
            <v>Overige wedstrijdkosten</v>
          </cell>
          <cell r="C60">
            <v>1000</v>
          </cell>
        </row>
        <row r="61">
          <cell r="A61" t="str">
            <v>4491</v>
          </cell>
          <cell r="B61" t="str">
            <v>Selectiekosten</v>
          </cell>
          <cell r="C61">
            <v>-1080</v>
          </cell>
        </row>
        <row r="62">
          <cell r="A62" t="str">
            <v>4491.1</v>
          </cell>
          <cell r="B62" t="str">
            <v>Heren eten/drinken</v>
          </cell>
          <cell r="C62">
            <v>3440</v>
          </cell>
        </row>
        <row r="63">
          <cell r="A63" t="str">
            <v>4491.2</v>
          </cell>
          <cell r="B63" t="str">
            <v>Heren schoenen</v>
          </cell>
          <cell r="C63">
            <v>3440</v>
          </cell>
        </row>
        <row r="64">
          <cell r="A64" t="str">
            <v>4491.3</v>
          </cell>
          <cell r="B64" t="str">
            <v>Heren kleding/tassen e.d.</v>
          </cell>
          <cell r="C64">
            <v>1000</v>
          </cell>
        </row>
        <row r="65">
          <cell r="A65" t="str">
            <v>4491.4</v>
          </cell>
          <cell r="B65" t="str">
            <v>Heren reiskosten</v>
          </cell>
          <cell r="C65">
            <v>1250</v>
          </cell>
        </row>
        <row r="66">
          <cell r="A66" t="str">
            <v>4491.5</v>
          </cell>
          <cell r="B66" t="str">
            <v>Dames</v>
          </cell>
          <cell r="C66">
            <v>1300</v>
          </cell>
        </row>
        <row r="67">
          <cell r="A67" t="str">
            <v>4491.6</v>
          </cell>
          <cell r="B67" t="str">
            <v>Jeugd</v>
          </cell>
          <cell r="C67">
            <v>1050</v>
          </cell>
        </row>
        <row r="68">
          <cell r="A68" t="str">
            <v>4491.7</v>
          </cell>
          <cell r="B68" t="str">
            <v>Diversen</v>
          </cell>
          <cell r="C68">
            <v>1500</v>
          </cell>
        </row>
        <row r="69">
          <cell r="A69" t="str">
            <v>4491.8</v>
          </cell>
          <cell r="B69" t="str">
            <v>Activiteiten</v>
          </cell>
          <cell r="C69">
            <v>5400</v>
          </cell>
        </row>
        <row r="70">
          <cell r="A70" t="str">
            <v>4492</v>
          </cell>
          <cell r="B70" t="str">
            <v>Recreatieactiviteit senioren</v>
          </cell>
          <cell r="C70">
            <v>100</v>
          </cell>
        </row>
        <row r="71">
          <cell r="A71" t="str">
            <v>4510</v>
          </cell>
          <cell r="B71" t="str">
            <v>Bestuurskosten</v>
          </cell>
          <cell r="C71">
            <v>0</v>
          </cell>
        </row>
        <row r="72">
          <cell r="A72" t="str">
            <v>4520</v>
          </cell>
          <cell r="B72" t="str">
            <v>Seniorencommissie</v>
          </cell>
          <cell r="C72">
            <v>0</v>
          </cell>
        </row>
        <row r="73">
          <cell r="A73" t="str">
            <v>4530</v>
          </cell>
          <cell r="B73" t="str">
            <v>Jeugdcommissie</v>
          </cell>
          <cell r="C73">
            <v>300</v>
          </cell>
        </row>
        <row r="74">
          <cell r="A74" t="str">
            <v>4540</v>
          </cell>
          <cell r="B74" t="str">
            <v>Sponsorcommissie</v>
          </cell>
          <cell r="C74">
            <v>1000</v>
          </cell>
        </row>
        <row r="75">
          <cell r="A75" t="str">
            <v>4550</v>
          </cell>
          <cell r="B75" t="str">
            <v>Lagere seniorencommissie</v>
          </cell>
          <cell r="C75">
            <v>600</v>
          </cell>
        </row>
        <row r="76">
          <cell r="A76" t="str">
            <v>4560</v>
          </cell>
          <cell r="B76" t="str">
            <v>Damescommissie</v>
          </cell>
          <cell r="C76">
            <v>300</v>
          </cell>
        </row>
        <row r="77">
          <cell r="A77" t="str">
            <v>4580</v>
          </cell>
          <cell r="B77" t="str">
            <v>Overige commissies</v>
          </cell>
          <cell r="C77">
            <v>0</v>
          </cell>
        </row>
        <row r="78">
          <cell r="A78" t="str">
            <v>4590</v>
          </cell>
          <cell r="B78" t="str">
            <v>Representatiekosten</v>
          </cell>
          <cell r="C78">
            <v>1500</v>
          </cell>
        </row>
        <row r="79">
          <cell r="A79" t="str">
            <v>4810</v>
          </cell>
          <cell r="B79" t="str">
            <v>Kosten reclameborden e.d.</v>
          </cell>
          <cell r="C79">
            <v>0</v>
          </cell>
        </row>
        <row r="80">
          <cell r="A80" t="str">
            <v>4820</v>
          </cell>
          <cell r="B80" t="str">
            <v>Kosten acties / loterijen</v>
          </cell>
          <cell r="C80">
            <v>0</v>
          </cell>
        </row>
        <row r="81">
          <cell r="A81" t="str">
            <v>4830</v>
          </cell>
          <cell r="B81" t="str">
            <v>Kosten clubblad</v>
          </cell>
          <cell r="C81">
            <v>6500</v>
          </cell>
        </row>
        <row r="82">
          <cell r="A82" t="str">
            <v>4840</v>
          </cell>
          <cell r="B82" t="str">
            <v>Eindejaarsweekend</v>
          </cell>
          <cell r="C82">
            <v>2000</v>
          </cell>
        </row>
        <row r="83">
          <cell r="A83" t="str">
            <v>4850</v>
          </cell>
          <cell r="B83" t="str">
            <v>Sponsoractiviteiten</v>
          </cell>
          <cell r="C83">
            <v>1700</v>
          </cell>
        </row>
        <row r="84">
          <cell r="A84" t="str">
            <v>4860</v>
          </cell>
          <cell r="B84" t="str">
            <v>Administratie &amp; PR VH</v>
          </cell>
          <cell r="C84">
            <v>1000</v>
          </cell>
        </row>
        <row r="85">
          <cell r="A85" t="str">
            <v>4870</v>
          </cell>
          <cell r="B85" t="str">
            <v>Administratie alg</v>
          </cell>
          <cell r="C85">
            <v>500</v>
          </cell>
        </row>
        <row r="86">
          <cell r="A86" t="str">
            <v>4890</v>
          </cell>
          <cell r="B86" t="str">
            <v>Overige kosten</v>
          </cell>
          <cell r="C86">
            <v>1500</v>
          </cell>
        </row>
        <row r="87">
          <cell r="A87" t="str">
            <v>4891</v>
          </cell>
          <cell r="B87" t="str">
            <v>Bankkosten</v>
          </cell>
          <cell r="C87">
            <v>925</v>
          </cell>
        </row>
        <row r="88">
          <cell r="A88" t="str">
            <v>4892</v>
          </cell>
          <cell r="B88" t="str">
            <v>Bedrijfsschadeverzekering</v>
          </cell>
          <cell r="C88">
            <v>225</v>
          </cell>
        </row>
        <row r="89">
          <cell r="A89" t="str">
            <v>4893</v>
          </cell>
          <cell r="B89" t="str">
            <v>Geldvervoerverzekering</v>
          </cell>
          <cell r="C89">
            <v>180</v>
          </cell>
        </row>
        <row r="90">
          <cell r="A90" t="str">
            <v>4894</v>
          </cell>
          <cell r="B90" t="str">
            <v>WA bedrijfsverzekering</v>
          </cell>
          <cell r="C90">
            <v>100</v>
          </cell>
        </row>
        <row r="91">
          <cell r="A91" t="str">
            <v>4895</v>
          </cell>
          <cell r="B91" t="str">
            <v>Bestuursaansprakelijkheidsverzekering</v>
          </cell>
          <cell r="C91">
            <v>335</v>
          </cell>
        </row>
        <row r="92">
          <cell r="A92" t="str">
            <v>4910</v>
          </cell>
          <cell r="B92" t="str">
            <v>Inkoop            0 %</v>
          </cell>
          <cell r="C92">
            <v>0</v>
          </cell>
        </row>
        <row r="93">
          <cell r="A93" t="str">
            <v>4911</v>
          </cell>
          <cell r="B93" t="str">
            <v>Inkoop drank  6 %</v>
          </cell>
          <cell r="C93">
            <v>0</v>
          </cell>
        </row>
        <row r="94">
          <cell r="A94" t="str">
            <v>4912</v>
          </cell>
          <cell r="B94" t="str">
            <v>Inkoop drank  19 %</v>
          </cell>
          <cell r="C94">
            <v>0</v>
          </cell>
        </row>
        <row r="95">
          <cell r="A95" t="str">
            <v>4913</v>
          </cell>
          <cell r="B95" t="str">
            <v>Inkoop etenswaren  6 %</v>
          </cell>
          <cell r="C95">
            <v>0</v>
          </cell>
        </row>
        <row r="96">
          <cell r="A96" t="str">
            <v>4914</v>
          </cell>
          <cell r="B96" t="str">
            <v>Inkoop etenswaren  19 %</v>
          </cell>
          <cell r="C96">
            <v>0</v>
          </cell>
        </row>
        <row r="97">
          <cell r="A97" t="str">
            <v>4915</v>
          </cell>
          <cell r="B97" t="str">
            <v>Inkoop drank</v>
          </cell>
          <cell r="C97">
            <v>41300</v>
          </cell>
        </row>
        <row r="98">
          <cell r="A98" t="str">
            <v>4916</v>
          </cell>
          <cell r="B98" t="str">
            <v>Inkoop snoep e.d</v>
          </cell>
          <cell r="C98">
            <v>0</v>
          </cell>
        </row>
        <row r="99">
          <cell r="A99" t="str">
            <v>4917</v>
          </cell>
          <cell r="B99" t="str">
            <v>Inkoop etenswaren</v>
          </cell>
          <cell r="C99">
            <v>0</v>
          </cell>
        </row>
        <row r="100">
          <cell r="A100" t="str">
            <v>4918</v>
          </cell>
          <cell r="B100" t="str">
            <v>Inkoop koffie thee</v>
          </cell>
          <cell r="C100">
            <v>0</v>
          </cell>
        </row>
        <row r="101">
          <cell r="A101" t="str">
            <v>4930</v>
          </cell>
          <cell r="B101" t="str">
            <v>Ontvangst gasten</v>
          </cell>
          <cell r="C101">
            <v>0</v>
          </cell>
        </row>
        <row r="102">
          <cell r="A102" t="str">
            <v>4940</v>
          </cell>
          <cell r="B102" t="str">
            <v>Eigen gebruik vrijw/commiss</v>
          </cell>
          <cell r="C102">
            <v>2200</v>
          </cell>
        </row>
        <row r="103">
          <cell r="A103" t="str">
            <v>4950</v>
          </cell>
          <cell r="B103" t="str">
            <v>Eigen gebruik kant/werkers</v>
          </cell>
          <cell r="C103">
            <v>1800</v>
          </cell>
        </row>
        <row r="104">
          <cell r="A104" t="str">
            <v>4960</v>
          </cell>
          <cell r="B104" t="str">
            <v>Vergoedingen kantinepersoneel</v>
          </cell>
          <cell r="C104">
            <v>0</v>
          </cell>
        </row>
        <row r="105">
          <cell r="A105" t="str">
            <v>4970</v>
          </cell>
          <cell r="B105" t="str">
            <v>Overige kantinekosten</v>
          </cell>
          <cell r="C105">
            <v>1200</v>
          </cell>
        </row>
        <row r="106">
          <cell r="A106" t="str">
            <v>4971</v>
          </cell>
          <cell r="B106" t="str">
            <v>Schoonmaakkosten derden</v>
          </cell>
          <cell r="C106">
            <v>8000</v>
          </cell>
        </row>
        <row r="107">
          <cell r="A107" t="str">
            <v>4972</v>
          </cell>
          <cell r="B107" t="str">
            <v>Schoonmaakartikelen</v>
          </cell>
          <cell r="C107">
            <v>1000</v>
          </cell>
        </row>
        <row r="108">
          <cell r="A108" t="str">
            <v>4973</v>
          </cell>
          <cell r="B108" t="str">
            <v>Containerkosten</v>
          </cell>
          <cell r="C108">
            <v>2600</v>
          </cell>
        </row>
        <row r="109">
          <cell r="A109" t="str">
            <v>4980</v>
          </cell>
          <cell r="B109" t="str">
            <v>BTW eigen gebruik</v>
          </cell>
          <cell r="C109">
            <v>0</v>
          </cell>
        </row>
        <row r="110">
          <cell r="A110" t="str">
            <v>4990</v>
          </cell>
          <cell r="B110" t="str">
            <v>Rente lening brouwerij</v>
          </cell>
          <cell r="C110">
            <v>700</v>
          </cell>
        </row>
        <row r="111">
          <cell r="A111" t="str">
            <v>8010</v>
          </cell>
          <cell r="B111" t="str">
            <v>Contributies</v>
          </cell>
          <cell r="C111">
            <v>-102000</v>
          </cell>
        </row>
        <row r="112">
          <cell r="A112" t="str">
            <v>8050</v>
          </cell>
          <cell r="B112" t="str">
            <v>Donateurs</v>
          </cell>
          <cell r="C112">
            <v>-1000</v>
          </cell>
        </row>
        <row r="113">
          <cell r="A113" t="str">
            <v>8110</v>
          </cell>
          <cell r="B113" t="str">
            <v>Sponsorbijdragen</v>
          </cell>
          <cell r="C113">
            <v>-6000</v>
          </cell>
        </row>
        <row r="114">
          <cell r="A114" t="str">
            <v>8120</v>
          </cell>
          <cell r="B114" t="str">
            <v>Reclameborden e.d.</v>
          </cell>
          <cell r="C114">
            <v>-4100</v>
          </cell>
        </row>
        <row r="115">
          <cell r="A115" t="str">
            <v>8130</v>
          </cell>
          <cell r="B115" t="str">
            <v>Club van 100</v>
          </cell>
          <cell r="C115">
            <v>-3500</v>
          </cell>
        </row>
        <row r="116">
          <cell r="A116" t="str">
            <v>8140</v>
          </cell>
          <cell r="B116" t="str">
            <v>Advertentie-opbrengst clubblad</v>
          </cell>
          <cell r="C116">
            <v>-3300</v>
          </cell>
        </row>
        <row r="117">
          <cell r="A117" t="str">
            <v>8150</v>
          </cell>
          <cell r="B117" t="str">
            <v>Entreegelden</v>
          </cell>
          <cell r="C117">
            <v>-1200</v>
          </cell>
        </row>
        <row r="118">
          <cell r="A118" t="str">
            <v>8160</v>
          </cell>
          <cell r="B118" t="str">
            <v>Combicontracten</v>
          </cell>
          <cell r="C118">
            <v>-4050</v>
          </cell>
        </row>
        <row r="119">
          <cell r="A119" t="str">
            <v>8170</v>
          </cell>
          <cell r="B119" t="str">
            <v>VDZ Hogerop</v>
          </cell>
          <cell r="C119">
            <v>-9900</v>
          </cell>
        </row>
        <row r="120">
          <cell r="A120" t="str">
            <v>8190</v>
          </cell>
          <cell r="B120" t="str">
            <v>Overige sponsoring</v>
          </cell>
          <cell r="C120">
            <v>-1200</v>
          </cell>
        </row>
        <row r="121">
          <cell r="A121" t="str">
            <v>8210</v>
          </cell>
          <cell r="B121" t="str">
            <v>Nationale lotto</v>
          </cell>
          <cell r="C121">
            <v>-700</v>
          </cell>
        </row>
        <row r="122">
          <cell r="A122" t="str">
            <v>8220</v>
          </cell>
          <cell r="B122" t="str">
            <v>Loterijen/bingo's</v>
          </cell>
          <cell r="C122">
            <v>-500</v>
          </cell>
        </row>
        <row r="123">
          <cell r="A123" t="str">
            <v>8230</v>
          </cell>
          <cell r="B123" t="str">
            <v>Oud papier</v>
          </cell>
          <cell r="C123">
            <v>0</v>
          </cell>
        </row>
        <row r="124">
          <cell r="A124" t="str">
            <v>8240</v>
          </cell>
          <cell r="B124" t="str">
            <v>Grote clubactie</v>
          </cell>
          <cell r="C124">
            <v>-2500</v>
          </cell>
        </row>
        <row r="125">
          <cell r="A125" t="str">
            <v>8250</v>
          </cell>
          <cell r="B125" t="str">
            <v>Lijfrente actie</v>
          </cell>
          <cell r="C125">
            <v>-225</v>
          </cell>
        </row>
        <row r="126">
          <cell r="A126" t="str">
            <v>8290</v>
          </cell>
          <cell r="B126" t="str">
            <v>Overige acties</v>
          </cell>
          <cell r="C126">
            <v>0</v>
          </cell>
        </row>
        <row r="127">
          <cell r="A127" t="str">
            <v>8310</v>
          </cell>
          <cell r="B127" t="str">
            <v>Onderhoud subsidie gebouwen</v>
          </cell>
          <cell r="C127">
            <v>0</v>
          </cell>
        </row>
        <row r="128">
          <cell r="A128" t="str">
            <v>8320</v>
          </cell>
          <cell r="B128" t="str">
            <v>Onderhoud subsidie terreinen</v>
          </cell>
          <cell r="C128">
            <v>0</v>
          </cell>
        </row>
        <row r="129">
          <cell r="A129" t="str">
            <v>8330</v>
          </cell>
          <cell r="B129" t="str">
            <v>Jeugdsubsidie</v>
          </cell>
          <cell r="C129">
            <v>0</v>
          </cell>
        </row>
        <row r="130">
          <cell r="A130" t="str">
            <v>8340</v>
          </cell>
          <cell r="B130" t="str">
            <v>Subsidie kaderopleidingen</v>
          </cell>
          <cell r="C130">
            <v>0</v>
          </cell>
        </row>
        <row r="131">
          <cell r="A131" t="str">
            <v>8390</v>
          </cell>
          <cell r="B131" t="str">
            <v>Overige subsidies</v>
          </cell>
          <cell r="C131">
            <v>0</v>
          </cell>
        </row>
        <row r="132">
          <cell r="A132" t="str">
            <v>8510</v>
          </cell>
          <cell r="B132" t="str">
            <v>Verkoop clubartikelen</v>
          </cell>
          <cell r="C132">
            <v>0</v>
          </cell>
        </row>
        <row r="133">
          <cell r="A133" t="str">
            <v>8520</v>
          </cell>
          <cell r="B133" t="str">
            <v>Interest</v>
          </cell>
          <cell r="C133">
            <v>-1000</v>
          </cell>
        </row>
        <row r="134">
          <cell r="A134" t="str">
            <v>8530</v>
          </cell>
          <cell r="B134" t="str">
            <v>Boete spelers</v>
          </cell>
          <cell r="C134">
            <v>0</v>
          </cell>
        </row>
        <row r="135">
          <cell r="A135" t="str">
            <v>8540</v>
          </cell>
          <cell r="B135" t="str">
            <v>Schenkingen</v>
          </cell>
          <cell r="C135">
            <v>0</v>
          </cell>
        </row>
        <row r="136">
          <cell r="A136" t="str">
            <v>8550</v>
          </cell>
          <cell r="B136" t="str">
            <v>Vergoeding Dommelsch</v>
          </cell>
          <cell r="C136">
            <v>-1042</v>
          </cell>
        </row>
        <row r="137">
          <cell r="A137" t="str">
            <v>8590</v>
          </cell>
          <cell r="B137" t="str">
            <v>Overige opbrengsten</v>
          </cell>
          <cell r="C137">
            <v>-1500</v>
          </cell>
        </row>
        <row r="138">
          <cell r="A138" t="str">
            <v>8910</v>
          </cell>
          <cell r="B138" t="str">
            <v>Kantineverkopen aan derden</v>
          </cell>
          <cell r="C138">
            <v>-107300</v>
          </cell>
        </row>
        <row r="139">
          <cell r="A139" t="str">
            <v>8920</v>
          </cell>
          <cell r="B139" t="str">
            <v>Opbrengst speelautomaten</v>
          </cell>
          <cell r="C139">
            <v>0</v>
          </cell>
        </row>
        <row r="140">
          <cell r="A140" t="str">
            <v>8990</v>
          </cell>
          <cell r="B140" t="str">
            <v>Overige kantine-inkomsten</v>
          </cell>
          <cell r="C140">
            <v>0</v>
          </cell>
        </row>
      </sheetData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Kantine"/>
      <sheetName val="Verdicht"/>
      <sheetName val="DT euro"/>
      <sheetName val="DT %"/>
      <sheetName val="Balansen"/>
      <sheetName val="Groepen"/>
      <sheetName val="Rekeningen"/>
      <sheetName val="BV 140921"/>
      <sheetName val="Blad5"/>
      <sheetName val="Bel plan"/>
      <sheetName val="Log"/>
    </sheetNames>
    <sheetDataSet>
      <sheetData sheetId="0"/>
      <sheetData sheetId="1"/>
      <sheetData sheetId="2">
        <row r="1">
          <cell r="E1" t="str">
            <v>S 1516</v>
          </cell>
        </row>
      </sheetData>
      <sheetData sheetId="3">
        <row r="6">
          <cell r="L6">
            <v>38251.64</v>
          </cell>
        </row>
      </sheetData>
      <sheetData sheetId="4"/>
      <sheetData sheetId="5"/>
      <sheetData sheetId="6">
        <row r="4">
          <cell r="A4" t="str">
            <v>00</v>
          </cell>
          <cell r="B4" t="str">
            <v>MVA/afschrijvingen</v>
          </cell>
        </row>
        <row r="5">
          <cell r="A5" t="str">
            <v>02</v>
          </cell>
          <cell r="B5" t="str">
            <v>Vlottende activa</v>
          </cell>
        </row>
        <row r="6">
          <cell r="A6" t="str">
            <v>05</v>
          </cell>
          <cell r="B6" t="str">
            <v>Vorderingen op korte termijn</v>
          </cell>
        </row>
        <row r="7">
          <cell r="A7" t="str">
            <v>10</v>
          </cell>
          <cell r="B7" t="str">
            <v>Liquide middelen</v>
          </cell>
        </row>
        <row r="8">
          <cell r="A8" t="str">
            <v>20</v>
          </cell>
          <cell r="B8" t="str">
            <v>Eigen vermogen</v>
          </cell>
        </row>
        <row r="9">
          <cell r="A9" t="str">
            <v>22</v>
          </cell>
          <cell r="B9" t="str">
            <v>(Mutatie) voorzieningen</v>
          </cell>
        </row>
        <row r="10">
          <cell r="A10" t="str">
            <v>30</v>
          </cell>
          <cell r="B10" t="str">
            <v>Schulden op lange termijn</v>
          </cell>
        </row>
        <row r="11">
          <cell r="A11" t="str">
            <v>35</v>
          </cell>
          <cell r="B11" t="str">
            <v>Schulden op korte termijn</v>
          </cell>
        </row>
        <row r="12">
          <cell r="A12" t="str">
            <v>40</v>
          </cell>
          <cell r="B12" t="str">
            <v>Personeelskosten</v>
          </cell>
        </row>
        <row r="13">
          <cell r="A13" t="str">
            <v>41</v>
          </cell>
          <cell r="B13" t="str">
            <v>Huisvestingskosten</v>
          </cell>
        </row>
        <row r="14">
          <cell r="A14" t="str">
            <v>42</v>
          </cell>
          <cell r="B14" t="str">
            <v>Bureaukosten</v>
          </cell>
        </row>
        <row r="15">
          <cell r="A15" t="str">
            <v>43</v>
          </cell>
          <cell r="B15" t="str">
            <v>Accommodatiekosten / sportvelden</v>
          </cell>
        </row>
        <row r="16">
          <cell r="A16" t="str">
            <v>44</v>
          </cell>
          <cell r="B16" t="str">
            <v>Wedstrijdkosten</v>
          </cell>
        </row>
        <row r="17">
          <cell r="A17" t="str">
            <v>45</v>
          </cell>
          <cell r="B17" t="str">
            <v>Bestuur en commissies</v>
          </cell>
        </row>
        <row r="18">
          <cell r="A18" t="str">
            <v>48</v>
          </cell>
          <cell r="B18" t="str">
            <v>Diverse lasten</v>
          </cell>
        </row>
        <row r="19">
          <cell r="A19" t="str">
            <v>49</v>
          </cell>
          <cell r="B19" t="str">
            <v>Kantinekosten</v>
          </cell>
        </row>
        <row r="20">
          <cell r="A20" t="str">
            <v>80</v>
          </cell>
          <cell r="B20" t="str">
            <v>Contributies</v>
          </cell>
        </row>
        <row r="21">
          <cell r="A21" t="str">
            <v>81</v>
          </cell>
          <cell r="B21" t="str">
            <v>Sponsoring / entreegelden e.d.</v>
          </cell>
        </row>
        <row r="22">
          <cell r="A22" t="str">
            <v>82</v>
          </cell>
          <cell r="B22" t="str">
            <v>Acties / loterijen</v>
          </cell>
        </row>
        <row r="23">
          <cell r="A23" t="str">
            <v>85</v>
          </cell>
          <cell r="B23" t="str">
            <v>Diverse baten</v>
          </cell>
        </row>
        <row r="24">
          <cell r="A24" t="str">
            <v>89</v>
          </cell>
          <cell r="B24" t="str">
            <v>Kantine-inkomsten</v>
          </cell>
        </row>
        <row r="25">
          <cell r="A25" t="str">
            <v>47</v>
          </cell>
          <cell r="B25" t="str">
            <v>Beleidsruimte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en"/>
      <sheetName val="Mutaties"/>
      <sheetName val="Lijsten"/>
    </sheetNames>
    <sheetDataSet>
      <sheetData sheetId="0"/>
      <sheetData sheetId="1">
        <row r="2">
          <cell r="A2" t="str">
            <v>Hoofdsponsor</v>
          </cell>
        </row>
      </sheetData>
      <sheetData sheetId="2">
        <row r="2">
          <cell r="A2" t="str">
            <v>Hoofdsponsor</v>
          </cell>
        </row>
        <row r="3">
          <cell r="A3" t="str">
            <v>Subsponsor</v>
          </cell>
        </row>
        <row r="4">
          <cell r="A4" t="str">
            <v>VDZ Hogerop</v>
          </cell>
        </row>
        <row r="5">
          <cell r="A5" t="str">
            <v>VDZ Hogerop combi</v>
          </cell>
        </row>
        <row r="6">
          <cell r="A6" t="str">
            <v>VDZ Hogerop Jeugd</v>
          </cell>
        </row>
        <row r="7">
          <cell r="A7" t="str">
            <v>Reclamebord</v>
          </cell>
        </row>
        <row r="8">
          <cell r="A8" t="str">
            <v>Advertentie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groting 2627"/>
      <sheetName val="resultaat"/>
      <sheetName val="detail lasten"/>
      <sheetName val="detail baten"/>
      <sheetName val="meerjaren doorkijk (2)"/>
      <sheetName val="Effect versch invest 2,9mln"/>
      <sheetName val="B&amp;L meerjarig"/>
      <sheetName val=" salaris 2627 nntb"/>
      <sheetName val="vrijw verg jeugd nntb"/>
      <sheetName val="vrijw verg diverse nntb"/>
      <sheetName val="meerjarig lasten"/>
      <sheetName val="meerjarige baten"/>
      <sheetName val="Combi bank en VDZ"/>
      <sheetName val="Balans2526"/>
    </sheetNames>
    <sheetDataSet>
      <sheetData sheetId="0">
        <row r="4">
          <cell r="J4">
            <v>345000</v>
          </cell>
        </row>
        <row r="5">
          <cell r="J5">
            <v>31000</v>
          </cell>
        </row>
        <row r="6">
          <cell r="J6">
            <v>100000</v>
          </cell>
        </row>
        <row r="7">
          <cell r="J7">
            <v>1000</v>
          </cell>
        </row>
        <row r="8">
          <cell r="J8">
            <v>2500</v>
          </cell>
        </row>
        <row r="9">
          <cell r="J9">
            <v>210000</v>
          </cell>
        </row>
        <row r="10">
          <cell r="J10">
            <v>12000</v>
          </cell>
        </row>
        <row r="11">
          <cell r="J11">
            <v>18000</v>
          </cell>
        </row>
        <row r="19">
          <cell r="F19">
            <v>23000</v>
          </cell>
        </row>
        <row r="20">
          <cell r="F20">
            <v>15000</v>
          </cell>
        </row>
        <row r="22">
          <cell r="J22">
            <v>38000</v>
          </cell>
        </row>
        <row r="25">
          <cell r="I25">
            <v>0</v>
          </cell>
        </row>
        <row r="26">
          <cell r="I26">
            <v>2000</v>
          </cell>
        </row>
        <row r="27">
          <cell r="I27">
            <v>49000</v>
          </cell>
        </row>
        <row r="28">
          <cell r="J28">
            <v>51000</v>
          </cell>
        </row>
        <row r="31">
          <cell r="I31">
            <v>136725.76172735915</v>
          </cell>
        </row>
        <row r="32">
          <cell r="I32">
            <v>49685</v>
          </cell>
        </row>
        <row r="33">
          <cell r="I33">
            <v>14000</v>
          </cell>
        </row>
        <row r="34">
          <cell r="J34">
            <v>200410.76172735915</v>
          </cell>
        </row>
        <row r="37">
          <cell r="F37">
            <v>28000</v>
          </cell>
        </row>
        <row r="38">
          <cell r="F38">
            <v>5000</v>
          </cell>
        </row>
        <row r="39">
          <cell r="F39">
            <v>12800</v>
          </cell>
        </row>
        <row r="40">
          <cell r="F40">
            <v>1200</v>
          </cell>
        </row>
        <row r="41">
          <cell r="F41">
            <v>1500</v>
          </cell>
        </row>
        <row r="42">
          <cell r="F42">
            <v>3500</v>
          </cell>
        </row>
        <row r="43">
          <cell r="F43">
            <v>6000</v>
          </cell>
        </row>
        <row r="44">
          <cell r="J44">
            <v>58000</v>
          </cell>
        </row>
        <row r="47">
          <cell r="E47">
            <v>500</v>
          </cell>
        </row>
        <row r="48">
          <cell r="E48">
            <v>3000</v>
          </cell>
        </row>
        <row r="49">
          <cell r="E49">
            <v>10000</v>
          </cell>
        </row>
        <row r="50">
          <cell r="J50">
            <v>13500</v>
          </cell>
        </row>
        <row r="53">
          <cell r="F53">
            <v>51839</v>
          </cell>
        </row>
        <row r="54">
          <cell r="F54">
            <v>5000</v>
          </cell>
        </row>
        <row r="56">
          <cell r="J56">
            <v>56839</v>
          </cell>
        </row>
        <row r="59">
          <cell r="I59">
            <v>13250</v>
          </cell>
        </row>
        <row r="60">
          <cell r="I60">
            <v>5750</v>
          </cell>
        </row>
        <row r="61">
          <cell r="I61">
            <v>8000</v>
          </cell>
        </row>
        <row r="62">
          <cell r="I62">
            <v>2500</v>
          </cell>
        </row>
        <row r="63">
          <cell r="I63">
            <v>21000</v>
          </cell>
        </row>
        <row r="64">
          <cell r="I64">
            <v>45000</v>
          </cell>
        </row>
        <row r="65">
          <cell r="B65">
            <v>24000</v>
          </cell>
          <cell r="C65">
            <v>1000</v>
          </cell>
        </row>
        <row r="66">
          <cell r="J66">
            <v>120500</v>
          </cell>
        </row>
        <row r="69">
          <cell r="I69">
            <v>10000</v>
          </cell>
        </row>
        <row r="70">
          <cell r="J70">
            <v>10000</v>
          </cell>
        </row>
        <row r="74">
          <cell r="I74">
            <v>5000</v>
          </cell>
        </row>
        <row r="75">
          <cell r="I75">
            <v>15000</v>
          </cell>
        </row>
        <row r="76">
          <cell r="I76">
            <v>10000</v>
          </cell>
        </row>
        <row r="77">
          <cell r="I77">
            <v>6000</v>
          </cell>
        </row>
        <row r="78">
          <cell r="I78">
            <v>1000</v>
          </cell>
        </row>
        <row r="79">
          <cell r="I79">
            <v>4000</v>
          </cell>
        </row>
        <row r="80">
          <cell r="I80">
            <v>3000</v>
          </cell>
        </row>
        <row r="81">
          <cell r="J81">
            <v>44000</v>
          </cell>
        </row>
        <row r="84">
          <cell r="G84">
            <v>80000</v>
          </cell>
        </row>
        <row r="85">
          <cell r="I85">
            <v>6000</v>
          </cell>
        </row>
        <row r="86">
          <cell r="I86">
            <v>2750</v>
          </cell>
        </row>
        <row r="87">
          <cell r="I87">
            <v>12000</v>
          </cell>
        </row>
        <row r="88">
          <cell r="I88">
            <v>9000</v>
          </cell>
        </row>
        <row r="89">
          <cell r="J89">
            <v>109750</v>
          </cell>
        </row>
      </sheetData>
      <sheetData sheetId="1"/>
      <sheetData sheetId="2">
        <row r="10">
          <cell r="K10">
            <v>38000</v>
          </cell>
        </row>
        <row r="16">
          <cell r="I16">
            <v>32000</v>
          </cell>
          <cell r="K16">
            <v>51000</v>
          </cell>
        </row>
        <row r="22">
          <cell r="I22">
            <v>208000</v>
          </cell>
          <cell r="K22">
            <v>200410.76172735915</v>
          </cell>
        </row>
        <row r="32">
          <cell r="I32">
            <v>53400</v>
          </cell>
          <cell r="K32">
            <v>58000</v>
          </cell>
        </row>
        <row r="37">
          <cell r="I37">
            <v>12000</v>
          </cell>
          <cell r="K37">
            <v>13500</v>
          </cell>
        </row>
        <row r="42">
          <cell r="I42">
            <v>36000</v>
          </cell>
          <cell r="K42">
            <v>56839</v>
          </cell>
        </row>
        <row r="51">
          <cell r="I51">
            <v>99200</v>
          </cell>
          <cell r="K51">
            <v>120500</v>
          </cell>
        </row>
        <row r="54">
          <cell r="I54">
            <v>6000</v>
          </cell>
          <cell r="K54">
            <v>10000</v>
          </cell>
        </row>
        <row r="64">
          <cell r="I64">
            <v>32400</v>
          </cell>
          <cell r="K64">
            <v>44000</v>
          </cell>
        </row>
        <row r="67">
          <cell r="I67">
            <v>77000</v>
          </cell>
          <cell r="K67">
            <v>80000</v>
          </cell>
        </row>
        <row r="68">
          <cell r="I68">
            <v>5500</v>
          </cell>
          <cell r="K68">
            <v>6000</v>
          </cell>
        </row>
        <row r="69">
          <cell r="I69">
            <v>2500</v>
          </cell>
          <cell r="K69">
            <v>2750</v>
          </cell>
        </row>
        <row r="70">
          <cell r="I70">
            <v>11000</v>
          </cell>
          <cell r="K70">
            <v>12000</v>
          </cell>
        </row>
        <row r="71">
          <cell r="I71">
            <v>9000</v>
          </cell>
          <cell r="K71">
            <v>9000</v>
          </cell>
        </row>
      </sheetData>
      <sheetData sheetId="3">
        <row r="11">
          <cell r="B11">
            <v>345000</v>
          </cell>
          <cell r="D11">
            <v>376000</v>
          </cell>
        </row>
        <row r="14">
          <cell r="B14">
            <v>80000</v>
          </cell>
          <cell r="D14">
            <v>100000</v>
          </cell>
        </row>
        <row r="18">
          <cell r="B18">
            <v>0</v>
          </cell>
          <cell r="D18">
            <v>1000</v>
          </cell>
        </row>
        <row r="23">
          <cell r="B23">
            <v>1600</v>
          </cell>
          <cell r="D23">
            <v>32500</v>
          </cell>
        </row>
        <row r="25">
          <cell r="D25">
            <v>210000</v>
          </cell>
        </row>
        <row r="26">
          <cell r="B26">
            <v>205000</v>
          </cell>
        </row>
      </sheetData>
      <sheetData sheetId="4"/>
      <sheetData sheetId="5"/>
      <sheetData sheetId="6">
        <row r="6">
          <cell r="E6">
            <v>39500</v>
          </cell>
        </row>
      </sheetData>
      <sheetData sheetId="7">
        <row r="56">
          <cell r="B56">
            <v>16032</v>
          </cell>
          <cell r="D56">
            <v>12744</v>
          </cell>
          <cell r="E56">
            <v>23432.437350359138</v>
          </cell>
          <cell r="L56">
            <v>16735.52</v>
          </cell>
          <cell r="M56">
            <v>16735.52</v>
          </cell>
          <cell r="N56">
            <v>0</v>
          </cell>
          <cell r="O56">
            <v>20788.800000000003</v>
          </cell>
          <cell r="P56">
            <v>7685.8</v>
          </cell>
          <cell r="Q56">
            <v>7670</v>
          </cell>
          <cell r="R56">
            <v>9615</v>
          </cell>
          <cell r="T56">
            <v>10686.684377000001</v>
          </cell>
        </row>
        <row r="58">
          <cell r="V58">
            <v>-5400</v>
          </cell>
        </row>
      </sheetData>
      <sheetData sheetId="8">
        <row r="2">
          <cell r="H2">
            <v>29920</v>
          </cell>
        </row>
      </sheetData>
      <sheetData sheetId="9">
        <row r="5">
          <cell r="F5">
            <v>1650</v>
          </cell>
        </row>
        <row r="6">
          <cell r="F6">
            <v>1500</v>
          </cell>
        </row>
        <row r="7">
          <cell r="F7">
            <v>2100</v>
          </cell>
        </row>
        <row r="8">
          <cell r="F8">
            <v>1400</v>
          </cell>
        </row>
        <row r="9">
          <cell r="F9">
            <v>1750</v>
          </cell>
        </row>
        <row r="10">
          <cell r="F10">
            <v>1750</v>
          </cell>
        </row>
        <row r="11">
          <cell r="F11">
            <v>1000</v>
          </cell>
        </row>
        <row r="12">
          <cell r="F12">
            <v>1500</v>
          </cell>
        </row>
        <row r="13">
          <cell r="F13">
            <v>0</v>
          </cell>
        </row>
        <row r="14">
          <cell r="F14">
            <v>1500</v>
          </cell>
        </row>
        <row r="15">
          <cell r="F15">
            <v>0</v>
          </cell>
        </row>
        <row r="16">
          <cell r="F16">
            <v>1500</v>
          </cell>
        </row>
        <row r="17">
          <cell r="F17">
            <v>1350</v>
          </cell>
        </row>
        <row r="18">
          <cell r="F18">
            <v>765</v>
          </cell>
        </row>
        <row r="19">
          <cell r="F19">
            <v>2000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8DD35-45CD-4358-99DC-788540591A79}">
  <sheetPr>
    <pageSetUpPr fitToPage="1"/>
  </sheetPr>
  <dimension ref="A1:AM105"/>
  <sheetViews>
    <sheetView tabSelected="1" zoomScale="96" zoomScaleNormal="96" zoomScalePageLayoutView="127" workbookViewId="0">
      <pane ySplit="16" topLeftCell="A77" activePane="bottomLeft" state="frozen"/>
      <selection pane="bottomLeft" activeCell="F54" sqref="F54"/>
    </sheetView>
  </sheetViews>
  <sheetFormatPr defaultColWidth="8.85546875" defaultRowHeight="15" x14ac:dyDescent="0.25"/>
  <cols>
    <col min="1" max="1" width="41.140625" style="3" customWidth="1"/>
    <col min="2" max="2" width="25.5703125" bestFit="1" customWidth="1"/>
    <col min="3" max="3" width="19.85546875" customWidth="1"/>
    <col min="4" max="4" width="23.5703125" customWidth="1"/>
    <col min="5" max="5" width="17.5703125" bestFit="1" customWidth="1"/>
    <col min="6" max="6" width="26.28515625" bestFit="1" customWidth="1"/>
    <col min="7" max="7" width="15.5703125" customWidth="1"/>
    <col min="8" max="8" width="14.7109375" customWidth="1"/>
    <col min="9" max="9" width="17.7109375" customWidth="1"/>
    <col min="10" max="10" width="12.85546875" style="2" bestFit="1" customWidth="1"/>
    <col min="11" max="11" width="10" style="3" hidden="1" customWidth="1"/>
    <col min="12" max="12" width="0" style="3" hidden="1" customWidth="1"/>
    <col min="13" max="13" width="10" style="3" hidden="1" customWidth="1"/>
    <col min="14" max="14" width="12.85546875" style="3" hidden="1" customWidth="1"/>
    <col min="15" max="15" width="2" style="3" hidden="1" customWidth="1"/>
    <col min="16" max="16" width="13.140625" style="4" hidden="1" customWidth="1"/>
    <col min="17" max="17" width="2.42578125" style="3" hidden="1" customWidth="1"/>
    <col min="18" max="18" width="11.85546875" style="3" hidden="1" customWidth="1"/>
    <col min="19" max="19" width="9" style="3" hidden="1" customWidth="1"/>
    <col min="20" max="20" width="15.7109375" style="3" hidden="1" customWidth="1"/>
    <col min="21" max="21" width="15.5703125" style="3" customWidth="1"/>
    <col min="22" max="33" width="8.85546875" style="3"/>
    <col min="40" max="16384" width="8.85546875" style="3"/>
  </cols>
  <sheetData>
    <row r="1" spans="1:21" ht="18" x14ac:dyDescent="0.25">
      <c r="A1" s="1" t="s">
        <v>0</v>
      </c>
      <c r="E1" t="s">
        <v>1</v>
      </c>
    </row>
    <row r="3" spans="1:21" x14ac:dyDescent="0.25">
      <c r="A3" s="5" t="s">
        <v>2</v>
      </c>
      <c r="B3" s="6"/>
      <c r="C3" s="6"/>
      <c r="D3" s="6"/>
      <c r="E3" s="6" t="s">
        <v>3</v>
      </c>
      <c r="F3" s="6"/>
      <c r="G3" s="6"/>
      <c r="H3" s="7"/>
      <c r="I3" s="8"/>
      <c r="J3" s="9"/>
    </row>
    <row r="4" spans="1:21" x14ac:dyDescent="0.25">
      <c r="A4" s="4" t="s">
        <v>4</v>
      </c>
      <c r="B4" s="10">
        <v>335000</v>
      </c>
      <c r="C4" s="3" t="s">
        <v>5</v>
      </c>
      <c r="D4" s="3"/>
      <c r="E4" s="11">
        <v>0.03</v>
      </c>
      <c r="F4" s="12"/>
      <c r="G4" s="12"/>
      <c r="H4" s="13"/>
      <c r="I4" s="14"/>
      <c r="J4" s="15">
        <f>B4*1.03-50</f>
        <v>345000</v>
      </c>
    </row>
    <row r="5" spans="1:21" x14ac:dyDescent="0.25">
      <c r="A5" s="4" t="s">
        <v>6</v>
      </c>
      <c r="B5" s="16">
        <v>30000</v>
      </c>
      <c r="C5" s="3" t="s">
        <v>5</v>
      </c>
      <c r="D5" s="3"/>
      <c r="E5" s="11">
        <v>0.03</v>
      </c>
      <c r="F5" s="12"/>
      <c r="G5" s="12"/>
      <c r="H5" s="4"/>
      <c r="I5" s="14"/>
      <c r="J5" s="15">
        <f>B5*1.03+100</f>
        <v>31000</v>
      </c>
    </row>
    <row r="6" spans="1:21" x14ac:dyDescent="0.25">
      <c r="A6" s="4" t="s">
        <v>7</v>
      </c>
      <c r="B6" s="16">
        <v>100000</v>
      </c>
      <c r="C6" s="4"/>
      <c r="D6" s="4"/>
      <c r="E6" s="4"/>
      <c r="F6" s="4"/>
      <c r="G6" s="12"/>
      <c r="H6" s="4"/>
      <c r="I6" s="14"/>
      <c r="J6" s="15">
        <f>B6</f>
        <v>100000</v>
      </c>
    </row>
    <row r="7" spans="1:21" x14ac:dyDescent="0.25">
      <c r="A7" s="4" t="s">
        <v>8</v>
      </c>
      <c r="B7" s="16">
        <v>1000</v>
      </c>
      <c r="C7" s="4" t="s">
        <v>9</v>
      </c>
      <c r="D7" s="4"/>
      <c r="E7" s="4"/>
      <c r="F7" s="4"/>
      <c r="G7" s="4"/>
      <c r="H7" s="4"/>
      <c r="I7" s="14"/>
      <c r="J7" s="15">
        <f t="shared" ref="J7:J11" si="0">B7</f>
        <v>1000</v>
      </c>
    </row>
    <row r="8" spans="1:21" x14ac:dyDescent="0.25">
      <c r="A8" s="4" t="s">
        <v>10</v>
      </c>
      <c r="B8" s="16">
        <v>2500</v>
      </c>
      <c r="C8" s="4" t="s">
        <v>11</v>
      </c>
      <c r="D8" s="4"/>
      <c r="E8" s="4"/>
      <c r="F8" s="4"/>
      <c r="G8" s="4"/>
      <c r="H8" s="4"/>
      <c r="I8" s="14"/>
      <c r="J8" s="15">
        <f t="shared" si="0"/>
        <v>2500</v>
      </c>
    </row>
    <row r="9" spans="1:21" x14ac:dyDescent="0.25">
      <c r="A9" s="4" t="s">
        <v>12</v>
      </c>
      <c r="B9" s="16">
        <v>210000</v>
      </c>
      <c r="C9" s="4" t="s">
        <v>13</v>
      </c>
      <c r="E9" s="4" t="s">
        <v>14</v>
      </c>
      <c r="G9" s="4"/>
      <c r="H9" s="4"/>
      <c r="I9" s="14"/>
      <c r="J9" s="15">
        <f t="shared" si="0"/>
        <v>210000</v>
      </c>
    </row>
    <row r="10" spans="1:21" x14ac:dyDescent="0.25">
      <c r="A10" s="4" t="s">
        <v>15</v>
      </c>
      <c r="B10" s="16">
        <v>12000</v>
      </c>
      <c r="C10" s="4" t="s">
        <v>16</v>
      </c>
      <c r="D10" s="4" t="s">
        <v>17</v>
      </c>
      <c r="E10" s="4" t="s">
        <v>18</v>
      </c>
      <c r="G10" s="4"/>
      <c r="H10" s="4"/>
      <c r="I10" s="14"/>
      <c r="J10" s="15">
        <f t="shared" si="0"/>
        <v>12000</v>
      </c>
    </row>
    <row r="11" spans="1:21" x14ac:dyDescent="0.25">
      <c r="A11" s="4" t="s">
        <v>19</v>
      </c>
      <c r="B11" s="16">
        <f>18000</f>
        <v>18000</v>
      </c>
      <c r="C11" s="4" t="s">
        <v>20</v>
      </c>
      <c r="D11" s="4"/>
      <c r="F11" s="4"/>
      <c r="G11" s="4"/>
      <c r="H11" s="4"/>
      <c r="I11" s="14"/>
      <c r="J11" s="15">
        <f t="shared" si="0"/>
        <v>18000</v>
      </c>
    </row>
    <row r="12" spans="1:21" x14ac:dyDescent="0.25">
      <c r="A12" s="17" t="s">
        <v>21</v>
      </c>
      <c r="B12" s="18">
        <f>SUM(B4:B11)</f>
        <v>708500</v>
      </c>
      <c r="C12" s="17"/>
      <c r="D12" s="17"/>
      <c r="E12" s="17"/>
      <c r="F12" s="17"/>
      <c r="G12" s="17"/>
      <c r="H12" s="17"/>
      <c r="I12" s="19"/>
      <c r="J12" s="20">
        <f>SUM(J4:J11)</f>
        <v>719500</v>
      </c>
    </row>
    <row r="13" spans="1:21" x14ac:dyDescent="0.25">
      <c r="B13" s="4"/>
      <c r="C13" s="4"/>
      <c r="D13" s="4"/>
      <c r="E13" s="4"/>
      <c r="F13" s="4"/>
      <c r="G13" s="4"/>
      <c r="H13" s="4"/>
      <c r="I13" s="14"/>
      <c r="J13" s="21"/>
    </row>
    <row r="15" spans="1:21" x14ac:dyDescent="0.25">
      <c r="A15" s="22"/>
      <c r="B15" s="22"/>
      <c r="C15" s="22"/>
      <c r="D15" s="22"/>
      <c r="E15" s="22"/>
      <c r="F15" s="22"/>
      <c r="G15" s="22"/>
      <c r="H15" s="22"/>
      <c r="I15" s="23"/>
      <c r="J15" s="24"/>
    </row>
    <row r="16" spans="1:21" x14ac:dyDescent="0.25">
      <c r="A16" s="4"/>
      <c r="B16" s="4" t="s">
        <v>22</v>
      </c>
      <c r="C16" s="4" t="s">
        <v>23</v>
      </c>
      <c r="D16" s="4" t="s">
        <v>24</v>
      </c>
      <c r="E16" s="4" t="s">
        <v>25</v>
      </c>
      <c r="F16" s="4" t="s">
        <v>26</v>
      </c>
      <c r="G16" s="4" t="s">
        <v>27</v>
      </c>
      <c r="H16" s="4" t="s">
        <v>28</v>
      </c>
      <c r="I16" s="8" t="s">
        <v>29</v>
      </c>
      <c r="J16" s="9" t="s">
        <v>21</v>
      </c>
      <c r="U16" s="25"/>
    </row>
    <row r="17" spans="1:39" x14ac:dyDescent="0.25">
      <c r="A17" s="4" t="s">
        <v>30</v>
      </c>
      <c r="I17" s="26"/>
      <c r="J17" s="27"/>
      <c r="N17" s="28"/>
      <c r="P17" s="29" t="s">
        <v>31</v>
      </c>
    </row>
    <row r="18" spans="1:39" x14ac:dyDescent="0.25">
      <c r="A18" s="4" t="s">
        <v>32</v>
      </c>
      <c r="B18" s="30"/>
      <c r="C18" s="30"/>
      <c r="D18" s="30"/>
      <c r="E18" s="30"/>
      <c r="F18" s="30"/>
      <c r="G18" s="30"/>
      <c r="H18" s="30"/>
      <c r="I18" s="26"/>
      <c r="J18" s="31"/>
      <c r="R18" s="32"/>
      <c r="S18" s="32"/>
      <c r="AH18" s="3"/>
      <c r="AI18" s="3"/>
      <c r="AJ18" s="3"/>
      <c r="AK18" s="3"/>
      <c r="AL18" s="3"/>
      <c r="AM18" s="3"/>
    </row>
    <row r="19" spans="1:39" x14ac:dyDescent="0.25">
      <c r="A19" s="3" t="s">
        <v>33</v>
      </c>
      <c r="B19" s="33"/>
      <c r="C19" s="33"/>
      <c r="D19" s="33"/>
      <c r="E19" s="33"/>
      <c r="F19" s="34">
        <v>23000</v>
      </c>
      <c r="G19" s="33"/>
      <c r="H19" s="33"/>
      <c r="I19" s="26"/>
      <c r="J19" s="27"/>
      <c r="K19" s="35" t="e">
        <f>N19-#REF!</f>
        <v>#REF!</v>
      </c>
      <c r="L19" s="36"/>
      <c r="M19" s="35" t="e">
        <f>N19-#REF!</f>
        <v>#REF!</v>
      </c>
      <c r="N19" s="37">
        <v>24350</v>
      </c>
      <c r="O19" s="38"/>
      <c r="P19" s="3"/>
      <c r="Q19" s="38"/>
      <c r="R19" s="39">
        <f>F19-N19</f>
        <v>-1350</v>
      </c>
      <c r="S19" s="40">
        <f>R19/N19</f>
        <v>-5.5441478439425054E-2</v>
      </c>
      <c r="U19" s="25"/>
      <c r="AH19" s="3"/>
      <c r="AI19" s="3"/>
      <c r="AJ19" s="3"/>
      <c r="AK19" s="3"/>
      <c r="AL19" s="3"/>
      <c r="AM19" s="3"/>
    </row>
    <row r="20" spans="1:39" x14ac:dyDescent="0.25">
      <c r="A20" s="3" t="s">
        <v>34</v>
      </c>
      <c r="B20" s="33"/>
      <c r="C20" s="33"/>
      <c r="D20" s="33"/>
      <c r="E20" s="33"/>
      <c r="F20" s="34">
        <v>15000</v>
      </c>
      <c r="G20" s="33"/>
      <c r="H20" s="33"/>
      <c r="I20" s="26"/>
      <c r="J20" s="27"/>
      <c r="K20" s="41" t="e">
        <f>N20-#REF!</f>
        <v>#REF!</v>
      </c>
      <c r="L20" s="36"/>
      <c r="M20" s="41" t="e">
        <f>N20-#REF!</f>
        <v>#REF!</v>
      </c>
      <c r="N20" s="42">
        <v>14650</v>
      </c>
      <c r="O20" s="43"/>
      <c r="P20" s="3"/>
      <c r="Q20" s="43"/>
      <c r="R20" s="44">
        <f>F20-N20</f>
        <v>350</v>
      </c>
      <c r="S20" s="45">
        <f t="shared" ref="S20:S81" si="1">R20/N20</f>
        <v>2.3890784982935155E-2</v>
      </c>
      <c r="U20" s="25"/>
      <c r="AH20" s="3"/>
      <c r="AI20" s="3"/>
      <c r="AJ20" s="3"/>
      <c r="AK20" s="3"/>
      <c r="AL20" s="3"/>
      <c r="AM20" s="3"/>
    </row>
    <row r="21" spans="1:39" x14ac:dyDescent="0.25">
      <c r="A21" s="3" t="s">
        <v>35</v>
      </c>
      <c r="B21" s="33"/>
      <c r="C21" s="33"/>
      <c r="D21" s="33"/>
      <c r="E21" s="33"/>
      <c r="F21" s="34"/>
      <c r="G21" s="33"/>
      <c r="H21" s="33"/>
      <c r="I21" s="26"/>
      <c r="J21" s="27"/>
      <c r="K21" s="46"/>
      <c r="L21" s="36"/>
      <c r="M21" s="46"/>
      <c r="N21" s="47"/>
      <c r="O21" s="43"/>
      <c r="P21" s="3"/>
      <c r="Q21" s="43"/>
      <c r="R21" s="48"/>
      <c r="S21" s="49"/>
      <c r="U21" s="25"/>
      <c r="AH21" s="3"/>
      <c r="AI21" s="3"/>
      <c r="AJ21" s="3"/>
      <c r="AK21" s="3"/>
      <c r="AL21" s="3"/>
      <c r="AM21" s="3"/>
    </row>
    <row r="22" spans="1:39" x14ac:dyDescent="0.25">
      <c r="A22" s="3" t="s">
        <v>29</v>
      </c>
      <c r="B22" s="50">
        <f>SUM(B17:B20)</f>
        <v>0</v>
      </c>
      <c r="C22" s="50">
        <f t="shared" ref="C22:F22" si="2">SUM(C17:C20)</f>
        <v>0</v>
      </c>
      <c r="D22" s="50"/>
      <c r="E22" s="50">
        <f t="shared" si="2"/>
        <v>0</v>
      </c>
      <c r="F22" s="51">
        <f t="shared" si="2"/>
        <v>38000</v>
      </c>
      <c r="G22" s="33"/>
      <c r="H22" s="33"/>
      <c r="I22" s="52"/>
      <c r="J22" s="53">
        <f>SUM(B22:H22)</f>
        <v>38000</v>
      </c>
      <c r="K22" s="35" t="e">
        <f>N22-#REF!</f>
        <v>#REF!</v>
      </c>
      <c r="L22" s="36"/>
      <c r="M22" s="35" t="e">
        <f>N22-#REF!</f>
        <v>#REF!</v>
      </c>
      <c r="N22" s="54">
        <v>39000</v>
      </c>
      <c r="O22" s="38"/>
      <c r="P22" s="55">
        <f>SUM(P19:P20)</f>
        <v>0</v>
      </c>
      <c r="Q22" s="56"/>
      <c r="R22" s="57">
        <f t="shared" ref="R22:R85" si="3">P22-N22</f>
        <v>-39000</v>
      </c>
      <c r="S22" s="40">
        <f t="shared" si="1"/>
        <v>-1</v>
      </c>
      <c r="AH22" s="3"/>
      <c r="AI22" s="3"/>
      <c r="AJ22" s="3"/>
      <c r="AK22" s="3"/>
      <c r="AL22" s="3"/>
      <c r="AM22" s="3"/>
    </row>
    <row r="23" spans="1:39" x14ac:dyDescent="0.25">
      <c r="B23" s="58"/>
      <c r="C23" s="58"/>
      <c r="D23" s="58"/>
      <c r="E23" s="58"/>
      <c r="F23" s="58"/>
      <c r="G23" s="58"/>
      <c r="H23" s="58"/>
      <c r="I23" s="26"/>
      <c r="J23" s="27"/>
      <c r="K23" s="35" t="e">
        <f>N23-#REF!</f>
        <v>#REF!</v>
      </c>
      <c r="L23" s="36"/>
      <c r="M23" s="35" t="e">
        <f>N23-#REF!</f>
        <v>#REF!</v>
      </c>
      <c r="N23" s="54"/>
      <c r="O23" s="38"/>
      <c r="P23" s="55"/>
      <c r="Q23" s="56"/>
      <c r="R23" s="57"/>
      <c r="S23" s="40"/>
      <c r="AH23" s="3"/>
      <c r="AI23" s="3"/>
      <c r="AJ23" s="3"/>
      <c r="AK23" s="3"/>
      <c r="AL23" s="3"/>
      <c r="AM23" s="3"/>
    </row>
    <row r="24" spans="1:39" x14ac:dyDescent="0.25">
      <c r="A24" s="4" t="s">
        <v>36</v>
      </c>
      <c r="B24" s="58"/>
      <c r="C24" s="58"/>
      <c r="D24" s="58"/>
      <c r="E24" s="58"/>
      <c r="F24" s="58"/>
      <c r="G24" s="58"/>
      <c r="H24" s="58"/>
      <c r="I24" s="59"/>
      <c r="J24" s="31"/>
      <c r="K24" s="35" t="e">
        <f>N24-#REF!</f>
        <v>#REF!</v>
      </c>
      <c r="L24" s="36"/>
      <c r="M24" s="35" t="e">
        <f>N24-#REF!</f>
        <v>#REF!</v>
      </c>
      <c r="N24" s="54"/>
      <c r="O24" s="38"/>
      <c r="P24" s="55"/>
      <c r="Q24" s="56"/>
      <c r="R24" s="57"/>
      <c r="S24" s="40"/>
      <c r="AH24" s="3"/>
      <c r="AI24" s="3"/>
      <c r="AJ24" s="3"/>
      <c r="AK24" s="3"/>
      <c r="AL24" s="3"/>
      <c r="AM24" s="3"/>
    </row>
    <row r="25" spans="1:39" x14ac:dyDescent="0.25">
      <c r="A25" s="3" t="s">
        <v>37</v>
      </c>
      <c r="B25" s="33"/>
      <c r="C25" s="33"/>
      <c r="D25" s="33"/>
      <c r="E25" s="60"/>
      <c r="F25" s="60"/>
      <c r="G25" s="60"/>
      <c r="H25" s="60"/>
      <c r="I25" s="61">
        <f>SUM(B25:F25)</f>
        <v>0</v>
      </c>
      <c r="J25" s="27"/>
      <c r="K25" s="35" t="e">
        <f>N25-#REF!</f>
        <v>#REF!</v>
      </c>
      <c r="L25" s="36"/>
      <c r="M25" s="35" t="e">
        <f>N25-#REF!</f>
        <v>#REF!</v>
      </c>
      <c r="N25" s="54">
        <v>7000</v>
      </c>
      <c r="O25" s="38"/>
      <c r="P25" s="3"/>
      <c r="Q25" s="56"/>
      <c r="R25" s="57">
        <f>F25-N25</f>
        <v>-7000</v>
      </c>
      <c r="S25" s="40">
        <f t="shared" si="1"/>
        <v>-1</v>
      </c>
      <c r="AH25" s="3"/>
      <c r="AI25" s="3"/>
      <c r="AJ25" s="3"/>
      <c r="AK25" s="3"/>
      <c r="AL25" s="3"/>
      <c r="AM25" s="3"/>
    </row>
    <row r="26" spans="1:39" x14ac:dyDescent="0.25">
      <c r="A26" s="3" t="s">
        <v>38</v>
      </c>
      <c r="B26" s="33"/>
      <c r="C26" s="33"/>
      <c r="D26" s="33"/>
      <c r="E26" s="62">
        <v>0</v>
      </c>
      <c r="F26" s="63">
        <v>2000</v>
      </c>
      <c r="G26" s="61"/>
      <c r="H26" s="61"/>
      <c r="I26" s="61">
        <f t="shared" ref="I26:I28" si="4">SUM(B26:F26)</f>
        <v>2000</v>
      </c>
      <c r="J26" s="27"/>
      <c r="K26" s="46" t="e">
        <f>N26-#REF!</f>
        <v>#REF!</v>
      </c>
      <c r="L26" s="36"/>
      <c r="M26" s="46" t="e">
        <f>N26-#REF!</f>
        <v>#REF!</v>
      </c>
      <c r="N26" s="64">
        <v>2000</v>
      </c>
      <c r="O26" s="43"/>
      <c r="P26" s="3"/>
      <c r="Q26" s="65"/>
      <c r="R26" s="57">
        <f>E26-N26</f>
        <v>-2000</v>
      </c>
      <c r="S26" s="40">
        <f t="shared" si="1"/>
        <v>-1</v>
      </c>
      <c r="AH26" s="3"/>
      <c r="AI26" s="3"/>
      <c r="AJ26" s="3"/>
      <c r="AK26" s="3"/>
      <c r="AL26" s="3"/>
      <c r="AM26" s="3"/>
    </row>
    <row r="27" spans="1:39" x14ac:dyDescent="0.25">
      <c r="A27" s="3" t="s">
        <v>39</v>
      </c>
      <c r="B27" s="33"/>
      <c r="C27" s="33"/>
      <c r="D27" s="33"/>
      <c r="E27" s="66"/>
      <c r="F27" s="63">
        <f>31000+18000</f>
        <v>49000</v>
      </c>
      <c r="G27" s="61"/>
      <c r="H27" s="61"/>
      <c r="I27" s="61">
        <f t="shared" si="4"/>
        <v>49000</v>
      </c>
      <c r="J27" s="27"/>
      <c r="K27" s="41" t="e">
        <f>N27-#REF!</f>
        <v>#REF!</v>
      </c>
      <c r="L27" s="36"/>
      <c r="M27" s="41" t="e">
        <f>N27-#REF!</f>
        <v>#REF!</v>
      </c>
      <c r="N27" s="67">
        <v>6000</v>
      </c>
      <c r="O27" s="43"/>
      <c r="P27" s="3"/>
      <c r="Q27" s="65"/>
      <c r="R27" s="68">
        <f>C27-N27</f>
        <v>-6000</v>
      </c>
      <c r="S27" s="45">
        <f t="shared" si="1"/>
        <v>-1</v>
      </c>
      <c r="U27" s="25"/>
      <c r="AH27" s="3"/>
      <c r="AI27" s="3"/>
      <c r="AJ27" s="3"/>
      <c r="AK27" s="3"/>
      <c r="AL27" s="3"/>
      <c r="AM27" s="3"/>
    </row>
    <row r="28" spans="1:39" x14ac:dyDescent="0.25">
      <c r="A28" s="4" t="s">
        <v>29</v>
      </c>
      <c r="B28" s="51">
        <f>SUM(B25:B27)</f>
        <v>0</v>
      </c>
      <c r="C28" s="51">
        <f t="shared" ref="C28:F28" si="5">SUM(C25:C27)</f>
        <v>0</v>
      </c>
      <c r="D28" s="51"/>
      <c r="E28" s="69">
        <f t="shared" si="5"/>
        <v>0</v>
      </c>
      <c r="F28" s="51">
        <f t="shared" si="5"/>
        <v>51000</v>
      </c>
      <c r="G28" s="51"/>
      <c r="H28" s="51"/>
      <c r="I28" s="70">
        <f t="shared" si="4"/>
        <v>51000</v>
      </c>
      <c r="J28" s="71">
        <f>SUM(B28:H28)</f>
        <v>51000</v>
      </c>
      <c r="K28" s="46" t="e">
        <f>N28-#REF!</f>
        <v>#REF!</v>
      </c>
      <c r="L28" s="36"/>
      <c r="M28" s="46" t="e">
        <f>N28-#REF!</f>
        <v>#REF!</v>
      </c>
      <c r="N28" s="64">
        <v>15000</v>
      </c>
      <c r="O28" s="43"/>
      <c r="P28" s="72">
        <v>17000</v>
      </c>
      <c r="Q28" s="65"/>
      <c r="R28" s="57">
        <f t="shared" si="3"/>
        <v>2000</v>
      </c>
      <c r="S28" s="40">
        <f t="shared" si="1"/>
        <v>0.13333333333333333</v>
      </c>
      <c r="AH28" s="3"/>
      <c r="AI28" s="3"/>
      <c r="AJ28" s="3"/>
      <c r="AK28" s="3"/>
      <c r="AL28" s="3"/>
      <c r="AM28" s="3"/>
    </row>
    <row r="29" spans="1:39" x14ac:dyDescent="0.25">
      <c r="B29" s="58"/>
      <c r="C29" s="58"/>
      <c r="D29" s="58"/>
      <c r="E29" s="58"/>
      <c r="F29" s="58"/>
      <c r="G29" s="58"/>
      <c r="H29" s="58"/>
      <c r="I29" s="26"/>
      <c r="J29" s="27"/>
      <c r="K29" s="35" t="e">
        <f>N29-#REF!</f>
        <v>#REF!</v>
      </c>
      <c r="L29" s="36"/>
      <c r="M29" s="35" t="e">
        <f>N29-#REF!</f>
        <v>#REF!</v>
      </c>
      <c r="N29" s="54"/>
      <c r="O29" s="38"/>
      <c r="P29" s="55"/>
      <c r="Q29" s="56"/>
      <c r="R29" s="57"/>
      <c r="S29" s="40"/>
      <c r="AH29" s="3"/>
      <c r="AI29" s="3"/>
      <c r="AJ29" s="3"/>
      <c r="AK29" s="3"/>
      <c r="AL29" s="3"/>
      <c r="AM29" s="3"/>
    </row>
    <row r="30" spans="1:39" x14ac:dyDescent="0.25">
      <c r="A30" s="4" t="s">
        <v>40</v>
      </c>
      <c r="B30" s="58"/>
      <c r="C30" s="58"/>
      <c r="D30" s="58"/>
      <c r="E30" s="58"/>
      <c r="F30" s="58"/>
      <c r="G30" s="58"/>
      <c r="H30" s="58"/>
      <c r="I30" s="26"/>
      <c r="J30" s="27"/>
      <c r="K30" s="35" t="e">
        <f>N31-#REF!</f>
        <v>#REF!</v>
      </c>
      <c r="L30" s="36"/>
      <c r="M30" s="35" t="e">
        <f>N31-#REF!</f>
        <v>#REF!</v>
      </c>
      <c r="AH30" s="3"/>
      <c r="AI30" s="3"/>
      <c r="AJ30" s="3"/>
      <c r="AK30" s="3"/>
      <c r="AL30" s="3"/>
      <c r="AM30" s="3"/>
    </row>
    <row r="31" spans="1:39" ht="14.45" customHeight="1" x14ac:dyDescent="0.25">
      <c r="A31" s="3" t="s">
        <v>41</v>
      </c>
      <c r="B31" s="66">
        <f>'[5] salaris 2627 nntb'!O56+'[5] salaris 2627 nntb'!P56+'[5] salaris 2627 nntb'!Q56+'[5] salaris 2627 nntb'!R56+'[5] salaris 2627 nntb'!T56+'[5] salaris 2627 nntb'!N56</f>
        <v>56446.284377000004</v>
      </c>
      <c r="C31" s="66">
        <f>'[5] salaris 2627 nntb'!L56+'[5] salaris 2627 nntb'!M56-1</f>
        <v>33470.04</v>
      </c>
      <c r="D31" s="66">
        <v>0</v>
      </c>
      <c r="E31" s="62">
        <f>'[5] salaris 2627 nntb'!B56+'[5] salaris 2627 nntb'!D56</f>
        <v>28776</v>
      </c>
      <c r="F31" s="62">
        <f>'[5] salaris 2627 nntb'!E56+'[5] salaris 2627 nntb'!V58</f>
        <v>18032.437350359138</v>
      </c>
      <c r="G31" s="73"/>
      <c r="H31" s="33"/>
      <c r="I31" s="61">
        <f>SUM(B31:H31)</f>
        <v>136724.76172735915</v>
      </c>
      <c r="J31" s="27"/>
      <c r="K31" s="35"/>
      <c r="L31" s="36"/>
      <c r="M31" s="35"/>
      <c r="N31" s="54">
        <v>118700</v>
      </c>
      <c r="O31" s="56"/>
      <c r="P31" s="54">
        <v>111000</v>
      </c>
      <c r="Q31" s="56"/>
      <c r="R31" s="57">
        <f>P31-N31</f>
        <v>-7700</v>
      </c>
      <c r="S31" s="40">
        <f>R31/N31</f>
        <v>-6.486941870261162E-2</v>
      </c>
      <c r="U31" s="25"/>
      <c r="AH31" s="3"/>
      <c r="AI31" s="3"/>
      <c r="AJ31" s="3"/>
      <c r="AK31" s="3"/>
      <c r="AL31" s="3"/>
      <c r="AM31" s="3"/>
    </row>
    <row r="32" spans="1:39" x14ac:dyDescent="0.25">
      <c r="A32" s="3" t="s">
        <v>42</v>
      </c>
      <c r="B32" s="66">
        <f>'[5]vrijw verg diverse nntb'!F9+'[5]vrijw verg diverse nntb'!F10+'[5]vrijw verg diverse nntb'!F16+'[5]vrijw verg diverse nntb'!F17+'[5]vrijw verg diverse nntb'!F18+'[5]vrijw verg diverse nntb'!F19</f>
        <v>9115</v>
      </c>
      <c r="C32" s="66">
        <f>'[5]vrijw verg jeugd nntb'!H2+'[5]vrijw verg diverse nntb'!F11</f>
        <v>30920</v>
      </c>
      <c r="D32" s="66">
        <f>'[5]vrijw verg diverse nntb'!F6</f>
        <v>1500</v>
      </c>
      <c r="E32" s="62">
        <f>'[5]vrijw verg diverse nntb'!F7+'[5]vrijw verg diverse nntb'!F12</f>
        <v>3600</v>
      </c>
      <c r="F32" s="62">
        <f>'[5]vrijw verg diverse nntb'!F5+'[5]vrijw verg diverse nntb'!F8</f>
        <v>3050</v>
      </c>
      <c r="G32" s="62">
        <f>'[5]vrijw verg diverse nntb'!F13+'[5]vrijw verg diverse nntb'!F14+'[5]vrijw verg diverse nntb'!F15</f>
        <v>1500</v>
      </c>
      <c r="H32" s="33"/>
      <c r="I32" s="61">
        <f>SUM(B32:H32)</f>
        <v>49685</v>
      </c>
      <c r="J32" s="27"/>
      <c r="K32" s="35"/>
      <c r="L32" s="36"/>
      <c r="M32" s="35"/>
      <c r="N32" s="64"/>
      <c r="O32" s="65"/>
      <c r="Q32" s="56"/>
      <c r="R32" s="74"/>
      <c r="S32" s="49"/>
      <c r="U32" s="25"/>
      <c r="AH32" s="3"/>
      <c r="AI32" s="3"/>
      <c r="AJ32" s="3"/>
      <c r="AK32" s="3"/>
      <c r="AL32" s="3"/>
      <c r="AM32" s="3"/>
    </row>
    <row r="33" spans="1:39" x14ac:dyDescent="0.25">
      <c r="A33" s="3" t="s">
        <v>43</v>
      </c>
      <c r="B33" s="66">
        <v>5000</v>
      </c>
      <c r="C33" s="66">
        <v>9000</v>
      </c>
      <c r="D33" s="66"/>
      <c r="E33" s="62"/>
      <c r="F33" s="62"/>
      <c r="G33" s="62"/>
      <c r="H33" s="75"/>
      <c r="I33" s="61">
        <f>SUM(B33:H33)</f>
        <v>14000</v>
      </c>
      <c r="J33" s="27"/>
      <c r="K33" s="35"/>
      <c r="L33" s="36"/>
      <c r="M33" s="35"/>
      <c r="N33" s="64"/>
      <c r="O33" s="65"/>
      <c r="Q33" s="56"/>
      <c r="R33" s="74"/>
      <c r="S33" s="49"/>
      <c r="U33" s="25"/>
      <c r="AH33" s="3"/>
      <c r="AI33" s="3"/>
      <c r="AJ33" s="3"/>
      <c r="AK33" s="3"/>
      <c r="AL33" s="3"/>
      <c r="AM33" s="3"/>
    </row>
    <row r="34" spans="1:39" x14ac:dyDescent="0.25">
      <c r="A34" s="4" t="s">
        <v>29</v>
      </c>
      <c r="B34" s="69">
        <f>SUM(B31:B33)</f>
        <v>70561.284377000004</v>
      </c>
      <c r="C34" s="69">
        <f t="shared" ref="C34:G34" si="6">SUM(C31:C33)</f>
        <v>73390.040000000008</v>
      </c>
      <c r="D34" s="69">
        <f t="shared" si="6"/>
        <v>1500</v>
      </c>
      <c r="E34" s="69">
        <f t="shared" si="6"/>
        <v>32376</v>
      </c>
      <c r="F34" s="69">
        <f t="shared" si="6"/>
        <v>21082.437350359138</v>
      </c>
      <c r="G34" s="69">
        <f t="shared" si="6"/>
        <v>1500</v>
      </c>
      <c r="H34" s="76"/>
      <c r="I34" s="70">
        <f>SUM(I31:I33)</f>
        <v>200409.76172735915</v>
      </c>
      <c r="J34" s="71">
        <f>SUM(B34:H34)</f>
        <v>200409.76172735915</v>
      </c>
      <c r="K34" s="35" t="e">
        <f>N34-#REF!</f>
        <v>#REF!</v>
      </c>
      <c r="L34" s="36"/>
      <c r="M34" s="35" t="e">
        <f>N34-#REF!</f>
        <v>#REF!</v>
      </c>
      <c r="N34" s="54">
        <v>118700</v>
      </c>
      <c r="O34" s="54">
        <v>0</v>
      </c>
      <c r="P34" s="72">
        <f>SUM(P31:P31)</f>
        <v>111000</v>
      </c>
      <c r="Q34" s="54">
        <f>SUM(Q31:Q31)</f>
        <v>0</v>
      </c>
      <c r="R34" s="57">
        <f>SUM(R31:R31)</f>
        <v>-7700</v>
      </c>
      <c r="S34" s="40">
        <f>SUM(S31:S31)</f>
        <v>-6.486941870261162E-2</v>
      </c>
      <c r="AH34" s="3"/>
      <c r="AI34" s="3"/>
      <c r="AJ34" s="3"/>
      <c r="AK34" s="3"/>
      <c r="AL34" s="3"/>
      <c r="AM34" s="3"/>
    </row>
    <row r="35" spans="1:39" x14ac:dyDescent="0.25">
      <c r="B35" s="58"/>
      <c r="C35" s="58"/>
      <c r="D35" s="58"/>
      <c r="E35" s="58"/>
      <c r="F35" s="58"/>
      <c r="G35" s="58"/>
      <c r="H35" s="58"/>
      <c r="I35" s="26"/>
      <c r="J35" s="27"/>
      <c r="K35" s="35"/>
      <c r="L35" s="36"/>
      <c r="M35" s="35"/>
      <c r="N35" s="54"/>
      <c r="O35" s="54"/>
      <c r="P35" s="72"/>
      <c r="Q35" s="54"/>
      <c r="R35" s="57"/>
      <c r="S35" s="40"/>
      <c r="AH35" s="3"/>
      <c r="AI35" s="3"/>
      <c r="AJ35" s="3"/>
      <c r="AK35" s="3"/>
      <c r="AL35" s="3"/>
      <c r="AM35" s="3"/>
    </row>
    <row r="36" spans="1:39" x14ac:dyDescent="0.25">
      <c r="A36" s="4" t="s">
        <v>44</v>
      </c>
      <c r="B36" s="58"/>
      <c r="C36" s="58"/>
      <c r="D36" s="58"/>
      <c r="E36" s="58"/>
      <c r="F36" s="58"/>
      <c r="G36" s="58"/>
      <c r="H36" s="58"/>
      <c r="I36" s="26"/>
      <c r="J36" s="27"/>
      <c r="K36" s="35" t="e">
        <f>N36-#REF!</f>
        <v>#REF!</v>
      </c>
      <c r="L36" s="36"/>
      <c r="M36" s="35" t="e">
        <f>N36-#REF!</f>
        <v>#REF!</v>
      </c>
      <c r="N36" s="54"/>
      <c r="O36" s="38"/>
      <c r="P36" s="55"/>
      <c r="Q36" s="56"/>
      <c r="R36" s="57"/>
      <c r="S36" s="40"/>
      <c r="AH36" s="3"/>
      <c r="AI36" s="3"/>
      <c r="AJ36" s="3"/>
      <c r="AK36" s="3"/>
      <c r="AL36" s="3"/>
      <c r="AM36" s="3"/>
    </row>
    <row r="37" spans="1:39" x14ac:dyDescent="0.25">
      <c r="A37" s="3" t="s">
        <v>45</v>
      </c>
      <c r="B37" s="33"/>
      <c r="C37" s="33"/>
      <c r="D37" s="33"/>
      <c r="E37" s="33"/>
      <c r="F37" s="77">
        <v>28000</v>
      </c>
      <c r="G37" s="73"/>
      <c r="H37" s="73"/>
      <c r="I37" s="78">
        <f>SUM(B37:H37)</f>
        <v>28000</v>
      </c>
      <c r="J37" s="27"/>
      <c r="K37" s="35" t="e">
        <f>N37-#REF!</f>
        <v>#REF!</v>
      </c>
      <c r="L37" s="36"/>
      <c r="M37" s="35" t="e">
        <f>N37-#REF!</f>
        <v>#REF!</v>
      </c>
      <c r="N37" s="54">
        <v>19000</v>
      </c>
      <c r="O37" s="38"/>
      <c r="P37" s="55">
        <v>19000</v>
      </c>
      <c r="Q37" s="56"/>
      <c r="R37" s="57">
        <f t="shared" si="3"/>
        <v>0</v>
      </c>
      <c r="S37" s="40">
        <f t="shared" si="1"/>
        <v>0</v>
      </c>
      <c r="U37" s="25"/>
      <c r="AH37" s="3"/>
      <c r="AI37" s="3"/>
      <c r="AJ37" s="3"/>
      <c r="AK37" s="3"/>
      <c r="AL37" s="3"/>
      <c r="AM37" s="3"/>
    </row>
    <row r="38" spans="1:39" x14ac:dyDescent="0.25">
      <c r="A38" s="3" t="s">
        <v>46</v>
      </c>
      <c r="B38" s="33"/>
      <c r="C38" s="33"/>
      <c r="D38" s="33"/>
      <c r="E38" s="33"/>
      <c r="F38" s="77">
        <v>5000</v>
      </c>
      <c r="G38" s="73"/>
      <c r="H38" s="73"/>
      <c r="I38" s="78">
        <f t="shared" ref="I38:I43" si="7">SUM(B38:H38)</f>
        <v>5000</v>
      </c>
      <c r="J38" s="27"/>
      <c r="K38" s="35" t="e">
        <f>N38-#REF!</f>
        <v>#REF!</v>
      </c>
      <c r="L38" s="36"/>
      <c r="M38" s="35" t="e">
        <f>N38-#REF!</f>
        <v>#REF!</v>
      </c>
      <c r="N38" s="54">
        <v>1275</v>
      </c>
      <c r="O38" s="38"/>
      <c r="P38" s="55">
        <v>1275</v>
      </c>
      <c r="Q38" s="56"/>
      <c r="R38" s="57">
        <f t="shared" si="3"/>
        <v>0</v>
      </c>
      <c r="S38" s="40">
        <f t="shared" si="1"/>
        <v>0</v>
      </c>
      <c r="AH38" s="3"/>
      <c r="AI38" s="3"/>
      <c r="AJ38" s="3"/>
      <c r="AK38" s="3"/>
      <c r="AL38" s="3"/>
      <c r="AM38" s="3"/>
    </row>
    <row r="39" spans="1:39" x14ac:dyDescent="0.25">
      <c r="A39" s="3" t="s">
        <v>47</v>
      </c>
      <c r="B39" s="33"/>
      <c r="C39" s="33"/>
      <c r="D39" s="33"/>
      <c r="E39" s="33"/>
      <c r="F39" s="77">
        <v>12800</v>
      </c>
      <c r="G39" s="73"/>
      <c r="H39" s="73"/>
      <c r="I39" s="78">
        <f t="shared" si="7"/>
        <v>12800</v>
      </c>
      <c r="J39" s="27"/>
      <c r="K39" s="35" t="e">
        <f>N39-#REF!</f>
        <v>#REF!</v>
      </c>
      <c r="L39" s="36"/>
      <c r="M39" s="35" t="e">
        <f>N39-#REF!</f>
        <v>#REF!</v>
      </c>
      <c r="N39" s="54">
        <v>7750</v>
      </c>
      <c r="O39" s="38"/>
      <c r="P39" s="55">
        <v>8900</v>
      </c>
      <c r="Q39" s="56"/>
      <c r="R39" s="57">
        <f t="shared" si="3"/>
        <v>1150</v>
      </c>
      <c r="S39" s="40">
        <f t="shared" si="1"/>
        <v>0.14838709677419354</v>
      </c>
      <c r="AH39" s="3"/>
      <c r="AI39" s="3"/>
      <c r="AJ39" s="3"/>
      <c r="AK39" s="3"/>
      <c r="AL39" s="3"/>
      <c r="AM39" s="3"/>
    </row>
    <row r="40" spans="1:39" x14ac:dyDescent="0.25">
      <c r="A40" s="3" t="s">
        <v>48</v>
      </c>
      <c r="B40" s="33"/>
      <c r="C40" s="33"/>
      <c r="D40" s="33"/>
      <c r="E40" s="33"/>
      <c r="F40" s="77">
        <v>1200</v>
      </c>
      <c r="G40" s="73"/>
      <c r="H40" s="73"/>
      <c r="I40" s="78">
        <f t="shared" si="7"/>
        <v>1200</v>
      </c>
      <c r="J40" s="27"/>
      <c r="K40" s="35" t="e">
        <f>N40-#REF!</f>
        <v>#REF!</v>
      </c>
      <c r="L40" s="36"/>
      <c r="M40" s="35" t="e">
        <f>N40-#REF!</f>
        <v>#REF!</v>
      </c>
      <c r="N40" s="54">
        <v>1800</v>
      </c>
      <c r="O40" s="38"/>
      <c r="P40" s="55">
        <v>2000</v>
      </c>
      <c r="Q40" s="56"/>
      <c r="R40" s="57">
        <f t="shared" si="3"/>
        <v>200</v>
      </c>
      <c r="S40" s="40">
        <f t="shared" si="1"/>
        <v>0.1111111111111111</v>
      </c>
      <c r="AH40" s="3"/>
      <c r="AI40" s="3"/>
      <c r="AJ40" s="3"/>
      <c r="AK40" s="3"/>
      <c r="AL40" s="3"/>
      <c r="AM40" s="3"/>
    </row>
    <row r="41" spans="1:39" x14ac:dyDescent="0.25">
      <c r="A41" s="3" t="s">
        <v>49</v>
      </c>
      <c r="B41" s="33"/>
      <c r="C41" s="33"/>
      <c r="D41" s="33"/>
      <c r="E41" s="33"/>
      <c r="F41" s="77">
        <v>1500</v>
      </c>
      <c r="G41" s="73"/>
      <c r="H41" s="73"/>
      <c r="I41" s="78">
        <f t="shared" si="7"/>
        <v>1500</v>
      </c>
      <c r="J41" s="27"/>
      <c r="K41" s="35" t="e">
        <f>N41-#REF!</f>
        <v>#REF!</v>
      </c>
      <c r="L41" s="36"/>
      <c r="M41" s="35" t="e">
        <f>N41-#REF!</f>
        <v>#REF!</v>
      </c>
      <c r="N41" s="54">
        <v>1100</v>
      </c>
      <c r="O41" s="38"/>
      <c r="P41" s="55">
        <v>1100</v>
      </c>
      <c r="Q41" s="56"/>
      <c r="R41" s="57">
        <f t="shared" si="3"/>
        <v>0</v>
      </c>
      <c r="S41" s="40">
        <f t="shared" si="1"/>
        <v>0</v>
      </c>
      <c r="AH41" s="3"/>
      <c r="AI41" s="3"/>
      <c r="AJ41" s="3"/>
      <c r="AK41" s="3"/>
      <c r="AL41" s="3"/>
      <c r="AM41" s="3"/>
    </row>
    <row r="42" spans="1:39" x14ac:dyDescent="0.25">
      <c r="A42" s="3" t="s">
        <v>50</v>
      </c>
      <c r="B42" s="33"/>
      <c r="C42" s="33"/>
      <c r="D42" s="33"/>
      <c r="E42" s="33"/>
      <c r="F42" s="77">
        <v>3500</v>
      </c>
      <c r="G42" s="73"/>
      <c r="H42" s="73"/>
      <c r="I42" s="78">
        <f t="shared" si="7"/>
        <v>3500</v>
      </c>
      <c r="J42" s="27"/>
      <c r="K42" s="35" t="e">
        <f>N42-#REF!</f>
        <v>#REF!</v>
      </c>
      <c r="L42" s="36"/>
      <c r="M42" s="35" t="e">
        <f>N42-#REF!</f>
        <v>#REF!</v>
      </c>
      <c r="N42" s="54">
        <v>3500</v>
      </c>
      <c r="O42" s="38"/>
      <c r="P42" s="55">
        <v>3000</v>
      </c>
      <c r="Q42" s="56"/>
      <c r="R42" s="57">
        <f t="shared" si="3"/>
        <v>-500</v>
      </c>
      <c r="S42" s="40">
        <f t="shared" si="1"/>
        <v>-0.14285714285714285</v>
      </c>
      <c r="AH42" s="3"/>
      <c r="AI42" s="3"/>
      <c r="AJ42" s="3"/>
      <c r="AK42" s="3"/>
      <c r="AL42" s="3"/>
      <c r="AM42" s="3"/>
    </row>
    <row r="43" spans="1:39" x14ac:dyDescent="0.25">
      <c r="A43" s="3" t="s">
        <v>51</v>
      </c>
      <c r="B43" s="33"/>
      <c r="C43" s="33"/>
      <c r="D43" s="33"/>
      <c r="E43" s="33"/>
      <c r="F43" s="77">
        <v>6000</v>
      </c>
      <c r="G43" s="73"/>
      <c r="H43" s="73"/>
      <c r="I43" s="78">
        <f t="shared" si="7"/>
        <v>6000</v>
      </c>
      <c r="J43" s="27"/>
      <c r="K43" s="35" t="e">
        <f>N43-#REF!</f>
        <v>#REF!</v>
      </c>
      <c r="L43" s="36"/>
      <c r="M43" s="35" t="e">
        <f>N43-#REF!</f>
        <v>#REF!</v>
      </c>
      <c r="N43" s="54">
        <v>7500</v>
      </c>
      <c r="O43" s="38"/>
      <c r="P43" s="55">
        <v>4500</v>
      </c>
      <c r="Q43" s="56"/>
      <c r="R43" s="57">
        <f t="shared" si="3"/>
        <v>-3000</v>
      </c>
      <c r="S43" s="40">
        <f t="shared" si="1"/>
        <v>-0.4</v>
      </c>
      <c r="AH43" s="3"/>
      <c r="AI43" s="3"/>
      <c r="AJ43" s="3"/>
      <c r="AK43" s="3"/>
      <c r="AL43" s="3"/>
      <c r="AM43" s="3"/>
    </row>
    <row r="44" spans="1:39" x14ac:dyDescent="0.25">
      <c r="A44" s="4" t="s">
        <v>29</v>
      </c>
      <c r="B44" s="50">
        <f>SUM(B37:B43)</f>
        <v>0</v>
      </c>
      <c r="C44" s="50">
        <f>SUM(C37:C43)</f>
        <v>0</v>
      </c>
      <c r="D44" s="50">
        <f>SUM(D37:D43)</f>
        <v>0</v>
      </c>
      <c r="E44" s="50">
        <f>SUM(E37:E43)</f>
        <v>0</v>
      </c>
      <c r="F44" s="79">
        <f>SUM(F37:F43)</f>
        <v>58000</v>
      </c>
      <c r="G44" s="80"/>
      <c r="H44" s="80"/>
      <c r="I44" s="70">
        <f>SUM(I37:I43)</f>
        <v>58000</v>
      </c>
      <c r="J44" s="71">
        <f>SUM(B44:F44)</f>
        <v>58000</v>
      </c>
      <c r="K44" s="35" t="e">
        <f>N44-#REF!</f>
        <v>#REF!</v>
      </c>
      <c r="L44" s="36"/>
      <c r="M44" s="35" t="e">
        <f>N44-#REF!</f>
        <v>#REF!</v>
      </c>
      <c r="N44" s="54">
        <v>49515</v>
      </c>
      <c r="O44" s="38"/>
      <c r="P44" s="55">
        <f>SUM(P37:P43)</f>
        <v>39775</v>
      </c>
      <c r="Q44" s="56"/>
      <c r="R44" s="57">
        <f t="shared" si="3"/>
        <v>-9740</v>
      </c>
      <c r="S44" s="40">
        <f t="shared" si="1"/>
        <v>-0.19670806826214279</v>
      </c>
      <c r="AH44" s="3"/>
      <c r="AI44" s="3"/>
      <c r="AJ44" s="3"/>
      <c r="AK44" s="3"/>
      <c r="AL44" s="3"/>
      <c r="AM44" s="3"/>
    </row>
    <row r="45" spans="1:39" x14ac:dyDescent="0.25">
      <c r="B45" s="58"/>
      <c r="C45" s="58"/>
      <c r="D45" s="58"/>
      <c r="E45" s="58"/>
      <c r="F45" s="58"/>
      <c r="G45" s="58"/>
      <c r="H45" s="58"/>
      <c r="I45" s="26"/>
      <c r="J45" s="27"/>
      <c r="K45" s="35"/>
      <c r="L45" s="36"/>
      <c r="M45" s="35"/>
      <c r="N45" s="54"/>
      <c r="O45" s="38"/>
      <c r="P45" s="55"/>
      <c r="Q45" s="56"/>
      <c r="R45" s="57"/>
      <c r="S45" s="40"/>
      <c r="AH45" s="3"/>
      <c r="AI45" s="3"/>
      <c r="AJ45" s="3"/>
      <c r="AK45" s="3"/>
      <c r="AL45" s="3"/>
      <c r="AM45" s="3"/>
    </row>
    <row r="46" spans="1:39" x14ac:dyDescent="0.25">
      <c r="A46" s="4" t="s">
        <v>52</v>
      </c>
      <c r="B46" s="58"/>
      <c r="C46" s="58"/>
      <c r="D46" s="58"/>
      <c r="E46" s="81"/>
      <c r="F46" s="58"/>
      <c r="G46" s="58"/>
      <c r="H46" s="58"/>
      <c r="I46" s="26"/>
      <c r="J46" s="27"/>
      <c r="K46" s="35" t="e">
        <f>N46-#REF!</f>
        <v>#REF!</v>
      </c>
      <c r="L46" s="36"/>
      <c r="M46" s="35" t="e">
        <f>N46-#REF!</f>
        <v>#REF!</v>
      </c>
      <c r="N46" s="54"/>
      <c r="O46" s="38"/>
      <c r="P46" s="55"/>
      <c r="Q46" s="56"/>
      <c r="R46" s="57"/>
      <c r="S46" s="40"/>
      <c r="AH46" s="3"/>
      <c r="AI46" s="3"/>
      <c r="AJ46" s="3"/>
      <c r="AK46" s="3"/>
      <c r="AL46" s="3"/>
      <c r="AM46" s="3"/>
    </row>
    <row r="47" spans="1:39" x14ac:dyDescent="0.25">
      <c r="A47" s="3" t="s">
        <v>53</v>
      </c>
      <c r="B47" s="33"/>
      <c r="C47" s="33"/>
      <c r="D47" s="75"/>
      <c r="E47" s="77">
        <v>500</v>
      </c>
      <c r="F47" s="75"/>
      <c r="G47" s="82"/>
      <c r="H47" s="82"/>
      <c r="I47" s="78">
        <f t="shared" ref="I47:I49" si="8">SUM(B47:H47)</f>
        <v>500</v>
      </c>
      <c r="J47" s="27"/>
      <c r="K47" s="35" t="e">
        <f>N47-#REF!</f>
        <v>#REF!</v>
      </c>
      <c r="L47" s="36"/>
      <c r="M47" s="35" t="e">
        <f>N47-#REF!</f>
        <v>#REF!</v>
      </c>
      <c r="N47" s="54">
        <v>1000</v>
      </c>
      <c r="O47" s="38"/>
      <c r="P47" s="55">
        <v>500</v>
      </c>
      <c r="Q47" s="56"/>
      <c r="R47" s="57">
        <f t="shared" si="3"/>
        <v>-500</v>
      </c>
      <c r="S47" s="40">
        <f t="shared" si="1"/>
        <v>-0.5</v>
      </c>
      <c r="AH47" s="3"/>
      <c r="AI47" s="3"/>
      <c r="AJ47" s="3"/>
      <c r="AK47" s="3"/>
      <c r="AL47" s="3"/>
      <c r="AM47" s="3"/>
    </row>
    <row r="48" spans="1:39" x14ac:dyDescent="0.25">
      <c r="A48" s="3" t="s">
        <v>54</v>
      </c>
      <c r="B48" s="33"/>
      <c r="C48" s="33"/>
      <c r="D48" s="75"/>
      <c r="E48" s="77">
        <v>3000</v>
      </c>
      <c r="F48" s="75"/>
      <c r="G48" s="82"/>
      <c r="H48" s="82"/>
      <c r="I48" s="78">
        <f t="shared" si="8"/>
        <v>3000</v>
      </c>
      <c r="J48" s="27"/>
      <c r="K48" s="35" t="e">
        <f>N48-#REF!</f>
        <v>#REF!</v>
      </c>
      <c r="L48" s="36"/>
      <c r="M48" s="35" t="e">
        <f>N48-#REF!</f>
        <v>#REF!</v>
      </c>
      <c r="N48" s="54">
        <v>1750</v>
      </c>
      <c r="O48" s="38"/>
      <c r="P48" s="55">
        <v>1750</v>
      </c>
      <c r="Q48" s="56"/>
      <c r="R48" s="57">
        <f t="shared" si="3"/>
        <v>0</v>
      </c>
      <c r="S48" s="40">
        <f t="shared" si="1"/>
        <v>0</v>
      </c>
      <c r="AH48" s="3"/>
      <c r="AI48" s="3"/>
      <c r="AJ48" s="3"/>
      <c r="AK48" s="3"/>
      <c r="AL48" s="3"/>
      <c r="AM48" s="3"/>
    </row>
    <row r="49" spans="1:39" x14ac:dyDescent="0.25">
      <c r="A49" s="3" t="s">
        <v>55</v>
      </c>
      <c r="B49" s="33"/>
      <c r="C49" s="33"/>
      <c r="D49" s="75"/>
      <c r="E49" s="77">
        <v>10000</v>
      </c>
      <c r="F49" s="75"/>
      <c r="G49" s="82"/>
      <c r="H49" s="82"/>
      <c r="I49" s="78">
        <f t="shared" si="8"/>
        <v>10000</v>
      </c>
      <c r="J49" s="27"/>
      <c r="K49" s="35" t="e">
        <f>N49-#REF!</f>
        <v>#REF!</v>
      </c>
      <c r="L49" s="36"/>
      <c r="M49" s="35" t="e">
        <f>N49-#REF!</f>
        <v>#REF!</v>
      </c>
      <c r="N49" s="67">
        <v>1500</v>
      </c>
      <c r="O49" s="38"/>
      <c r="P49" s="83">
        <v>1500</v>
      </c>
      <c r="Q49" s="56"/>
      <c r="R49" s="68">
        <f t="shared" si="3"/>
        <v>0</v>
      </c>
      <c r="S49" s="45">
        <f t="shared" si="1"/>
        <v>0</v>
      </c>
      <c r="AH49" s="3"/>
      <c r="AI49" s="3"/>
      <c r="AJ49" s="3"/>
      <c r="AK49" s="3"/>
      <c r="AL49" s="3"/>
      <c r="AM49" s="3"/>
    </row>
    <row r="50" spans="1:39" x14ac:dyDescent="0.25">
      <c r="A50" s="4" t="s">
        <v>29</v>
      </c>
      <c r="B50" s="50">
        <f>SUM(B47:B49)</f>
        <v>0</v>
      </c>
      <c r="C50" s="50">
        <f>SUM(C47:C49)</f>
        <v>0</v>
      </c>
      <c r="D50" s="50">
        <f>SUM(D47:D49)</f>
        <v>0</v>
      </c>
      <c r="E50" s="69">
        <f>SUM(E47:E49)</f>
        <v>13500</v>
      </c>
      <c r="F50" s="76">
        <f>SUM(F47:F49)</f>
        <v>0</v>
      </c>
      <c r="G50" s="76"/>
      <c r="H50" s="76"/>
      <c r="I50" s="70">
        <f>SUM(I47:I49)</f>
        <v>13500</v>
      </c>
      <c r="J50" s="71">
        <f>SUM(B50:F50)</f>
        <v>13500</v>
      </c>
      <c r="K50" s="35" t="e">
        <f>N50-#REF!</f>
        <v>#REF!</v>
      </c>
      <c r="L50" s="36"/>
      <c r="M50" s="35" t="e">
        <f>N50-#REF!</f>
        <v>#REF!</v>
      </c>
      <c r="N50" s="54">
        <v>7100</v>
      </c>
      <c r="O50" s="38"/>
      <c r="P50" s="55">
        <f>SUM(P47:P49)</f>
        <v>3750</v>
      </c>
      <c r="Q50" s="56"/>
      <c r="R50" s="57">
        <f t="shared" si="3"/>
        <v>-3350</v>
      </c>
      <c r="S50" s="40">
        <f t="shared" si="1"/>
        <v>-0.47183098591549294</v>
      </c>
      <c r="U50" s="25"/>
      <c r="AH50" s="3"/>
      <c r="AI50" s="3"/>
      <c r="AJ50" s="3"/>
      <c r="AK50" s="3"/>
      <c r="AL50" s="3"/>
      <c r="AM50" s="3"/>
    </row>
    <row r="51" spans="1:39" x14ac:dyDescent="0.25">
      <c r="B51" s="58"/>
      <c r="C51" s="58"/>
      <c r="D51" s="58"/>
      <c r="E51" s="58"/>
      <c r="F51" s="58"/>
      <c r="G51" s="58"/>
      <c r="H51" s="58"/>
      <c r="I51" s="26"/>
      <c r="J51" s="27"/>
      <c r="K51" s="35" t="e">
        <f>N51-#REF!</f>
        <v>#REF!</v>
      </c>
      <c r="L51" s="36"/>
      <c r="M51" s="35" t="e">
        <f>N51-#REF!</f>
        <v>#REF!</v>
      </c>
      <c r="N51" s="54"/>
      <c r="O51" s="38"/>
      <c r="P51" s="55"/>
      <c r="Q51" s="56"/>
      <c r="R51" s="57"/>
      <c r="S51" s="40"/>
      <c r="AH51" s="3"/>
      <c r="AI51" s="3"/>
      <c r="AJ51" s="3"/>
      <c r="AK51" s="3"/>
      <c r="AL51" s="3"/>
      <c r="AM51" s="3"/>
    </row>
    <row r="52" spans="1:39" x14ac:dyDescent="0.25">
      <c r="A52" s="4" t="s">
        <v>56</v>
      </c>
      <c r="B52" s="58"/>
      <c r="C52" s="58"/>
      <c r="D52" s="58"/>
      <c r="E52" s="58"/>
      <c r="F52" s="58"/>
      <c r="G52" s="58"/>
      <c r="H52" s="58"/>
      <c r="I52" s="26"/>
      <c r="J52" s="27"/>
      <c r="K52" s="35" t="e">
        <f>N52-#REF!</f>
        <v>#REF!</v>
      </c>
      <c r="L52" s="36"/>
      <c r="M52" s="35" t="e">
        <f>N52-#REF!</f>
        <v>#REF!</v>
      </c>
      <c r="N52" s="54"/>
      <c r="O52" s="38"/>
      <c r="P52" s="55"/>
      <c r="Q52" s="56"/>
      <c r="R52" s="57"/>
      <c r="S52" s="40"/>
      <c r="AH52" s="3"/>
      <c r="AI52" s="3"/>
      <c r="AJ52" s="3"/>
      <c r="AK52" s="3"/>
      <c r="AL52" s="3"/>
      <c r="AM52" s="3"/>
    </row>
    <row r="53" spans="1:39" x14ac:dyDescent="0.25">
      <c r="A53" s="3" t="s">
        <v>57</v>
      </c>
      <c r="B53" s="33"/>
      <c r="C53" s="33"/>
      <c r="D53" s="33"/>
      <c r="E53" s="33"/>
      <c r="F53" s="84">
        <f>12*4282+456</f>
        <v>51840</v>
      </c>
      <c r="G53" s="85"/>
      <c r="H53" s="85"/>
      <c r="I53" s="78">
        <f t="shared" ref="I53:I55" si="9">SUM(B53:H53)</f>
        <v>51840</v>
      </c>
      <c r="J53" s="27"/>
      <c r="K53" s="35" t="e">
        <f>N53-#REF!</f>
        <v>#REF!</v>
      </c>
      <c r="L53" s="36"/>
      <c r="M53" s="35" t="e">
        <f>N53-#REF!</f>
        <v>#REF!</v>
      </c>
      <c r="N53" s="54">
        <v>30500</v>
      </c>
      <c r="O53" s="38"/>
      <c r="P53" s="55">
        <v>30900</v>
      </c>
      <c r="Q53" s="56"/>
      <c r="R53" s="57">
        <f t="shared" si="3"/>
        <v>400</v>
      </c>
      <c r="S53" s="40">
        <f t="shared" si="1"/>
        <v>1.3114754098360656E-2</v>
      </c>
      <c r="U53" s="25"/>
      <c r="AH53" s="3"/>
      <c r="AI53" s="3"/>
      <c r="AJ53" s="3"/>
      <c r="AK53" s="3"/>
      <c r="AL53" s="3"/>
      <c r="AM53" s="3"/>
    </row>
    <row r="54" spans="1:39" x14ac:dyDescent="0.25">
      <c r="A54" s="3" t="s">
        <v>58</v>
      </c>
      <c r="B54" s="33"/>
      <c r="C54" s="33"/>
      <c r="D54" s="33"/>
      <c r="E54" s="33"/>
      <c r="F54" s="84">
        <v>5000</v>
      </c>
      <c r="G54" s="85"/>
      <c r="H54" s="85"/>
      <c r="I54" s="78">
        <f t="shared" si="9"/>
        <v>5000</v>
      </c>
      <c r="J54" s="27"/>
      <c r="K54" s="35" t="e">
        <f>N54-#REF!</f>
        <v>#REF!</v>
      </c>
      <c r="L54" s="36"/>
      <c r="M54" s="35" t="e">
        <f>N54-#REF!</f>
        <v>#REF!</v>
      </c>
      <c r="N54" s="54">
        <v>1500</v>
      </c>
      <c r="O54" s="38"/>
      <c r="P54" s="55">
        <v>1000</v>
      </c>
      <c r="Q54" s="56"/>
      <c r="R54" s="57">
        <f t="shared" si="3"/>
        <v>-500</v>
      </c>
      <c r="S54" s="40">
        <f t="shared" si="1"/>
        <v>-0.33333333333333331</v>
      </c>
      <c r="AH54" s="3"/>
      <c r="AI54" s="3"/>
      <c r="AJ54" s="3"/>
      <c r="AK54" s="3"/>
      <c r="AL54" s="3"/>
      <c r="AM54" s="3"/>
    </row>
    <row r="55" spans="1:39" x14ac:dyDescent="0.25">
      <c r="A55" s="3" t="s">
        <v>59</v>
      </c>
      <c r="B55" s="33"/>
      <c r="C55" s="33"/>
      <c r="D55" s="33"/>
      <c r="E55" s="33"/>
      <c r="F55" s="84">
        <v>0</v>
      </c>
      <c r="G55" s="85"/>
      <c r="H55" s="85"/>
      <c r="I55" s="78">
        <f t="shared" si="9"/>
        <v>0</v>
      </c>
      <c r="J55" s="27"/>
      <c r="K55" s="41" t="e">
        <f>N55-#REF!</f>
        <v>#REF!</v>
      </c>
      <c r="L55" s="36"/>
      <c r="M55" s="41" t="e">
        <f>N55-#REF!</f>
        <v>#REF!</v>
      </c>
      <c r="N55" s="67">
        <v>2500</v>
      </c>
      <c r="O55" s="65"/>
      <c r="P55" s="83">
        <v>1100</v>
      </c>
      <c r="Q55" s="65"/>
      <c r="R55" s="68">
        <f t="shared" si="3"/>
        <v>-1400</v>
      </c>
      <c r="S55" s="45">
        <f t="shared" si="1"/>
        <v>-0.56000000000000005</v>
      </c>
      <c r="AH55" s="3"/>
      <c r="AI55" s="3"/>
      <c r="AJ55" s="3"/>
      <c r="AK55" s="3"/>
      <c r="AL55" s="3"/>
      <c r="AM55" s="3"/>
    </row>
    <row r="56" spans="1:39" x14ac:dyDescent="0.25">
      <c r="A56" s="4" t="s">
        <v>29</v>
      </c>
      <c r="B56" s="50">
        <f>SUM(B53:B55)</f>
        <v>0</v>
      </c>
      <c r="C56" s="50">
        <f t="shared" ref="C56:F56" si="10">SUM(C53:C55)</f>
        <v>0</v>
      </c>
      <c r="D56" s="50">
        <f t="shared" si="10"/>
        <v>0</v>
      </c>
      <c r="E56" s="50">
        <f t="shared" si="10"/>
        <v>0</v>
      </c>
      <c r="F56" s="79">
        <f t="shared" si="10"/>
        <v>56840</v>
      </c>
      <c r="G56" s="80"/>
      <c r="H56" s="80"/>
      <c r="I56" s="70">
        <f>SUM(I53:I55)</f>
        <v>56840</v>
      </c>
      <c r="J56" s="71">
        <f>SUM(B56:F56)</f>
        <v>56840</v>
      </c>
      <c r="K56" s="35" t="e">
        <f>N56-#REF!</f>
        <v>#REF!</v>
      </c>
      <c r="L56" s="36"/>
      <c r="M56" s="35" t="e">
        <f>N56-#REF!</f>
        <v>#REF!</v>
      </c>
      <c r="N56" s="54">
        <v>34500</v>
      </c>
      <c r="O56" s="38"/>
      <c r="P56" s="55">
        <f>SUM(P53:P55)</f>
        <v>33000</v>
      </c>
      <c r="Q56" s="56"/>
      <c r="R56" s="57">
        <f t="shared" si="3"/>
        <v>-1500</v>
      </c>
      <c r="S56" s="40">
        <f t="shared" si="1"/>
        <v>-4.3478260869565216E-2</v>
      </c>
      <c r="AH56" s="3"/>
      <c r="AI56" s="3"/>
      <c r="AJ56" s="3"/>
      <c r="AK56" s="3"/>
      <c r="AL56" s="3"/>
      <c r="AM56" s="3"/>
    </row>
    <row r="57" spans="1:39" x14ac:dyDescent="0.25">
      <c r="A57" s="4"/>
      <c r="B57" s="58"/>
      <c r="C57" s="58"/>
      <c r="D57" s="58"/>
      <c r="E57" s="58"/>
      <c r="F57" s="58"/>
      <c r="G57" s="58"/>
      <c r="H57" s="58"/>
      <c r="I57" s="26"/>
      <c r="J57" s="27"/>
      <c r="K57" s="35"/>
      <c r="L57" s="36"/>
      <c r="M57" s="35"/>
      <c r="N57" s="54"/>
      <c r="O57" s="38"/>
      <c r="P57" s="55"/>
      <c r="Q57" s="56"/>
      <c r="R57" s="57"/>
      <c r="S57" s="40"/>
      <c r="AH57" s="3"/>
      <c r="AI57" s="3"/>
      <c r="AJ57" s="3"/>
      <c r="AK57" s="3"/>
      <c r="AL57" s="3"/>
      <c r="AM57" s="3"/>
    </row>
    <row r="58" spans="1:39" x14ac:dyDescent="0.25">
      <c r="A58" s="4" t="s">
        <v>60</v>
      </c>
      <c r="B58" s="58"/>
      <c r="C58" s="58"/>
      <c r="D58" s="58"/>
      <c r="E58" s="58"/>
      <c r="F58" s="58"/>
      <c r="G58" s="58"/>
      <c r="H58" s="58"/>
      <c r="I58" s="26"/>
      <c r="J58" s="27"/>
      <c r="K58" s="35" t="e">
        <f>N58-#REF!</f>
        <v>#REF!</v>
      </c>
      <c r="L58" s="36"/>
      <c r="M58" s="35" t="e">
        <f>N58-#REF!</f>
        <v>#REF!</v>
      </c>
      <c r="N58" s="54"/>
      <c r="O58" s="38"/>
      <c r="P58" s="55"/>
      <c r="Q58" s="56"/>
      <c r="R58" s="57"/>
      <c r="S58" s="40"/>
      <c r="AH58" s="3"/>
      <c r="AI58" s="3"/>
      <c r="AJ58" s="3"/>
      <c r="AK58" s="3"/>
      <c r="AL58" s="3"/>
      <c r="AM58" s="3"/>
    </row>
    <row r="59" spans="1:39" x14ac:dyDescent="0.25">
      <c r="A59" s="3" t="s">
        <v>61</v>
      </c>
      <c r="B59" s="63">
        <v>5000</v>
      </c>
      <c r="C59" s="63">
        <v>7500</v>
      </c>
      <c r="D59" s="63">
        <v>750</v>
      </c>
      <c r="E59" s="33"/>
      <c r="F59" s="75"/>
      <c r="G59" s="82"/>
      <c r="H59" s="82"/>
      <c r="I59" s="61">
        <f t="shared" ref="I59:I65" si="11">SUM(B59:H59)</f>
        <v>13250</v>
      </c>
      <c r="J59" s="27"/>
      <c r="K59" s="86" t="e">
        <f>N59-#REF!</f>
        <v>#REF!</v>
      </c>
      <c r="L59" s="36"/>
      <c r="M59" s="86" t="e">
        <f>N59-#REF!</f>
        <v>#REF!</v>
      </c>
      <c r="N59" s="54">
        <v>12000</v>
      </c>
      <c r="O59" s="56"/>
      <c r="P59" s="55">
        <v>14000</v>
      </c>
      <c r="Q59" s="56"/>
      <c r="R59" s="57">
        <f t="shared" si="3"/>
        <v>2000</v>
      </c>
      <c r="S59" s="40">
        <f t="shared" si="1"/>
        <v>0.16666666666666666</v>
      </c>
      <c r="U59" s="25"/>
      <c r="AH59" s="3"/>
      <c r="AI59" s="3"/>
      <c r="AJ59" s="3"/>
      <c r="AK59" s="3"/>
      <c r="AL59" s="3"/>
      <c r="AM59" s="3"/>
    </row>
    <row r="60" spans="1:39" x14ac:dyDescent="0.25">
      <c r="A60" s="3" t="s">
        <v>62</v>
      </c>
      <c r="B60" s="63">
        <v>5000</v>
      </c>
      <c r="C60" s="63"/>
      <c r="D60" s="63">
        <v>750</v>
      </c>
      <c r="E60" s="33"/>
      <c r="F60" s="75"/>
      <c r="G60" s="82"/>
      <c r="H60" s="82"/>
      <c r="I60" s="61">
        <f t="shared" si="11"/>
        <v>5750</v>
      </c>
      <c r="J60" s="27"/>
      <c r="K60" s="35" t="e">
        <f>N60-#REF!</f>
        <v>#REF!</v>
      </c>
      <c r="L60" s="36"/>
      <c r="M60" s="35" t="e">
        <f>N60-#REF!</f>
        <v>#REF!</v>
      </c>
      <c r="N60" s="54">
        <v>8500</v>
      </c>
      <c r="O60" s="38"/>
      <c r="P60" s="55">
        <v>8500</v>
      </c>
      <c r="Q60" s="56"/>
      <c r="R60" s="57">
        <f t="shared" si="3"/>
        <v>0</v>
      </c>
      <c r="S60" s="40">
        <f t="shared" si="1"/>
        <v>0</v>
      </c>
      <c r="U60" s="25"/>
      <c r="AH60" s="3"/>
      <c r="AI60" s="3"/>
      <c r="AJ60" s="3"/>
      <c r="AK60" s="3"/>
      <c r="AL60" s="3"/>
      <c r="AM60" s="3"/>
    </row>
    <row r="61" spans="1:39" x14ac:dyDescent="0.25">
      <c r="A61" s="3" t="s">
        <v>63</v>
      </c>
      <c r="B61" s="63">
        <v>8000</v>
      </c>
      <c r="C61" s="63">
        <v>0</v>
      </c>
      <c r="D61" s="63"/>
      <c r="E61" s="33"/>
      <c r="F61" s="75"/>
      <c r="G61" s="82"/>
      <c r="H61" s="82"/>
      <c r="I61" s="61">
        <f t="shared" si="11"/>
        <v>8000</v>
      </c>
      <c r="J61" s="27"/>
      <c r="K61" s="35"/>
      <c r="L61" s="36"/>
      <c r="M61" s="35"/>
      <c r="N61" s="54"/>
      <c r="O61" s="38"/>
      <c r="P61" s="55"/>
      <c r="Q61" s="56"/>
      <c r="R61" s="57"/>
      <c r="S61" s="40"/>
      <c r="AH61" s="3"/>
      <c r="AI61" s="3"/>
      <c r="AJ61" s="3"/>
      <c r="AK61" s="3"/>
      <c r="AL61" s="3"/>
      <c r="AM61" s="3"/>
    </row>
    <row r="62" spans="1:39" x14ac:dyDescent="0.25">
      <c r="A62" s="3" t="s">
        <v>64</v>
      </c>
      <c r="B62" s="63">
        <v>2500</v>
      </c>
      <c r="C62" s="63"/>
      <c r="D62" s="63"/>
      <c r="E62" s="63">
        <v>0</v>
      </c>
      <c r="F62" s="75"/>
      <c r="G62" s="82"/>
      <c r="H62" s="82"/>
      <c r="I62" s="61">
        <f t="shared" si="11"/>
        <v>2500</v>
      </c>
      <c r="J62" s="27"/>
      <c r="K62" s="35" t="e">
        <f>N62-#REF!</f>
        <v>#REF!</v>
      </c>
      <c r="L62" s="36"/>
      <c r="M62" s="35" t="e">
        <f>N62-#REF!</f>
        <v>#REF!</v>
      </c>
      <c r="N62" s="54">
        <v>1600</v>
      </c>
      <c r="O62" s="38"/>
      <c r="P62" s="55">
        <v>1600</v>
      </c>
      <c r="Q62" s="56"/>
      <c r="R62" s="57">
        <f t="shared" si="3"/>
        <v>0</v>
      </c>
      <c r="S62" s="40">
        <f t="shared" si="1"/>
        <v>0</v>
      </c>
      <c r="AH62" s="3"/>
      <c r="AI62" s="3"/>
      <c r="AJ62" s="3"/>
      <c r="AK62" s="3"/>
      <c r="AL62" s="3"/>
      <c r="AM62" s="3"/>
    </row>
    <row r="63" spans="1:39" x14ac:dyDescent="0.25">
      <c r="A63" s="3" t="s">
        <v>65</v>
      </c>
      <c r="B63" s="63">
        <f>8*250</f>
        <v>2000</v>
      </c>
      <c r="C63" s="63">
        <v>4000</v>
      </c>
      <c r="D63" s="63"/>
      <c r="E63" s="63">
        <v>15000</v>
      </c>
      <c r="F63" s="75"/>
      <c r="G63" s="82"/>
      <c r="H63" s="82"/>
      <c r="I63" s="61">
        <f t="shared" si="11"/>
        <v>21000</v>
      </c>
      <c r="J63" s="27"/>
      <c r="K63" s="35" t="e">
        <f>N63-#REF!</f>
        <v>#REF!</v>
      </c>
      <c r="L63" s="36"/>
      <c r="M63" s="35" t="e">
        <f>N63-#REF!</f>
        <v>#REF!</v>
      </c>
      <c r="N63" s="54">
        <v>15000</v>
      </c>
      <c r="O63" s="38"/>
      <c r="P63" s="55">
        <v>15000</v>
      </c>
      <c r="Q63" s="56"/>
      <c r="R63" s="57">
        <f t="shared" si="3"/>
        <v>0</v>
      </c>
      <c r="S63" s="40">
        <f t="shared" si="1"/>
        <v>0</v>
      </c>
      <c r="AH63" s="3"/>
      <c r="AI63" s="3"/>
      <c r="AJ63" s="3"/>
      <c r="AK63" s="3"/>
      <c r="AL63" s="3"/>
      <c r="AM63" s="3"/>
    </row>
    <row r="64" spans="1:39" x14ac:dyDescent="0.25">
      <c r="A64" s="3" t="s">
        <v>66</v>
      </c>
      <c r="B64" s="63"/>
      <c r="C64" s="63"/>
      <c r="D64" s="63"/>
      <c r="E64" s="63">
        <v>45000</v>
      </c>
      <c r="F64" s="75"/>
      <c r="G64" s="82"/>
      <c r="H64" s="82"/>
      <c r="I64" s="61">
        <f t="shared" si="11"/>
        <v>45000</v>
      </c>
      <c r="J64" s="27"/>
      <c r="K64" s="35" t="e">
        <f>N64-#REF!</f>
        <v>#REF!</v>
      </c>
      <c r="L64" s="36"/>
      <c r="M64" s="35" t="e">
        <f>N64-#REF!</f>
        <v>#REF!</v>
      </c>
      <c r="N64" s="54">
        <v>28560</v>
      </c>
      <c r="O64" s="38"/>
      <c r="P64" s="55">
        <v>28500</v>
      </c>
      <c r="Q64" s="56"/>
      <c r="R64" s="57">
        <f t="shared" si="3"/>
        <v>-60</v>
      </c>
      <c r="S64" s="40">
        <f t="shared" si="1"/>
        <v>-2.1008403361344537E-3</v>
      </c>
      <c r="AH64" s="3"/>
      <c r="AI64" s="3"/>
      <c r="AJ64" s="3"/>
      <c r="AK64" s="3"/>
      <c r="AL64" s="3"/>
      <c r="AM64" s="3"/>
    </row>
    <row r="65" spans="1:39" x14ac:dyDescent="0.25">
      <c r="A65" s="3" t="s">
        <v>67</v>
      </c>
      <c r="B65" s="63">
        <v>24000</v>
      </c>
      <c r="C65" s="63">
        <v>1000</v>
      </c>
      <c r="D65" s="63"/>
      <c r="E65" s="33"/>
      <c r="F65" s="75"/>
      <c r="G65" s="82"/>
      <c r="H65" s="82"/>
      <c r="I65" s="61">
        <f t="shared" si="11"/>
        <v>25000</v>
      </c>
      <c r="J65" s="27"/>
      <c r="K65" s="41" t="e">
        <f>N65-#REF!</f>
        <v>#REF!</v>
      </c>
      <c r="L65" s="36"/>
      <c r="M65" s="41" t="e">
        <f>N65-#REF!</f>
        <v>#REF!</v>
      </c>
      <c r="N65" s="67">
        <v>18000</v>
      </c>
      <c r="O65" s="43"/>
      <c r="P65" s="83">
        <v>17650</v>
      </c>
      <c r="Q65" s="65"/>
      <c r="R65" s="68">
        <f t="shared" si="3"/>
        <v>-350</v>
      </c>
      <c r="S65" s="45">
        <f t="shared" si="1"/>
        <v>-1.9444444444444445E-2</v>
      </c>
      <c r="AH65" s="3"/>
      <c r="AI65" s="3"/>
      <c r="AJ65" s="3"/>
      <c r="AK65" s="3"/>
      <c r="AL65" s="3"/>
      <c r="AM65" s="3"/>
    </row>
    <row r="66" spans="1:39" x14ac:dyDescent="0.25">
      <c r="A66" s="4" t="s">
        <v>29</v>
      </c>
      <c r="B66" s="51">
        <f>SUM(B59:B65)</f>
        <v>46500</v>
      </c>
      <c r="C66" s="51">
        <f t="shared" ref="C66:E66" si="12">SUM(C59:C65)</f>
        <v>12500</v>
      </c>
      <c r="D66" s="51">
        <f t="shared" si="12"/>
        <v>1500</v>
      </c>
      <c r="E66" s="51">
        <f t="shared" si="12"/>
        <v>60000</v>
      </c>
      <c r="F66" s="76">
        <f>SUM(F59:F65)</f>
        <v>0</v>
      </c>
      <c r="G66" s="76"/>
      <c r="H66" s="76"/>
      <c r="I66" s="87">
        <f>SUM(I59:I65)</f>
        <v>120500</v>
      </c>
      <c r="J66" s="71">
        <f>SUM(B66:F66)</f>
        <v>120500</v>
      </c>
      <c r="K66" s="35" t="e">
        <f>N66-#REF!</f>
        <v>#REF!</v>
      </c>
      <c r="L66" s="36"/>
      <c r="M66" s="35" t="e">
        <f>N66-#REF!</f>
        <v>#REF!</v>
      </c>
      <c r="N66" s="54">
        <v>84160</v>
      </c>
      <c r="O66" s="38"/>
      <c r="P66" s="55">
        <f>SUM(P59:P65)</f>
        <v>85250</v>
      </c>
      <c r="Q66" s="56"/>
      <c r="R66" s="57">
        <f t="shared" si="3"/>
        <v>1090</v>
      </c>
      <c r="S66" s="40">
        <f t="shared" si="1"/>
        <v>1.2951520912547528E-2</v>
      </c>
      <c r="AH66" s="3"/>
      <c r="AI66" s="3"/>
      <c r="AJ66" s="3"/>
      <c r="AK66" s="3"/>
      <c r="AL66" s="3"/>
      <c r="AM66" s="3"/>
    </row>
    <row r="67" spans="1:39" x14ac:dyDescent="0.25">
      <c r="A67" s="4"/>
      <c r="B67" s="58"/>
      <c r="C67" s="58"/>
      <c r="D67" s="58"/>
      <c r="E67" s="58"/>
      <c r="F67" s="58"/>
      <c r="G67" s="58"/>
      <c r="H67" s="58"/>
      <c r="I67" s="26"/>
      <c r="J67" s="27"/>
      <c r="K67" s="35"/>
      <c r="L67" s="36"/>
      <c r="M67" s="35"/>
      <c r="N67" s="54"/>
      <c r="O67" s="38"/>
      <c r="P67" s="55"/>
      <c r="Q67" s="56"/>
      <c r="R67" s="57"/>
      <c r="S67" s="40"/>
      <c r="AH67" s="3"/>
      <c r="AI67" s="3"/>
      <c r="AJ67" s="3"/>
      <c r="AK67" s="3"/>
      <c r="AL67" s="3"/>
      <c r="AM67" s="3"/>
    </row>
    <row r="68" spans="1:39" x14ac:dyDescent="0.25">
      <c r="A68" s="4" t="s">
        <v>68</v>
      </c>
      <c r="B68" s="58"/>
      <c r="C68" s="58"/>
      <c r="D68" s="58"/>
      <c r="E68" s="81"/>
      <c r="F68" s="58"/>
      <c r="G68" s="58"/>
      <c r="H68" s="58"/>
      <c r="I68" s="26"/>
      <c r="J68" s="27"/>
      <c r="K68" s="35" t="e">
        <f>N68-#REF!</f>
        <v>#REF!</v>
      </c>
      <c r="L68" s="36"/>
      <c r="M68" s="35" t="e">
        <f>N68-#REF!</f>
        <v>#REF!</v>
      </c>
      <c r="N68" s="54"/>
      <c r="O68" s="38"/>
      <c r="P68" s="55"/>
      <c r="Q68" s="56"/>
      <c r="R68" s="57"/>
      <c r="S68" s="40"/>
      <c r="AH68" s="3"/>
      <c r="AI68" s="3"/>
      <c r="AJ68" s="3"/>
      <c r="AK68" s="3"/>
      <c r="AL68" s="3"/>
      <c r="AM68" s="3"/>
    </row>
    <row r="69" spans="1:39" x14ac:dyDescent="0.25">
      <c r="A69" s="3" t="s">
        <v>69</v>
      </c>
      <c r="B69" s="33"/>
      <c r="C69" s="33"/>
      <c r="D69" s="33"/>
      <c r="E69" s="63">
        <v>10000</v>
      </c>
      <c r="F69" s="75"/>
      <c r="G69" s="82"/>
      <c r="H69" s="82"/>
      <c r="I69" s="78">
        <f t="shared" ref="I69" si="13">SUM(B69:H69)</f>
        <v>10000</v>
      </c>
      <c r="J69" s="27"/>
      <c r="K69" s="41" t="e">
        <f>N69-#REF!</f>
        <v>#REF!</v>
      </c>
      <c r="L69" s="36"/>
      <c r="M69" s="41" t="e">
        <f>N69-#REF!</f>
        <v>#REF!</v>
      </c>
      <c r="N69" s="67">
        <v>1700</v>
      </c>
      <c r="O69" s="43"/>
      <c r="P69" s="83">
        <v>1700</v>
      </c>
      <c r="Q69" s="65"/>
      <c r="R69" s="68">
        <f t="shared" si="3"/>
        <v>0</v>
      </c>
      <c r="S69" s="45">
        <f t="shared" si="1"/>
        <v>0</v>
      </c>
      <c r="AH69" s="3"/>
      <c r="AI69" s="3"/>
      <c r="AJ69" s="3"/>
      <c r="AK69" s="3"/>
      <c r="AL69" s="3"/>
      <c r="AM69" s="3"/>
    </row>
    <row r="70" spans="1:39" x14ac:dyDescent="0.25">
      <c r="A70" s="4" t="s">
        <v>29</v>
      </c>
      <c r="B70" s="50">
        <f>SUM(B69:B69)</f>
        <v>0</v>
      </c>
      <c r="C70" s="50">
        <f>SUM(C69:C69)</f>
        <v>0</v>
      </c>
      <c r="D70" s="50">
        <f>SUM(D69:D69)</f>
        <v>0</v>
      </c>
      <c r="E70" s="51">
        <f>SUM(E69:E69)</f>
        <v>10000</v>
      </c>
      <c r="F70" s="76">
        <f>SUM(F69:F69)</f>
        <v>0</v>
      </c>
      <c r="G70" s="76"/>
      <c r="H70" s="76"/>
      <c r="I70" s="70">
        <f>SUM(I69)</f>
        <v>10000</v>
      </c>
      <c r="J70" s="71">
        <f>SUM(B70:F70)</f>
        <v>10000</v>
      </c>
      <c r="K70" s="35" t="e">
        <f>N70-#REF!</f>
        <v>#REF!</v>
      </c>
      <c r="L70" s="36"/>
      <c r="M70" s="35" t="e">
        <f>N70-#REF!</f>
        <v>#REF!</v>
      </c>
      <c r="N70" s="54">
        <v>3500</v>
      </c>
      <c r="O70" s="38"/>
      <c r="P70" s="55">
        <f>SUM(P69:P69)</f>
        <v>1700</v>
      </c>
      <c r="Q70" s="56"/>
      <c r="R70" s="57">
        <f t="shared" si="3"/>
        <v>-1800</v>
      </c>
      <c r="S70" s="40">
        <f t="shared" si="1"/>
        <v>-0.51428571428571423</v>
      </c>
      <c r="AH70" s="3"/>
      <c r="AI70" s="3"/>
      <c r="AJ70" s="3"/>
      <c r="AK70" s="3"/>
      <c r="AL70" s="3"/>
      <c r="AM70" s="3"/>
    </row>
    <row r="71" spans="1:39" x14ac:dyDescent="0.25">
      <c r="B71" s="58"/>
      <c r="C71" s="58"/>
      <c r="D71" s="58"/>
      <c r="E71" s="58"/>
      <c r="F71" s="58"/>
      <c r="G71" s="58"/>
      <c r="H71" s="58"/>
      <c r="I71" s="26"/>
      <c r="J71" s="27"/>
      <c r="K71" s="35"/>
      <c r="L71" s="36"/>
      <c r="M71" s="35"/>
      <c r="N71" s="54"/>
      <c r="O71" s="38"/>
      <c r="P71" s="55"/>
      <c r="Q71" s="56"/>
      <c r="R71" s="57"/>
      <c r="S71" s="40"/>
      <c r="AH71" s="3"/>
      <c r="AI71" s="3"/>
      <c r="AJ71" s="3"/>
      <c r="AK71" s="3"/>
      <c r="AL71" s="3"/>
      <c r="AM71" s="3"/>
    </row>
    <row r="72" spans="1:39" x14ac:dyDescent="0.25">
      <c r="B72" s="58"/>
      <c r="C72" s="58"/>
      <c r="D72" s="58"/>
      <c r="E72" s="58"/>
      <c r="F72" s="58"/>
      <c r="G72" s="58"/>
      <c r="H72" s="58"/>
      <c r="I72" s="26"/>
      <c r="J72" s="27"/>
      <c r="K72" s="35"/>
      <c r="L72" s="36"/>
      <c r="M72" s="35"/>
      <c r="N72" s="54"/>
      <c r="O72" s="38"/>
      <c r="P72" s="55"/>
      <c r="Q72" s="56"/>
      <c r="R72" s="57"/>
      <c r="S72" s="40"/>
      <c r="AH72" s="3"/>
      <c r="AI72" s="3"/>
      <c r="AJ72" s="3"/>
      <c r="AK72" s="3"/>
      <c r="AL72" s="3"/>
      <c r="AM72" s="3"/>
    </row>
    <row r="73" spans="1:39" x14ac:dyDescent="0.25">
      <c r="A73" s="4" t="s">
        <v>70</v>
      </c>
      <c r="B73" s="58"/>
      <c r="C73" s="58"/>
      <c r="D73" s="58"/>
      <c r="E73" s="58"/>
      <c r="F73" s="58"/>
      <c r="G73" s="58"/>
      <c r="H73" s="58"/>
      <c r="I73" s="26"/>
      <c r="J73" s="27"/>
      <c r="K73" s="35" t="e">
        <f>N73-#REF!</f>
        <v>#REF!</v>
      </c>
      <c r="L73" s="36"/>
      <c r="M73" s="35" t="e">
        <f>N73-#REF!</f>
        <v>#REF!</v>
      </c>
      <c r="N73" s="54"/>
      <c r="O73" s="38"/>
      <c r="P73" s="55"/>
      <c r="Q73" s="56"/>
      <c r="R73" s="57"/>
      <c r="S73" s="40"/>
      <c r="AH73" s="3"/>
      <c r="AI73" s="3"/>
      <c r="AJ73" s="3"/>
      <c r="AK73" s="3"/>
      <c r="AL73" s="3"/>
      <c r="AM73" s="3"/>
    </row>
    <row r="74" spans="1:39" x14ac:dyDescent="0.25">
      <c r="A74" s="3" t="s">
        <v>71</v>
      </c>
      <c r="B74" s="33"/>
      <c r="C74" s="33"/>
      <c r="D74" s="33"/>
      <c r="E74" s="63"/>
      <c r="F74" s="75"/>
      <c r="G74" s="82"/>
      <c r="H74" s="63">
        <v>5000</v>
      </c>
      <c r="I74" s="61">
        <f t="shared" ref="I74:I80" si="14">SUM(B74:H74)</f>
        <v>5000</v>
      </c>
      <c r="J74" s="27"/>
      <c r="K74" s="35" t="e">
        <f>N74-#REF!</f>
        <v>#REF!</v>
      </c>
      <c r="L74" s="36"/>
      <c r="M74" s="35" t="e">
        <f>N74-#REF!</f>
        <v>#REF!</v>
      </c>
      <c r="N74" s="54"/>
      <c r="O74" s="38"/>
      <c r="P74" s="55"/>
      <c r="Q74" s="56"/>
      <c r="R74" s="57"/>
      <c r="S74" s="40"/>
      <c r="U74" s="25"/>
      <c r="AH74" s="3"/>
      <c r="AI74" s="3"/>
      <c r="AJ74" s="3"/>
      <c r="AK74" s="3"/>
      <c r="AL74" s="3"/>
      <c r="AM74" s="3"/>
    </row>
    <row r="75" spans="1:39" x14ac:dyDescent="0.25">
      <c r="A75" s="3" t="s">
        <v>72</v>
      </c>
      <c r="B75" s="33"/>
      <c r="C75" s="33"/>
      <c r="D75" s="33"/>
      <c r="E75" s="63">
        <v>15000</v>
      </c>
      <c r="F75" s="75"/>
      <c r="G75" s="82"/>
      <c r="H75" s="82"/>
      <c r="I75" s="61">
        <f t="shared" si="14"/>
        <v>15000</v>
      </c>
      <c r="J75" s="27"/>
      <c r="K75" s="35" t="e">
        <f>N75-#REF!</f>
        <v>#REF!</v>
      </c>
      <c r="L75" s="36"/>
      <c r="M75" s="35" t="e">
        <f>N75-#REF!</f>
        <v>#REF!</v>
      </c>
      <c r="N75" s="54">
        <v>9500</v>
      </c>
      <c r="O75" s="38"/>
      <c r="P75" s="55">
        <v>8800</v>
      </c>
      <c r="Q75" s="56"/>
      <c r="R75" s="57">
        <f t="shared" si="3"/>
        <v>-700</v>
      </c>
      <c r="S75" s="40">
        <f t="shared" si="1"/>
        <v>-7.3684210526315783E-2</v>
      </c>
      <c r="U75" s="25"/>
      <c r="AH75" s="3"/>
      <c r="AI75" s="3"/>
      <c r="AJ75" s="3"/>
      <c r="AK75" s="3"/>
      <c r="AL75" s="3"/>
      <c r="AM75" s="3"/>
    </row>
    <row r="76" spans="1:39" x14ac:dyDescent="0.25">
      <c r="A76" s="3" t="s">
        <v>73</v>
      </c>
      <c r="B76" s="33"/>
      <c r="C76" s="33"/>
      <c r="D76" s="33"/>
      <c r="E76" s="63"/>
      <c r="F76" s="75"/>
      <c r="G76" s="82"/>
      <c r="H76" s="63">
        <f>0.1*J6</f>
        <v>10000</v>
      </c>
      <c r="I76" s="61">
        <f t="shared" si="14"/>
        <v>10000</v>
      </c>
      <c r="J76" s="27"/>
      <c r="K76" s="35" t="e">
        <f>N76-#REF!</f>
        <v>#REF!</v>
      </c>
      <c r="L76" s="36"/>
      <c r="M76" s="35" t="e">
        <f>N76-#REF!</f>
        <v>#REF!</v>
      </c>
      <c r="N76" s="54">
        <v>4000</v>
      </c>
      <c r="O76" s="38"/>
      <c r="P76" s="55">
        <v>4000</v>
      </c>
      <c r="Q76" s="56"/>
      <c r="R76" s="57">
        <f t="shared" si="3"/>
        <v>0</v>
      </c>
      <c r="S76" s="40">
        <f t="shared" si="1"/>
        <v>0</v>
      </c>
      <c r="U76" s="25"/>
      <c r="AH76" s="3"/>
      <c r="AI76" s="3"/>
      <c r="AJ76" s="3"/>
      <c r="AK76" s="3"/>
      <c r="AL76" s="3"/>
      <c r="AM76" s="3"/>
    </row>
    <row r="77" spans="1:39" x14ac:dyDescent="0.25">
      <c r="A77" s="3" t="s">
        <v>74</v>
      </c>
      <c r="B77" s="33"/>
      <c r="C77" s="33"/>
      <c r="D77" s="33"/>
      <c r="E77" s="63">
        <v>6000</v>
      </c>
      <c r="F77" s="75"/>
      <c r="G77" s="82"/>
      <c r="H77" s="82"/>
      <c r="I77" s="61">
        <f t="shared" si="14"/>
        <v>6000</v>
      </c>
      <c r="J77" s="27"/>
      <c r="K77" s="35" t="e">
        <f>N77-#REF!</f>
        <v>#REF!</v>
      </c>
      <c r="L77" s="36"/>
      <c r="M77" s="35" t="e">
        <f>N77-#REF!</f>
        <v>#REF!</v>
      </c>
      <c r="N77" s="54">
        <v>2900</v>
      </c>
      <c r="O77" s="38"/>
      <c r="P77" s="55">
        <v>2900</v>
      </c>
      <c r="Q77" s="56"/>
      <c r="R77" s="57">
        <f t="shared" si="3"/>
        <v>0</v>
      </c>
      <c r="S77" s="40">
        <f t="shared" si="1"/>
        <v>0</v>
      </c>
      <c r="AH77" s="3"/>
      <c r="AI77" s="3"/>
      <c r="AJ77" s="3"/>
      <c r="AK77" s="3"/>
      <c r="AL77" s="3"/>
      <c r="AM77" s="3"/>
    </row>
    <row r="78" spans="1:39" x14ac:dyDescent="0.25">
      <c r="A78" s="3" t="s">
        <v>75</v>
      </c>
      <c r="B78" s="33"/>
      <c r="C78" s="33"/>
      <c r="D78" s="33"/>
      <c r="E78" s="63">
        <v>1000</v>
      </c>
      <c r="F78" s="75"/>
      <c r="G78" s="82"/>
      <c r="H78" s="82"/>
      <c r="I78" s="61">
        <f t="shared" si="14"/>
        <v>1000</v>
      </c>
      <c r="J78" s="27"/>
      <c r="K78" s="35" t="e">
        <f>N78-#REF!</f>
        <v>#REF!</v>
      </c>
      <c r="L78" s="36"/>
      <c r="M78" s="35" t="e">
        <f>N78-#REF!</f>
        <v>#REF!</v>
      </c>
      <c r="N78" s="54">
        <v>135</v>
      </c>
      <c r="O78" s="38"/>
      <c r="P78" s="55">
        <v>150</v>
      </c>
      <c r="Q78" s="56"/>
      <c r="R78" s="57">
        <f t="shared" si="3"/>
        <v>15</v>
      </c>
      <c r="S78" s="40">
        <f t="shared" si="1"/>
        <v>0.1111111111111111</v>
      </c>
      <c r="AH78" s="3"/>
      <c r="AI78" s="3"/>
      <c r="AJ78" s="3"/>
      <c r="AK78" s="3"/>
      <c r="AL78" s="3"/>
      <c r="AM78" s="3"/>
    </row>
    <row r="79" spans="1:39" x14ac:dyDescent="0.25">
      <c r="A79" s="3" t="s">
        <v>76</v>
      </c>
      <c r="B79" s="33"/>
      <c r="C79" s="33"/>
      <c r="D79" s="33"/>
      <c r="E79" s="63">
        <v>4000</v>
      </c>
      <c r="F79" s="75"/>
      <c r="G79" s="82"/>
      <c r="H79" s="82"/>
      <c r="I79" s="61">
        <v>4000</v>
      </c>
      <c r="J79" s="27"/>
      <c r="K79" s="35" t="e">
        <f>N79-#REF!</f>
        <v>#REF!</v>
      </c>
      <c r="L79" s="36"/>
      <c r="M79" s="35" t="e">
        <f>N79-#REF!</f>
        <v>#REF!</v>
      </c>
      <c r="N79" s="54">
        <v>1000</v>
      </c>
      <c r="O79" s="38"/>
      <c r="P79" s="55">
        <v>1000</v>
      </c>
      <c r="Q79" s="56"/>
      <c r="R79" s="57">
        <f>P79-N79</f>
        <v>0</v>
      </c>
      <c r="S79" s="40">
        <f>R79/N79</f>
        <v>0</v>
      </c>
      <c r="AH79" s="3"/>
      <c r="AI79" s="3"/>
      <c r="AJ79" s="3"/>
      <c r="AK79" s="3"/>
      <c r="AL79" s="3"/>
      <c r="AM79" s="3"/>
    </row>
    <row r="80" spans="1:39" x14ac:dyDescent="0.25">
      <c r="A80" s="3" t="s">
        <v>77</v>
      </c>
      <c r="B80" s="33"/>
      <c r="C80" s="33"/>
      <c r="D80" s="33"/>
      <c r="E80" s="63">
        <v>3000</v>
      </c>
      <c r="F80" s="75"/>
      <c r="G80" s="82"/>
      <c r="H80" s="82"/>
      <c r="I80" s="61">
        <f t="shared" si="14"/>
        <v>3000</v>
      </c>
      <c r="J80" s="27"/>
      <c r="K80" s="35"/>
      <c r="L80" s="36"/>
      <c r="M80" s="35"/>
      <c r="N80" s="54"/>
      <c r="O80" s="38"/>
      <c r="P80" s="55"/>
      <c r="Q80" s="56"/>
      <c r="R80" s="57"/>
      <c r="S80" s="40"/>
      <c r="AH80" s="3"/>
      <c r="AI80" s="3"/>
      <c r="AJ80" s="3"/>
      <c r="AK80" s="3"/>
      <c r="AL80" s="3"/>
      <c r="AM80" s="3"/>
    </row>
    <row r="81" spans="1:39" x14ac:dyDescent="0.25">
      <c r="A81" s="4" t="s">
        <v>29</v>
      </c>
      <c r="B81" s="50">
        <f>SUM(B74:B78)</f>
        <v>0</v>
      </c>
      <c r="C81" s="50">
        <f>SUM(C74:C78)</f>
        <v>0</v>
      </c>
      <c r="D81" s="50">
        <f>SUM(D74:D78)</f>
        <v>0</v>
      </c>
      <c r="E81" s="51">
        <f>SUM(E74:E80)</f>
        <v>29000</v>
      </c>
      <c r="F81" s="76">
        <f>SUM(F74:F78)</f>
        <v>0</v>
      </c>
      <c r="G81" s="76"/>
      <c r="H81" s="80">
        <f>SUM(H74:H79)</f>
        <v>15000</v>
      </c>
      <c r="I81" s="70">
        <f>SUM(I74:I80)</f>
        <v>44000</v>
      </c>
      <c r="J81" s="71">
        <f>SUM(B81:H81)</f>
        <v>44000</v>
      </c>
      <c r="K81" s="35" t="e">
        <f>N81-#REF!</f>
        <v>#REF!</v>
      </c>
      <c r="L81" s="36"/>
      <c r="M81" s="35" t="e">
        <f>N81-#REF!</f>
        <v>#REF!</v>
      </c>
      <c r="N81" s="54">
        <v>22935</v>
      </c>
      <c r="O81" s="38"/>
      <c r="P81" s="55">
        <f>SUM(P75:P78)</f>
        <v>15850</v>
      </c>
      <c r="Q81" s="56"/>
      <c r="R81" s="57">
        <f t="shared" si="3"/>
        <v>-7085</v>
      </c>
      <c r="S81" s="40">
        <f t="shared" si="1"/>
        <v>-0.30891650316110747</v>
      </c>
      <c r="AH81" s="3"/>
      <c r="AI81" s="3"/>
      <c r="AJ81" s="3"/>
      <c r="AK81" s="3"/>
      <c r="AL81" s="3"/>
      <c r="AM81" s="3"/>
    </row>
    <row r="82" spans="1:39" x14ac:dyDescent="0.25">
      <c r="B82" s="58"/>
      <c r="C82" s="58"/>
      <c r="D82" s="58"/>
      <c r="E82" s="58"/>
      <c r="F82" s="58"/>
      <c r="G82" s="58"/>
      <c r="H82" s="58"/>
      <c r="I82" s="26"/>
      <c r="J82" s="27"/>
      <c r="K82" s="35" t="e">
        <f>N82-#REF!</f>
        <v>#REF!</v>
      </c>
      <c r="L82" s="36"/>
      <c r="M82" s="35" t="e">
        <f>N82-#REF!</f>
        <v>#REF!</v>
      </c>
      <c r="N82" s="54"/>
      <c r="O82" s="38"/>
      <c r="P82" s="55"/>
      <c r="Q82" s="56"/>
      <c r="R82" s="57"/>
      <c r="S82" s="40"/>
      <c r="AH82" s="3"/>
      <c r="AI82" s="3"/>
      <c r="AJ82" s="3"/>
      <c r="AK82" s="3"/>
      <c r="AL82" s="3"/>
      <c r="AM82" s="3"/>
    </row>
    <row r="83" spans="1:39" x14ac:dyDescent="0.25">
      <c r="A83" s="4" t="s">
        <v>78</v>
      </c>
      <c r="B83" s="58"/>
      <c r="C83" s="58"/>
      <c r="D83" s="58"/>
      <c r="E83" s="58"/>
      <c r="F83" s="58"/>
      <c r="G83" s="58"/>
      <c r="H83" s="58"/>
      <c r="I83" s="26"/>
      <c r="J83" s="27"/>
      <c r="K83" s="35" t="e">
        <f>N83-#REF!</f>
        <v>#REF!</v>
      </c>
      <c r="L83" s="36"/>
      <c r="M83" s="35" t="e">
        <f>N83-#REF!</f>
        <v>#REF!</v>
      </c>
      <c r="N83" s="37"/>
      <c r="O83" s="38"/>
      <c r="P83" s="88"/>
      <c r="Q83" s="38"/>
      <c r="R83" s="39"/>
      <c r="S83" s="40"/>
      <c r="AH83" s="3"/>
      <c r="AI83" s="3"/>
      <c r="AJ83" s="3"/>
      <c r="AK83" s="3"/>
      <c r="AL83" s="3"/>
      <c r="AM83" s="3"/>
    </row>
    <row r="84" spans="1:39" x14ac:dyDescent="0.25">
      <c r="A84" s="3" t="s">
        <v>79</v>
      </c>
      <c r="B84" s="33"/>
      <c r="C84" s="33"/>
      <c r="D84" s="33"/>
      <c r="E84" s="63"/>
      <c r="F84" s="75"/>
      <c r="G84" s="63">
        <v>80000</v>
      </c>
      <c r="H84" s="82"/>
      <c r="I84" s="61">
        <f t="shared" ref="I84:I88" si="15">SUM(B84:H84)</f>
        <v>80000</v>
      </c>
      <c r="J84" s="27"/>
      <c r="K84" s="35" t="e">
        <f>N84-#REF!</f>
        <v>#REF!</v>
      </c>
      <c r="L84" s="36"/>
      <c r="M84" s="35" t="e">
        <f>N84-#REF!</f>
        <v>#REF!</v>
      </c>
      <c r="N84" s="37">
        <v>56250</v>
      </c>
      <c r="O84" s="38"/>
      <c r="P84" s="88">
        <v>54000</v>
      </c>
      <c r="Q84" s="38"/>
      <c r="R84" s="39">
        <f t="shared" si="3"/>
        <v>-2250</v>
      </c>
      <c r="S84" s="40">
        <f t="shared" ref="S84:S93" si="16">R84/N84</f>
        <v>-0.04</v>
      </c>
      <c r="AH84" s="3"/>
      <c r="AI84" s="3"/>
      <c r="AJ84" s="3"/>
      <c r="AK84" s="3"/>
      <c r="AL84" s="3"/>
      <c r="AM84" s="3"/>
    </row>
    <row r="85" spans="1:39" x14ac:dyDescent="0.25">
      <c r="A85" s="3" t="s">
        <v>80</v>
      </c>
      <c r="B85" s="33"/>
      <c r="C85" s="33"/>
      <c r="D85" s="33"/>
      <c r="E85" s="63"/>
      <c r="F85" s="75"/>
      <c r="G85" s="63">
        <v>6000</v>
      </c>
      <c r="H85" s="82"/>
      <c r="I85" s="61">
        <f t="shared" si="15"/>
        <v>6000</v>
      </c>
      <c r="J85" s="27"/>
      <c r="K85" s="35" t="e">
        <f>N85-#REF!</f>
        <v>#REF!</v>
      </c>
      <c r="L85" s="36"/>
      <c r="M85" s="35" t="e">
        <f>N85-#REF!</f>
        <v>#REF!</v>
      </c>
      <c r="N85" s="37">
        <v>3800</v>
      </c>
      <c r="O85" s="38"/>
      <c r="P85" s="88">
        <v>4200</v>
      </c>
      <c r="Q85" s="38"/>
      <c r="R85" s="39">
        <f t="shared" si="3"/>
        <v>400</v>
      </c>
      <c r="S85" s="40">
        <f t="shared" si="16"/>
        <v>0.10526315789473684</v>
      </c>
      <c r="AH85" s="3"/>
      <c r="AI85" s="3"/>
      <c r="AJ85" s="3"/>
      <c r="AK85" s="3"/>
      <c r="AL85" s="3"/>
      <c r="AM85" s="3"/>
    </row>
    <row r="86" spans="1:39" x14ac:dyDescent="0.25">
      <c r="A86" s="3" t="s">
        <v>81</v>
      </c>
      <c r="B86" s="33"/>
      <c r="C86" s="33"/>
      <c r="D86" s="33"/>
      <c r="E86" s="63"/>
      <c r="F86" s="75"/>
      <c r="G86" s="63">
        <v>2750</v>
      </c>
      <c r="H86" s="82"/>
      <c r="I86" s="61">
        <f t="shared" si="15"/>
        <v>2750</v>
      </c>
      <c r="J86" s="27"/>
      <c r="K86" s="35" t="e">
        <f>N86-#REF!</f>
        <v>#REF!</v>
      </c>
      <c r="L86" s="36"/>
      <c r="M86" s="35" t="e">
        <f>N86-#REF!</f>
        <v>#REF!</v>
      </c>
      <c r="N86" s="37">
        <v>2500</v>
      </c>
      <c r="O86" s="38"/>
      <c r="P86" s="88">
        <v>2500</v>
      </c>
      <c r="Q86" s="38"/>
      <c r="R86" s="39">
        <f t="shared" ref="R86:R93" si="17">P86-N86</f>
        <v>0</v>
      </c>
      <c r="S86" s="40">
        <f t="shared" si="16"/>
        <v>0</v>
      </c>
      <c r="AH86" s="3"/>
      <c r="AI86" s="3"/>
      <c r="AJ86" s="3"/>
      <c r="AK86" s="3"/>
      <c r="AL86" s="3"/>
      <c r="AM86" s="3"/>
    </row>
    <row r="87" spans="1:39" x14ac:dyDescent="0.25">
      <c r="A87" s="3" t="s">
        <v>82</v>
      </c>
      <c r="B87" s="33"/>
      <c r="C87" s="33"/>
      <c r="D87" s="33"/>
      <c r="E87" s="63"/>
      <c r="F87" s="75"/>
      <c r="G87" s="63">
        <v>12000</v>
      </c>
      <c r="H87" s="82"/>
      <c r="I87" s="61">
        <f t="shared" si="15"/>
        <v>12000</v>
      </c>
      <c r="J87" s="27"/>
      <c r="K87" s="35" t="e">
        <f>N87-#REF!</f>
        <v>#REF!</v>
      </c>
      <c r="L87" s="36"/>
      <c r="M87" s="35" t="e">
        <f>N87-#REF!</f>
        <v>#REF!</v>
      </c>
      <c r="N87" s="37">
        <v>6000</v>
      </c>
      <c r="O87" s="38"/>
      <c r="P87" s="88">
        <v>6000</v>
      </c>
      <c r="Q87" s="38"/>
      <c r="R87" s="39">
        <f t="shared" si="17"/>
        <v>0</v>
      </c>
      <c r="S87" s="40">
        <f t="shared" si="16"/>
        <v>0</v>
      </c>
      <c r="AH87" s="3"/>
      <c r="AI87" s="3"/>
      <c r="AJ87" s="3"/>
      <c r="AK87" s="3"/>
      <c r="AL87" s="3"/>
      <c r="AM87" s="3"/>
    </row>
    <row r="88" spans="1:39" x14ac:dyDescent="0.25">
      <c r="A88" s="3" t="s">
        <v>83</v>
      </c>
      <c r="B88" s="33"/>
      <c r="C88" s="33"/>
      <c r="D88" s="33"/>
      <c r="E88" s="63">
        <v>9000</v>
      </c>
      <c r="F88" s="75"/>
      <c r="G88" s="63"/>
      <c r="H88" s="82"/>
      <c r="I88" s="61">
        <f t="shared" si="15"/>
        <v>9000</v>
      </c>
      <c r="J88" s="27"/>
      <c r="K88" s="35" t="e">
        <f>N88-#REF!</f>
        <v>#REF!</v>
      </c>
      <c r="L88" s="36"/>
      <c r="M88" s="35" t="e">
        <f>N88-#REF!</f>
        <v>#REF!</v>
      </c>
      <c r="N88" s="42">
        <v>6500</v>
      </c>
      <c r="O88" s="43"/>
      <c r="P88" s="89">
        <v>6500</v>
      </c>
      <c r="Q88" s="43"/>
      <c r="R88" s="44">
        <f t="shared" si="17"/>
        <v>0</v>
      </c>
      <c r="S88" s="45">
        <f t="shared" si="16"/>
        <v>0</v>
      </c>
      <c r="AH88" s="3"/>
      <c r="AI88" s="3"/>
      <c r="AJ88" s="3"/>
      <c r="AK88" s="3"/>
      <c r="AL88" s="3"/>
      <c r="AM88" s="3"/>
    </row>
    <row r="89" spans="1:39" ht="15.75" thickBot="1" x14ac:dyDescent="0.3">
      <c r="A89" s="4" t="s">
        <v>29</v>
      </c>
      <c r="B89" s="50">
        <f>SUM(B84:B88)</f>
        <v>0</v>
      </c>
      <c r="C89" s="50">
        <f t="shared" ref="C89:F89" si="18">SUM(C84:C88)</f>
        <v>0</v>
      </c>
      <c r="D89" s="50">
        <f t="shared" si="18"/>
        <v>0</v>
      </c>
      <c r="E89" s="51">
        <f t="shared" si="18"/>
        <v>9000</v>
      </c>
      <c r="F89" s="76">
        <f t="shared" si="18"/>
        <v>0</v>
      </c>
      <c r="G89" s="90">
        <f>SUM(G84:G87)</f>
        <v>100750</v>
      </c>
      <c r="H89" s="76"/>
      <c r="I89" s="70">
        <f>SUM(I84:I88)</f>
        <v>109750</v>
      </c>
      <c r="J89" s="71">
        <f>SUM(B89:G89)</f>
        <v>109750</v>
      </c>
      <c r="K89" s="35" t="e">
        <f>N89-#REF!</f>
        <v>#REF!</v>
      </c>
      <c r="L89" s="36"/>
      <c r="M89" s="35" t="e">
        <f>N89-#REF!</f>
        <v>#REF!</v>
      </c>
      <c r="N89" s="37">
        <v>75050</v>
      </c>
      <c r="O89" s="38"/>
      <c r="P89" s="88">
        <f>SUM(P84:P88)</f>
        <v>73200</v>
      </c>
      <c r="Q89" s="38"/>
      <c r="R89" s="39">
        <f t="shared" si="17"/>
        <v>-1850</v>
      </c>
      <c r="S89" s="40">
        <f t="shared" si="16"/>
        <v>-2.4650233177881412E-2</v>
      </c>
      <c r="AH89" s="3"/>
      <c r="AI89" s="3"/>
      <c r="AJ89" s="3"/>
      <c r="AK89" s="3"/>
      <c r="AL89" s="3"/>
      <c r="AM89" s="3"/>
    </row>
    <row r="90" spans="1:39" ht="15.75" thickTop="1" x14ac:dyDescent="0.25">
      <c r="B90" s="30"/>
      <c r="C90" s="30"/>
      <c r="D90" s="30"/>
      <c r="E90" s="30"/>
      <c r="F90" s="30"/>
      <c r="G90" s="30"/>
      <c r="H90" s="30"/>
      <c r="K90" s="35" t="e">
        <f>N90-#REF!</f>
        <v>#REF!</v>
      </c>
      <c r="L90" s="36"/>
      <c r="M90" s="35" t="e">
        <f>N90-#REF!</f>
        <v>#REF!</v>
      </c>
      <c r="N90" s="37"/>
      <c r="O90" s="38"/>
      <c r="P90" s="88"/>
      <c r="Q90" s="38"/>
      <c r="R90" s="39"/>
      <c r="S90" s="40"/>
      <c r="AH90" s="3"/>
      <c r="AI90" s="3"/>
      <c r="AJ90" s="3"/>
      <c r="AK90" s="3"/>
      <c r="AL90" s="3"/>
      <c r="AM90" s="3"/>
    </row>
    <row r="91" spans="1:39" x14ac:dyDescent="0.25">
      <c r="B91" s="3"/>
      <c r="C91" s="30"/>
      <c r="D91" s="30"/>
      <c r="E91" s="30"/>
      <c r="F91" s="30"/>
      <c r="G91" s="30"/>
      <c r="H91" s="30"/>
      <c r="K91" s="35"/>
      <c r="L91" s="36"/>
      <c r="M91" s="35"/>
      <c r="N91" s="37">
        <v>0</v>
      </c>
      <c r="O91" s="38"/>
      <c r="P91" s="88">
        <v>15000</v>
      </c>
      <c r="Q91" s="38"/>
      <c r="R91" s="39">
        <f t="shared" si="17"/>
        <v>15000</v>
      </c>
      <c r="S91" s="40" t="e">
        <f t="shared" si="16"/>
        <v>#DIV/0!</v>
      </c>
      <c r="AH91" s="3"/>
      <c r="AI91" s="3"/>
      <c r="AJ91" s="3"/>
      <c r="AK91" s="3"/>
      <c r="AL91" s="3"/>
      <c r="AM91" s="3"/>
    </row>
    <row r="92" spans="1:39" x14ac:dyDescent="0.25">
      <c r="K92" s="35" t="e">
        <f>N92-#REF!</f>
        <v>#REF!</v>
      </c>
      <c r="L92" s="36"/>
      <c r="M92" s="35" t="e">
        <f>N92-#REF!</f>
        <v>#REF!</v>
      </c>
      <c r="N92" s="37"/>
      <c r="O92" s="38"/>
      <c r="P92" s="88"/>
      <c r="Q92" s="38"/>
      <c r="R92" s="39"/>
      <c r="S92" s="40"/>
      <c r="AH92" s="3"/>
      <c r="AI92" s="3"/>
      <c r="AJ92" s="3"/>
      <c r="AK92" s="3"/>
      <c r="AL92" s="3"/>
      <c r="AM92" s="3"/>
    </row>
    <row r="93" spans="1:39" ht="15.75" x14ac:dyDescent="0.25">
      <c r="A93" s="91" t="s">
        <v>84</v>
      </c>
      <c r="B93" s="92">
        <f>B89+B81+B66+B56+B50+B44+B34+B28+B22</f>
        <v>117061.284377</v>
      </c>
      <c r="C93" s="93">
        <f>C89+C81+C66+C56+C50+C44+C34+C28+C22</f>
        <v>85890.040000000008</v>
      </c>
      <c r="D93" s="93">
        <f>D89+D81+D66+D56+D50+D44+D34+D28+D22</f>
        <v>3000</v>
      </c>
      <c r="E93" s="93">
        <f>E89+E81+E66+E56+E50+E44+E34+E28+E22+E70</f>
        <v>153876</v>
      </c>
      <c r="F93" s="94">
        <f>F89+F81+F66+F56+F50+F44+F34+F28+F22</f>
        <v>224922.43735035913</v>
      </c>
      <c r="G93" s="94">
        <f>G89+G81+G66+G56+G50+G44+G34+G28+G22</f>
        <v>102250</v>
      </c>
      <c r="H93" s="94"/>
      <c r="I93" s="94">
        <f>SUM(B93:H93)</f>
        <v>686999.76172735915</v>
      </c>
      <c r="J93" s="95">
        <f>SUM(J22:J89)</f>
        <v>701999.76172735915</v>
      </c>
      <c r="K93" s="96" t="e">
        <f>N93-#REF!</f>
        <v>#REF!</v>
      </c>
      <c r="L93" s="36"/>
      <c r="M93" s="96" t="e">
        <f>N93-#REF!</f>
        <v>#REF!</v>
      </c>
      <c r="N93" s="97">
        <v>449460</v>
      </c>
      <c r="O93" s="98"/>
      <c r="P93" s="98">
        <f>P91+P89+P81+P70+P66+P56+P50+P34+P28+P22+P44</f>
        <v>395525</v>
      </c>
      <c r="Q93" s="98"/>
      <c r="R93" s="99">
        <f t="shared" si="17"/>
        <v>-53935</v>
      </c>
      <c r="S93" s="100">
        <f t="shared" si="16"/>
        <v>-0.11999955502158145</v>
      </c>
      <c r="AH93" s="3"/>
      <c r="AI93" s="3"/>
      <c r="AJ93" s="3"/>
      <c r="AK93" s="3"/>
      <c r="AL93" s="3"/>
      <c r="AM93" s="3"/>
    </row>
    <row r="94" spans="1:39" x14ac:dyDescent="0.25">
      <c r="AH94" s="3"/>
      <c r="AI94" s="3"/>
      <c r="AJ94" s="3"/>
      <c r="AK94" s="3"/>
      <c r="AL94" s="3"/>
      <c r="AM94" s="3"/>
    </row>
    <row r="95" spans="1:39" hidden="1" x14ac:dyDescent="0.25">
      <c r="A95" s="3" t="s">
        <v>85</v>
      </c>
      <c r="AH95" s="3"/>
      <c r="AI95" s="3"/>
      <c r="AJ95" s="3"/>
      <c r="AK95" s="3"/>
      <c r="AL95" s="3"/>
      <c r="AM95" s="3"/>
    </row>
    <row r="96" spans="1:39" hidden="1" x14ac:dyDescent="0.25">
      <c r="A96" s="4" t="s">
        <v>86</v>
      </c>
      <c r="AH96" s="3"/>
      <c r="AI96" s="3"/>
      <c r="AJ96" s="3"/>
      <c r="AK96" s="3"/>
      <c r="AL96" s="3"/>
      <c r="AM96" s="3"/>
    </row>
    <row r="97" spans="1:21" hidden="1" x14ac:dyDescent="0.25">
      <c r="A97" s="3" t="s">
        <v>86</v>
      </c>
    </row>
    <row r="98" spans="1:21" hidden="1" x14ac:dyDescent="0.25">
      <c r="A98" s="3" t="s">
        <v>87</v>
      </c>
    </row>
    <row r="99" spans="1:21" hidden="1" x14ac:dyDescent="0.25">
      <c r="A99" s="4" t="s">
        <v>29</v>
      </c>
      <c r="B99" s="101">
        <f>SUM(B97:B98)</f>
        <v>0</v>
      </c>
      <c r="C99" s="102">
        <f t="shared" ref="C99:F99" si="19">SUM(C97:C98)</f>
        <v>0</v>
      </c>
      <c r="D99" s="102"/>
      <c r="E99" s="102">
        <f t="shared" si="19"/>
        <v>0</v>
      </c>
      <c r="F99" s="103">
        <f t="shared" si="19"/>
        <v>0</v>
      </c>
      <c r="G99" s="103"/>
      <c r="H99" s="103"/>
      <c r="I99" s="103"/>
      <c r="J99" s="104">
        <f>SUM(B99:F99)</f>
        <v>0</v>
      </c>
    </row>
    <row r="100" spans="1:21" ht="15.75" thickBot="1" x14ac:dyDescent="0.3"/>
    <row r="101" spans="1:21" x14ac:dyDescent="0.25">
      <c r="G101" s="105" t="s">
        <v>88</v>
      </c>
      <c r="H101" s="106"/>
      <c r="I101" s="106"/>
      <c r="J101" s="107">
        <f>J22+J28</f>
        <v>89000</v>
      </c>
    </row>
    <row r="102" spans="1:21" x14ac:dyDescent="0.25">
      <c r="G102" s="108"/>
      <c r="J102" s="109"/>
    </row>
    <row r="103" spans="1:21" x14ac:dyDescent="0.25">
      <c r="G103" s="108" t="s">
        <v>89</v>
      </c>
      <c r="J103" s="110">
        <f>J12-J93</f>
        <v>17500.238272640854</v>
      </c>
      <c r="U103" s="4"/>
    </row>
    <row r="104" spans="1:21" x14ac:dyDescent="0.25">
      <c r="G104" s="108"/>
      <c r="J104" s="109"/>
    </row>
    <row r="105" spans="1:21" ht="15.75" thickBot="1" x14ac:dyDescent="0.3">
      <c r="G105" s="111" t="s">
        <v>90</v>
      </c>
      <c r="H105" s="112"/>
      <c r="I105" s="112"/>
      <c r="J105" s="113">
        <f>J103+J101</f>
        <v>106500.23827264085</v>
      </c>
    </row>
  </sheetData>
  <pageMargins left="0.25" right="0.25" top="0.55000000000000004" bottom="0.55000000000000004" header="0.30000000000000004" footer="0.30000000000000004"/>
  <pageSetup paperSize="9" scale="37" orientation="portrait" r:id="rId1"/>
  <headerFooter alignWithMargins="0"/>
  <rowBreaks count="4" manualBreakCount="4">
    <brk id="50" max="16383" man="1"/>
    <brk id="69" max="13" man="1"/>
    <brk id="72" max="16383" man="1"/>
    <brk id="81" max="16383" man="1"/>
  </rowBreak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1489E-6EB9-4831-BC58-0276F8ED3653}">
  <sheetPr>
    <pageSetUpPr fitToPage="1"/>
  </sheetPr>
  <dimension ref="A1:V52"/>
  <sheetViews>
    <sheetView topLeftCell="A18" zoomScale="98" zoomScaleNormal="98" zoomScalePageLayoutView="98" workbookViewId="0">
      <selection activeCell="T25" sqref="T25"/>
    </sheetView>
  </sheetViews>
  <sheetFormatPr defaultColWidth="8.85546875" defaultRowHeight="12.75" x14ac:dyDescent="0.2"/>
  <cols>
    <col min="1" max="1" width="60" style="3" bestFit="1" customWidth="1"/>
    <col min="2" max="2" width="13.42578125" style="3" bestFit="1" customWidth="1"/>
    <col min="3" max="3" width="2.85546875" style="3" customWidth="1"/>
    <col min="4" max="4" width="13.42578125" style="4" bestFit="1" customWidth="1"/>
    <col min="5" max="5" width="2.85546875" style="3" customWidth="1"/>
    <col min="6" max="6" width="11.85546875" style="32" bestFit="1" customWidth="1"/>
    <col min="7" max="7" width="8.85546875" style="3"/>
    <col min="8" max="8" width="10.28515625" style="3" hidden="1" customWidth="1"/>
    <col min="9" max="9" width="0" style="3" hidden="1" customWidth="1"/>
    <col min="10" max="10" width="10.28515625" style="3" hidden="1" customWidth="1"/>
    <col min="11" max="17" width="0" style="3" hidden="1" customWidth="1"/>
    <col min="18" max="18" width="8.85546875" style="3"/>
    <col min="19" max="19" width="11.42578125" style="3" bestFit="1" customWidth="1"/>
    <col min="20" max="21" width="8.85546875" style="3"/>
    <col min="22" max="22" width="10.42578125" style="3" bestFit="1" customWidth="1"/>
    <col min="23" max="16384" width="8.85546875" style="3"/>
  </cols>
  <sheetData>
    <row r="1" spans="1:12" ht="18" x14ac:dyDescent="0.25">
      <c r="A1" s="138" t="s">
        <v>91</v>
      </c>
      <c r="B1" s="139"/>
      <c r="C1" s="139"/>
      <c r="D1" s="140"/>
      <c r="E1" s="139"/>
      <c r="F1" s="141"/>
    </row>
    <row r="2" spans="1:12" x14ac:dyDescent="0.2">
      <c r="A2" s="139"/>
      <c r="B2" s="142"/>
      <c r="C2" s="142"/>
      <c r="D2" s="143" t="s">
        <v>31</v>
      </c>
      <c r="E2" s="144"/>
      <c r="F2" s="145"/>
    </row>
    <row r="3" spans="1:12" ht="15.75" x14ac:dyDescent="0.25">
      <c r="A3" s="146" t="s">
        <v>30</v>
      </c>
      <c r="B3" s="144" t="s">
        <v>92</v>
      </c>
      <c r="C3" s="144"/>
      <c r="D3" s="143" t="s">
        <v>93</v>
      </c>
      <c r="E3" s="144"/>
      <c r="F3" s="145" t="s">
        <v>94</v>
      </c>
    </row>
    <row r="4" spans="1:12" x14ac:dyDescent="0.2">
      <c r="A4" s="139"/>
      <c r="B4" s="147" t="s">
        <v>95</v>
      </c>
      <c r="C4" s="142"/>
      <c r="D4" s="148" t="s">
        <v>96</v>
      </c>
      <c r="E4" s="144"/>
      <c r="F4" s="149" t="s">
        <v>97</v>
      </c>
      <c r="H4" s="29" t="s">
        <v>98</v>
      </c>
      <c r="I4" s="29"/>
      <c r="J4" s="29" t="s">
        <v>99</v>
      </c>
    </row>
    <row r="5" spans="1:12" x14ac:dyDescent="0.2">
      <c r="A5" s="139"/>
      <c r="B5" s="139"/>
      <c r="C5" s="139"/>
      <c r="D5" s="140"/>
      <c r="E5" s="139"/>
      <c r="F5" s="141"/>
    </row>
    <row r="6" spans="1:12" ht="15" x14ac:dyDescent="0.25">
      <c r="A6" s="139" t="s">
        <v>100</v>
      </c>
      <c r="B6" s="150">
        <f>'[5]B&amp;L meerjarig'!E6</f>
        <v>39500</v>
      </c>
      <c r="C6" s="150"/>
      <c r="D6" s="151">
        <f>'[5]detail lasten'!K10</f>
        <v>38000</v>
      </c>
      <c r="E6" s="150"/>
      <c r="F6" s="152">
        <f>D6-B6</f>
        <v>-1500</v>
      </c>
      <c r="H6" s="35" t="e">
        <f>B6-#REF!</f>
        <v>#REF!</v>
      </c>
      <c r="I6" s="114"/>
      <c r="J6" s="35" t="e">
        <f>B6-#REF!</f>
        <v>#REF!</v>
      </c>
    </row>
    <row r="7" spans="1:12" ht="15" x14ac:dyDescent="0.25">
      <c r="A7" s="139" t="s">
        <v>101</v>
      </c>
      <c r="B7" s="150">
        <f>'[5]detail lasten'!I16</f>
        <v>32000</v>
      </c>
      <c r="C7" s="150"/>
      <c r="D7" s="151">
        <f>'[5]detail lasten'!K16</f>
        <v>51000</v>
      </c>
      <c r="E7" s="150"/>
      <c r="F7" s="152">
        <f t="shared" ref="F7:F42" si="0">D7-B7</f>
        <v>19000</v>
      </c>
      <c r="H7" s="35" t="e">
        <f>B7-#REF!</f>
        <v>#REF!</v>
      </c>
      <c r="I7" s="114"/>
      <c r="J7" s="35" t="e">
        <f>B7-#REF!</f>
        <v>#REF!</v>
      </c>
    </row>
    <row r="8" spans="1:12" ht="15" x14ac:dyDescent="0.25">
      <c r="A8" s="139" t="s">
        <v>102</v>
      </c>
      <c r="B8" s="150">
        <f>'[5]detail lasten'!I22</f>
        <v>208000</v>
      </c>
      <c r="C8" s="150"/>
      <c r="D8" s="151">
        <f>'[5]detail lasten'!K22</f>
        <v>200410.76172735915</v>
      </c>
      <c r="E8" s="150"/>
      <c r="F8" s="152">
        <f t="shared" si="0"/>
        <v>-7589.2382726408541</v>
      </c>
      <c r="G8" s="25"/>
      <c r="H8" s="35" t="e">
        <f>B8-#REF!</f>
        <v>#REF!</v>
      </c>
      <c r="I8" s="114"/>
      <c r="J8" s="115" t="e">
        <f>B8-#REF!</f>
        <v>#REF!</v>
      </c>
    </row>
    <row r="9" spans="1:12" ht="15" x14ac:dyDescent="0.25">
      <c r="A9" s="139" t="s">
        <v>44</v>
      </c>
      <c r="B9" s="150">
        <f>'[5]detail lasten'!I32</f>
        <v>53400</v>
      </c>
      <c r="C9" s="150"/>
      <c r="D9" s="151">
        <f>'[5]detail lasten'!K32</f>
        <v>58000</v>
      </c>
      <c r="E9" s="150"/>
      <c r="F9" s="152">
        <f t="shared" si="0"/>
        <v>4600</v>
      </c>
      <c r="H9" s="35" t="e">
        <f>B9-#REF!</f>
        <v>#REF!</v>
      </c>
      <c r="I9" s="114"/>
      <c r="J9" s="35" t="e">
        <f>B9-#REF!</f>
        <v>#REF!</v>
      </c>
    </row>
    <row r="10" spans="1:12" ht="15" x14ac:dyDescent="0.25">
      <c r="A10" s="139" t="s">
        <v>52</v>
      </c>
      <c r="B10" s="150">
        <f>'[5]detail lasten'!I37</f>
        <v>12000</v>
      </c>
      <c r="C10" s="150"/>
      <c r="D10" s="151">
        <f>'[5]detail lasten'!K37</f>
        <v>13500</v>
      </c>
      <c r="E10" s="150"/>
      <c r="F10" s="152">
        <f t="shared" si="0"/>
        <v>1500</v>
      </c>
      <c r="H10" s="35" t="e">
        <f>B10-#REF!</f>
        <v>#REF!</v>
      </c>
      <c r="I10" s="114"/>
      <c r="J10" s="35" t="e">
        <f>B10-#REF!</f>
        <v>#REF!</v>
      </c>
    </row>
    <row r="11" spans="1:12" ht="15" x14ac:dyDescent="0.25">
      <c r="A11" s="139" t="s">
        <v>103</v>
      </c>
      <c r="B11" s="150">
        <f>'[5]detail lasten'!I42+6000</f>
        <v>42000</v>
      </c>
      <c r="C11" s="150"/>
      <c r="D11" s="151">
        <f>'[5]detail lasten'!K42</f>
        <v>56839</v>
      </c>
      <c r="E11" s="150"/>
      <c r="F11" s="152">
        <f t="shared" si="0"/>
        <v>14839</v>
      </c>
      <c r="H11" s="35" t="e">
        <f>B11-#REF!</f>
        <v>#REF!</v>
      </c>
      <c r="I11" s="114"/>
      <c r="J11" s="115" t="e">
        <f>B11-#REF!</f>
        <v>#REF!</v>
      </c>
      <c r="L11" s="3" t="s">
        <v>104</v>
      </c>
    </row>
    <row r="12" spans="1:12" ht="15" x14ac:dyDescent="0.25">
      <c r="A12" s="139" t="s">
        <v>60</v>
      </c>
      <c r="B12" s="150">
        <f>'[5]detail lasten'!I51</f>
        <v>99200</v>
      </c>
      <c r="C12" s="150"/>
      <c r="D12" s="151">
        <f>'[5]detail lasten'!K51</f>
        <v>120500</v>
      </c>
      <c r="E12" s="150"/>
      <c r="F12" s="152">
        <f t="shared" si="0"/>
        <v>21300</v>
      </c>
      <c r="H12" s="35" t="e">
        <f>B12-#REF!</f>
        <v>#REF!</v>
      </c>
      <c r="I12" s="114"/>
      <c r="J12" s="35" t="e">
        <f>B12-#REF!</f>
        <v>#REF!</v>
      </c>
      <c r="L12" s="3" t="s">
        <v>105</v>
      </c>
    </row>
    <row r="13" spans="1:12" ht="15" x14ac:dyDescent="0.25">
      <c r="A13" s="139" t="s">
        <v>68</v>
      </c>
      <c r="B13" s="150">
        <f>'[5]detail lasten'!I54</f>
        <v>6000</v>
      </c>
      <c r="C13" s="150"/>
      <c r="D13" s="151">
        <f>'[5]detail lasten'!K54</f>
        <v>10000</v>
      </c>
      <c r="E13" s="150"/>
      <c r="F13" s="152">
        <f t="shared" si="0"/>
        <v>4000</v>
      </c>
      <c r="H13" s="35" t="e">
        <f>B13-#REF!</f>
        <v>#REF!</v>
      </c>
      <c r="I13" s="114"/>
      <c r="J13" s="35" t="e">
        <f>B13-#REF!</f>
        <v>#REF!</v>
      </c>
    </row>
    <row r="14" spans="1:12" ht="15" x14ac:dyDescent="0.25">
      <c r="A14" s="139" t="s">
        <v>70</v>
      </c>
      <c r="B14" s="153">
        <f>'[5]detail lasten'!I64</f>
        <v>32400</v>
      </c>
      <c r="C14" s="154"/>
      <c r="D14" s="155">
        <f>'[5]detail lasten'!K64</f>
        <v>44000</v>
      </c>
      <c r="E14" s="154"/>
      <c r="F14" s="156">
        <f t="shared" si="0"/>
        <v>11600</v>
      </c>
      <c r="H14" s="35" t="e">
        <f>B14-#REF!</f>
        <v>#REF!</v>
      </c>
      <c r="I14" s="114"/>
      <c r="J14" s="35" t="e">
        <f>B14-#REF!</f>
        <v>#REF!</v>
      </c>
    </row>
    <row r="15" spans="1:12" ht="15" x14ac:dyDescent="0.25">
      <c r="A15" s="139"/>
      <c r="B15" s="150">
        <f>SUM(B6:B14)</f>
        <v>524500</v>
      </c>
      <c r="C15" s="150"/>
      <c r="D15" s="157">
        <f>SUM(D6:D14)</f>
        <v>592249.76172735915</v>
      </c>
      <c r="E15" s="150"/>
      <c r="F15" s="152">
        <f t="shared" si="0"/>
        <v>67749.761727359146</v>
      </c>
      <c r="H15" s="35" t="e">
        <f>B15-#REF!</f>
        <v>#REF!</v>
      </c>
      <c r="I15" s="114"/>
      <c r="J15" s="35" t="e">
        <f>B15-#REF!</f>
        <v>#REF!</v>
      </c>
    </row>
    <row r="16" spans="1:12" ht="15" x14ac:dyDescent="0.25">
      <c r="A16" s="139"/>
      <c r="B16" s="150"/>
      <c r="C16" s="150"/>
      <c r="D16" s="151"/>
      <c r="E16" s="150"/>
      <c r="F16" s="152"/>
      <c r="H16" s="35"/>
      <c r="I16" s="114"/>
      <c r="J16" s="35"/>
    </row>
    <row r="17" spans="1:22" ht="15" x14ac:dyDescent="0.25">
      <c r="A17" s="139" t="s">
        <v>78</v>
      </c>
      <c r="B17" s="150"/>
      <c r="C17" s="150"/>
      <c r="D17" s="151"/>
      <c r="E17" s="150"/>
      <c r="F17" s="152"/>
      <c r="H17" s="35"/>
      <c r="I17" s="114"/>
      <c r="J17" s="35"/>
    </row>
    <row r="18" spans="1:22" ht="15" x14ac:dyDescent="0.25">
      <c r="A18" s="139" t="s">
        <v>106</v>
      </c>
      <c r="B18" s="150">
        <f>'[5]detail lasten'!I67</f>
        <v>77000</v>
      </c>
      <c r="C18" s="150"/>
      <c r="D18" s="151">
        <f>'[5]detail lasten'!K67</f>
        <v>80000</v>
      </c>
      <c r="E18" s="150"/>
      <c r="F18" s="152">
        <f t="shared" si="0"/>
        <v>3000</v>
      </c>
      <c r="H18" s="35" t="e">
        <f>B18-#REF!</f>
        <v>#REF!</v>
      </c>
      <c r="I18" s="116"/>
      <c r="J18" s="35" t="e">
        <f>B18-#REF!</f>
        <v>#REF!</v>
      </c>
    </row>
    <row r="19" spans="1:22" ht="15" x14ac:dyDescent="0.25">
      <c r="A19" s="139" t="s">
        <v>107</v>
      </c>
      <c r="B19" s="150">
        <f>'[5]detail lasten'!I68+'[5]detail lasten'!I69</f>
        <v>8000</v>
      </c>
      <c r="C19" s="150"/>
      <c r="D19" s="151">
        <f>'[5]detail lasten'!K68+'[5]detail lasten'!K69</f>
        <v>8750</v>
      </c>
      <c r="E19" s="150"/>
      <c r="F19" s="152">
        <f t="shared" si="0"/>
        <v>750</v>
      </c>
      <c r="H19" s="35" t="e">
        <f>B19-#REF!</f>
        <v>#REF!</v>
      </c>
      <c r="I19" s="114"/>
      <c r="J19" s="35" t="e">
        <f>B19-#REF!</f>
        <v>#REF!</v>
      </c>
    </row>
    <row r="20" spans="1:22" ht="15" x14ac:dyDescent="0.25">
      <c r="A20" s="139" t="s">
        <v>82</v>
      </c>
      <c r="B20" s="153">
        <f>'[5]detail lasten'!I70+'[5]detail lasten'!I71</f>
        <v>20000</v>
      </c>
      <c r="C20" s="154"/>
      <c r="D20" s="155">
        <f>'[5]detail lasten'!K70+'[5]detail lasten'!K71</f>
        <v>21000</v>
      </c>
      <c r="E20" s="154"/>
      <c r="F20" s="158">
        <f t="shared" si="0"/>
        <v>1000</v>
      </c>
      <c r="H20" s="41" t="e">
        <f>B20-#REF!</f>
        <v>#REF!</v>
      </c>
      <c r="I20" s="114"/>
      <c r="J20" s="41" t="e">
        <f>B20-#REF!</f>
        <v>#REF!</v>
      </c>
    </row>
    <row r="21" spans="1:22" ht="15" x14ac:dyDescent="0.25">
      <c r="A21" s="140"/>
      <c r="B21" s="150">
        <f>SUM(B18:B20)</f>
        <v>105000</v>
      </c>
      <c r="C21" s="150"/>
      <c r="D21" s="151">
        <f>SUM(D18:D20)</f>
        <v>109750</v>
      </c>
      <c r="E21" s="150"/>
      <c r="F21" s="152">
        <f t="shared" si="0"/>
        <v>4750</v>
      </c>
      <c r="H21" s="35" t="e">
        <f>B21-#REF!</f>
        <v>#REF!</v>
      </c>
      <c r="I21" s="114"/>
      <c r="J21" s="35" t="e">
        <f>B21-#REF!</f>
        <v>#REF!</v>
      </c>
    </row>
    <row r="22" spans="1:22" ht="15" x14ac:dyDescent="0.25">
      <c r="A22" s="139"/>
      <c r="B22" s="150"/>
      <c r="C22" s="150"/>
      <c r="D22" s="151"/>
      <c r="E22" s="150"/>
      <c r="F22" s="152"/>
      <c r="H22" s="35" t="e">
        <f>B22-#REF!</f>
        <v>#REF!</v>
      </c>
      <c r="I22" s="114"/>
      <c r="J22" s="35" t="e">
        <f>B22-#REF!</f>
        <v>#REF!</v>
      </c>
    </row>
    <row r="23" spans="1:22" s="117" customFormat="1" ht="15.75" x14ac:dyDescent="0.25">
      <c r="A23" s="159" t="s">
        <v>84</v>
      </c>
      <c r="B23" s="160">
        <f>B15+B21</f>
        <v>629500</v>
      </c>
      <c r="C23" s="161"/>
      <c r="D23" s="162">
        <f>D15+D21</f>
        <v>701999.76172735915</v>
      </c>
      <c r="E23" s="161"/>
      <c r="F23" s="163">
        <f t="shared" si="0"/>
        <v>72499.761727359146</v>
      </c>
      <c r="H23" s="118" t="e">
        <f>B23-#REF!</f>
        <v>#REF!</v>
      </c>
      <c r="I23" s="119"/>
      <c r="J23" s="118" t="e">
        <f>B23-#REF!</f>
        <v>#REF!</v>
      </c>
    </row>
    <row r="24" spans="1:22" ht="15" x14ac:dyDescent="0.25">
      <c r="A24" s="139"/>
      <c r="B24" s="150"/>
      <c r="C24" s="150"/>
      <c r="D24" s="151"/>
      <c r="E24" s="150"/>
      <c r="F24" s="152"/>
      <c r="H24" s="35" t="e">
        <f>B24-#REF!</f>
        <v>#REF!</v>
      </c>
      <c r="I24" s="114"/>
      <c r="J24" s="35" t="e">
        <f>B24-#REF!</f>
        <v>#REF!</v>
      </c>
    </row>
    <row r="25" spans="1:22" ht="15.75" x14ac:dyDescent="0.25">
      <c r="A25" s="146" t="s">
        <v>2</v>
      </c>
      <c r="B25" s="150"/>
      <c r="C25" s="150"/>
      <c r="D25" s="151"/>
      <c r="E25" s="150"/>
      <c r="F25" s="152"/>
      <c r="H25" s="35" t="e">
        <f>B25-#REF!</f>
        <v>#REF!</v>
      </c>
      <c r="I25" s="114"/>
      <c r="J25" s="35" t="e">
        <f>B25-#REF!</f>
        <v>#REF!</v>
      </c>
    </row>
    <row r="26" spans="1:22" ht="15" x14ac:dyDescent="0.25">
      <c r="A26" s="139"/>
      <c r="B26" s="150"/>
      <c r="C26" s="150"/>
      <c r="D26" s="151"/>
      <c r="E26" s="150"/>
      <c r="F26" s="152"/>
      <c r="H26" s="35" t="e">
        <f>B26-#REF!</f>
        <v>#REF!</v>
      </c>
      <c r="I26" s="114"/>
      <c r="J26" s="35" t="e">
        <f>B26-#REF!</f>
        <v>#REF!</v>
      </c>
    </row>
    <row r="27" spans="1:22" ht="15" x14ac:dyDescent="0.25">
      <c r="A27" s="139" t="s">
        <v>86</v>
      </c>
      <c r="B27" s="150">
        <f>'[5]detail baten'!B11</f>
        <v>345000</v>
      </c>
      <c r="C27" s="150"/>
      <c r="D27" s="151">
        <f>'[5]detail baten'!D11</f>
        <v>376000</v>
      </c>
      <c r="E27" s="150"/>
      <c r="F27" s="152">
        <f t="shared" si="0"/>
        <v>31000</v>
      </c>
      <c r="H27" s="35" t="e">
        <f>B27-#REF!</f>
        <v>#REF!</v>
      </c>
      <c r="I27" s="114"/>
      <c r="J27" s="35" t="e">
        <f>B27-#REF!</f>
        <v>#REF!</v>
      </c>
      <c r="L27" s="3" t="s">
        <v>108</v>
      </c>
    </row>
    <row r="28" spans="1:22" ht="15" x14ac:dyDescent="0.25">
      <c r="A28" s="139" t="s">
        <v>109</v>
      </c>
      <c r="B28" s="150">
        <f>'[5]detail baten'!B14</f>
        <v>80000</v>
      </c>
      <c r="C28" s="150"/>
      <c r="D28" s="151">
        <f>'[5]detail baten'!D14</f>
        <v>100000</v>
      </c>
      <c r="E28" s="150"/>
      <c r="F28" s="152">
        <f t="shared" si="0"/>
        <v>20000</v>
      </c>
      <c r="H28" s="35" t="e">
        <f>B28-#REF!</f>
        <v>#REF!</v>
      </c>
      <c r="I28" s="114"/>
      <c r="J28" s="35" t="e">
        <f>B28-#REF!</f>
        <v>#REF!</v>
      </c>
    </row>
    <row r="29" spans="1:22" ht="15" x14ac:dyDescent="0.25">
      <c r="A29" s="139" t="s">
        <v>110</v>
      </c>
      <c r="B29" s="150">
        <f>'[5]detail baten'!B18</f>
        <v>0</v>
      </c>
      <c r="C29" s="150"/>
      <c r="D29" s="151">
        <f>'[5]detail baten'!D18</f>
        <v>1000</v>
      </c>
      <c r="E29" s="150"/>
      <c r="F29" s="152">
        <f t="shared" si="0"/>
        <v>1000</v>
      </c>
      <c r="H29" s="35" t="e">
        <f>B29-#REF!</f>
        <v>#REF!</v>
      </c>
      <c r="I29" s="114"/>
      <c r="J29" s="35" t="e">
        <f>B29-#REF!</f>
        <v>#REF!</v>
      </c>
    </row>
    <row r="30" spans="1:22" ht="15.75" x14ac:dyDescent="0.25">
      <c r="A30" s="139" t="s">
        <v>111</v>
      </c>
      <c r="B30" s="150">
        <f>'[5]detail baten'!B23</f>
        <v>1600</v>
      </c>
      <c r="C30" s="150"/>
      <c r="D30" s="151">
        <f>'[5]detail baten'!D23</f>
        <v>32500</v>
      </c>
      <c r="E30" s="150"/>
      <c r="F30" s="152">
        <f t="shared" si="0"/>
        <v>30900</v>
      </c>
      <c r="H30" s="35" t="e">
        <f>B30-#REF!</f>
        <v>#REF!</v>
      </c>
      <c r="I30" s="114"/>
      <c r="J30" s="35" t="e">
        <f>B30-#REF!</f>
        <v>#REF!</v>
      </c>
      <c r="R30" s="117"/>
    </row>
    <row r="31" spans="1:22" ht="15" x14ac:dyDescent="0.25">
      <c r="A31" s="139" t="s">
        <v>112</v>
      </c>
      <c r="B31" s="150">
        <f>'[5]detail baten'!B26</f>
        <v>205000</v>
      </c>
      <c r="C31" s="150"/>
      <c r="D31" s="151">
        <f>'[5]detail baten'!D25</f>
        <v>210000</v>
      </c>
      <c r="E31" s="150"/>
      <c r="F31" s="152">
        <f t="shared" si="0"/>
        <v>5000</v>
      </c>
      <c r="G31" s="120"/>
      <c r="H31" s="35" t="e">
        <f>B31-#REF!</f>
        <v>#REF!</v>
      </c>
      <c r="I31" s="114"/>
      <c r="J31" s="35" t="e">
        <f>B31-#REF!</f>
        <v>#REF!</v>
      </c>
      <c r="V31" s="124"/>
    </row>
    <row r="32" spans="1:22" ht="15" x14ac:dyDescent="0.25">
      <c r="A32" s="139"/>
      <c r="B32" s="150"/>
      <c r="C32" s="150"/>
      <c r="D32" s="151"/>
      <c r="E32" s="150"/>
      <c r="F32" s="152"/>
      <c r="H32" s="35" t="e">
        <f>B32-#REF!</f>
        <v>#REF!</v>
      </c>
      <c r="I32" s="114"/>
      <c r="J32" s="35" t="e">
        <f>B32-#REF!</f>
        <v>#REF!</v>
      </c>
    </row>
    <row r="33" spans="1:19" s="117" customFormat="1" ht="15.75" x14ac:dyDescent="0.25">
      <c r="A33" s="159" t="s">
        <v>113</v>
      </c>
      <c r="B33" s="161">
        <f>SUM(B27:B32)</f>
        <v>631600</v>
      </c>
      <c r="C33" s="161"/>
      <c r="D33" s="161">
        <f>SUM(D27:D32)</f>
        <v>719500</v>
      </c>
      <c r="E33" s="161"/>
      <c r="F33" s="163">
        <f t="shared" si="0"/>
        <v>87900</v>
      </c>
      <c r="H33" s="118" t="e">
        <f>B33-#REF!</f>
        <v>#REF!</v>
      </c>
      <c r="I33" s="119"/>
      <c r="J33" s="118" t="e">
        <f>B33-#REF!</f>
        <v>#REF!</v>
      </c>
      <c r="S33" s="121"/>
    </row>
    <row r="34" spans="1:19" ht="15" x14ac:dyDescent="0.25">
      <c r="A34" s="139"/>
      <c r="B34" s="150"/>
      <c r="C34" s="150"/>
      <c r="D34" s="151"/>
      <c r="E34" s="150"/>
      <c r="F34" s="152"/>
      <c r="H34" s="35" t="e">
        <f>B34-#REF!</f>
        <v>#REF!</v>
      </c>
      <c r="I34" s="114"/>
      <c r="J34" s="35" t="e">
        <f>B34-#REF!</f>
        <v>#REF!</v>
      </c>
    </row>
    <row r="35" spans="1:19" s="117" customFormat="1" ht="16.5" thickBot="1" x14ac:dyDescent="0.3">
      <c r="A35" s="159" t="s">
        <v>114</v>
      </c>
      <c r="B35" s="161">
        <f>B33-B23</f>
        <v>2100</v>
      </c>
      <c r="C35" s="161"/>
      <c r="D35" s="161">
        <f>D33-D23</f>
        <v>17500.238272640854</v>
      </c>
      <c r="E35" s="161"/>
      <c r="F35" s="163">
        <f t="shared" si="0"/>
        <v>15400.238272640854</v>
      </c>
      <c r="H35" s="122" t="e">
        <f>B35-#REF!</f>
        <v>#REF!</v>
      </c>
      <c r="I35" s="119"/>
      <c r="J35" s="122" t="e">
        <f>B35-#REF!</f>
        <v>#REF!</v>
      </c>
      <c r="L35" s="117" t="s">
        <v>115</v>
      </c>
    </row>
    <row r="36" spans="1:19" ht="13.5" thickTop="1" x14ac:dyDescent="0.2">
      <c r="A36" s="139"/>
      <c r="B36" s="139"/>
      <c r="C36" s="139"/>
      <c r="D36" s="140"/>
      <c r="E36" s="139"/>
      <c r="F36" s="141"/>
    </row>
    <row r="37" spans="1:19" s="117" customFormat="1" ht="15.75" hidden="1" x14ac:dyDescent="0.25">
      <c r="A37" s="146" t="s">
        <v>116</v>
      </c>
      <c r="B37" s="164"/>
      <c r="C37" s="164"/>
      <c r="D37" s="146"/>
      <c r="E37" s="164"/>
      <c r="F37" s="165">
        <f t="shared" si="0"/>
        <v>0</v>
      </c>
    </row>
    <row r="38" spans="1:19" s="117" customFormat="1" ht="15.75" hidden="1" x14ac:dyDescent="0.25">
      <c r="A38" s="164" t="s">
        <v>117</v>
      </c>
      <c r="B38" s="166">
        <f>B35</f>
        <v>2100</v>
      </c>
      <c r="C38" s="166"/>
      <c r="D38" s="167"/>
      <c r="E38" s="166"/>
      <c r="F38" s="165">
        <f t="shared" si="0"/>
        <v>-2100</v>
      </c>
    </row>
    <row r="39" spans="1:19" s="117" customFormat="1" ht="15.75" hidden="1" x14ac:dyDescent="0.25">
      <c r="A39" s="164" t="s">
        <v>118</v>
      </c>
      <c r="B39" s="166">
        <v>20000</v>
      </c>
      <c r="C39" s="166"/>
      <c r="D39" s="167"/>
      <c r="E39" s="166"/>
      <c r="F39" s="165">
        <f t="shared" si="0"/>
        <v>-20000</v>
      </c>
    </row>
    <row r="40" spans="1:19" s="117" customFormat="1" ht="15.75" hidden="1" x14ac:dyDescent="0.25">
      <c r="A40" s="164" t="s">
        <v>119</v>
      </c>
      <c r="B40" s="166">
        <v>-20000</v>
      </c>
      <c r="C40" s="166"/>
      <c r="D40" s="167"/>
      <c r="E40" s="166"/>
      <c r="F40" s="165">
        <f t="shared" si="0"/>
        <v>20000</v>
      </c>
    </row>
    <row r="41" spans="1:19" s="117" customFormat="1" ht="15.75" hidden="1" x14ac:dyDescent="0.25">
      <c r="A41" s="164" t="s">
        <v>120</v>
      </c>
      <c r="B41" s="168">
        <v>-6000</v>
      </c>
      <c r="C41" s="166"/>
      <c r="D41" s="167"/>
      <c r="E41" s="166"/>
      <c r="F41" s="165">
        <f t="shared" si="0"/>
        <v>6000</v>
      </c>
      <c r="H41" s="117" t="s">
        <v>121</v>
      </c>
      <c r="L41" s="117" t="s">
        <v>122</v>
      </c>
    </row>
    <row r="42" spans="1:19" s="117" customFormat="1" ht="15.75" hidden="1" x14ac:dyDescent="0.25">
      <c r="A42" s="164" t="s">
        <v>123</v>
      </c>
      <c r="B42" s="166">
        <f>SUM(B38:B41)</f>
        <v>-3900</v>
      </c>
      <c r="C42" s="166"/>
      <c r="D42" s="167"/>
      <c r="E42" s="166"/>
      <c r="F42" s="165">
        <f t="shared" si="0"/>
        <v>3900</v>
      </c>
    </row>
    <row r="43" spans="1:19" s="117" customFormat="1" ht="15.75" x14ac:dyDescent="0.25">
      <c r="A43" s="164"/>
      <c r="B43" s="164"/>
      <c r="C43" s="164"/>
      <c r="D43" s="146"/>
      <c r="E43" s="164"/>
      <c r="F43" s="165"/>
    </row>
    <row r="44" spans="1:19" s="32" customFormat="1" x14ac:dyDescent="0.2">
      <c r="A44" s="169" t="s">
        <v>124</v>
      </c>
      <c r="B44" s="170">
        <f>B35+B6+B7</f>
        <v>73600</v>
      </c>
      <c r="C44" s="170"/>
      <c r="D44" s="170">
        <f>D5+D6+D7</f>
        <v>89000</v>
      </c>
      <c r="E44" s="170"/>
      <c r="F44" s="170">
        <f>F5+F6+F7</f>
        <v>17500</v>
      </c>
    </row>
    <row r="49" spans="2:4" x14ac:dyDescent="0.2">
      <c r="B49" s="124"/>
      <c r="C49" s="124"/>
      <c r="D49" s="125"/>
    </row>
    <row r="50" spans="2:4" ht="15.75" x14ac:dyDescent="0.25">
      <c r="B50" s="123"/>
      <c r="C50" s="124"/>
      <c r="D50" s="125"/>
    </row>
    <row r="51" spans="2:4" x14ac:dyDescent="0.2">
      <c r="B51" s="124"/>
      <c r="C51" s="124"/>
      <c r="D51" s="125"/>
    </row>
    <row r="52" spans="2:4" ht="15" x14ac:dyDescent="0.25">
      <c r="B52" s="126"/>
      <c r="C52" s="126"/>
      <c r="D52" s="127"/>
    </row>
  </sheetData>
  <pageMargins left="0.25" right="0.25" top="0.55000000000000004" bottom="0.55000000000000004" header="0.30000000000000004" footer="0.30000000000000004"/>
  <pageSetup paperSize="9" scale="93" orientation="portrait" r:id="rId1"/>
  <headerFooter alignWithMargins="0">
    <oddFooter>&amp;L&amp;K000000Begroting S1819 ALV 31 mei 2018 - niet bestemd voor verdere verspreiding CONCEPT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C7CBA-BDEA-42DA-8786-FE0DD2584A74}">
  <sheetPr>
    <pageSetUpPr fitToPage="1"/>
  </sheetPr>
  <dimension ref="A1:G40"/>
  <sheetViews>
    <sheetView topLeftCell="A22" zoomScale="120" zoomScaleNormal="120" workbookViewId="0">
      <selection activeCell="J31" sqref="J31"/>
    </sheetView>
  </sheetViews>
  <sheetFormatPr defaultColWidth="9.140625" defaultRowHeight="12.75" x14ac:dyDescent="0.2"/>
  <cols>
    <col min="1" max="1" width="30.5703125" style="3" bestFit="1" customWidth="1"/>
    <col min="2" max="2" width="12.85546875" style="3" bestFit="1" customWidth="1"/>
    <col min="3" max="3" width="2.28515625" style="3" customWidth="1"/>
    <col min="4" max="4" width="12.85546875" style="4" bestFit="1" customWidth="1"/>
    <col min="5" max="5" width="2.28515625" style="3" customWidth="1"/>
    <col min="6" max="6" width="11.85546875" style="136" customWidth="1"/>
    <col min="7" max="8" width="9.140625" style="3"/>
    <col min="9" max="9" width="9.85546875" style="3" bestFit="1" customWidth="1"/>
    <col min="10" max="10" width="9.28515625" style="3" bestFit="1" customWidth="1"/>
    <col min="11" max="16384" width="9.140625" style="3"/>
  </cols>
  <sheetData>
    <row r="1" spans="1:6" ht="18" x14ac:dyDescent="0.25">
      <c r="A1" s="138" t="s">
        <v>91</v>
      </c>
      <c r="B1" s="139"/>
      <c r="C1" s="139"/>
      <c r="D1" s="140"/>
      <c r="E1" s="139"/>
      <c r="F1" s="199"/>
    </row>
    <row r="2" spans="1:6" ht="15" x14ac:dyDescent="0.25">
      <c r="A2" s="200"/>
      <c r="B2" s="139"/>
      <c r="C2" s="139"/>
      <c r="D2" s="140"/>
      <c r="E2" s="139"/>
      <c r="F2" s="199"/>
    </row>
    <row r="3" spans="1:6" x14ac:dyDescent="0.2">
      <c r="A3" s="139"/>
      <c r="B3" s="139"/>
      <c r="C3" s="139"/>
      <c r="D3" s="140"/>
      <c r="E3" s="139"/>
      <c r="F3" s="199"/>
    </row>
    <row r="4" spans="1:6" x14ac:dyDescent="0.2">
      <c r="A4" s="140" t="s">
        <v>2</v>
      </c>
      <c r="B4" s="139"/>
      <c r="C4" s="139"/>
      <c r="D4" s="143"/>
      <c r="E4" s="139"/>
      <c r="F4" s="199"/>
    </row>
    <row r="5" spans="1:6" x14ac:dyDescent="0.2">
      <c r="A5" s="139"/>
      <c r="B5" s="144" t="s">
        <v>92</v>
      </c>
      <c r="C5" s="139"/>
      <c r="D5" s="143" t="s">
        <v>93</v>
      </c>
      <c r="E5" s="139"/>
      <c r="F5" s="145" t="s">
        <v>94</v>
      </c>
    </row>
    <row r="6" spans="1:6" x14ac:dyDescent="0.2">
      <c r="A6" s="139"/>
      <c r="B6" s="147" t="s">
        <v>95</v>
      </c>
      <c r="C6" s="142"/>
      <c r="D6" s="148" t="s">
        <v>96</v>
      </c>
      <c r="E6" s="144"/>
      <c r="F6" s="149" t="s">
        <v>97</v>
      </c>
    </row>
    <row r="7" spans="1:6" x14ac:dyDescent="0.2">
      <c r="A7" s="139"/>
      <c r="B7" s="139"/>
      <c r="C7" s="139"/>
      <c r="D7" s="140"/>
      <c r="E7" s="139"/>
      <c r="F7" s="199"/>
    </row>
    <row r="8" spans="1:6" x14ac:dyDescent="0.2">
      <c r="A8" s="140" t="s">
        <v>86</v>
      </c>
      <c r="B8" s="139"/>
      <c r="C8" s="139"/>
      <c r="D8" s="140"/>
      <c r="E8" s="139"/>
      <c r="F8" s="199"/>
    </row>
    <row r="9" spans="1:6" x14ac:dyDescent="0.2">
      <c r="A9" s="139" t="s">
        <v>86</v>
      </c>
      <c r="B9" s="190">
        <v>315000</v>
      </c>
      <c r="C9" s="190"/>
      <c r="D9" s="191">
        <f>'[5]begroting 2627'!J4</f>
        <v>345000</v>
      </c>
      <c r="E9" s="190"/>
      <c r="F9" s="152">
        <f>D9-B9</f>
        <v>30000</v>
      </c>
    </row>
    <row r="10" spans="1:6" x14ac:dyDescent="0.2">
      <c r="A10" s="139" t="s">
        <v>6</v>
      </c>
      <c r="B10" s="187">
        <v>30000</v>
      </c>
      <c r="C10" s="190"/>
      <c r="D10" s="155">
        <f>'[5]begroting 2627'!J5</f>
        <v>31000</v>
      </c>
      <c r="E10" s="190"/>
      <c r="F10" s="158">
        <f>D10-B10</f>
        <v>1000</v>
      </c>
    </row>
    <row r="11" spans="1:6" x14ac:dyDescent="0.2">
      <c r="A11" s="139"/>
      <c r="B11" s="190">
        <f>SUM(B9:B10)</f>
        <v>345000</v>
      </c>
      <c r="C11" s="190"/>
      <c r="D11" s="191">
        <f>SUM(D9:D10)</f>
        <v>376000</v>
      </c>
      <c r="E11" s="190"/>
      <c r="F11" s="152">
        <f>D11-B11</f>
        <v>31000</v>
      </c>
    </row>
    <row r="12" spans="1:6" x14ac:dyDescent="0.2">
      <c r="A12" s="140" t="s">
        <v>136</v>
      </c>
      <c r="B12" s="190"/>
      <c r="C12" s="190"/>
      <c r="D12" s="191"/>
      <c r="E12" s="190"/>
      <c r="F12" s="152"/>
    </row>
    <row r="13" spans="1:6" x14ac:dyDescent="0.2">
      <c r="A13" s="139" t="s">
        <v>137</v>
      </c>
      <c r="B13" s="190">
        <v>80000</v>
      </c>
      <c r="C13" s="190"/>
      <c r="D13" s="191">
        <f>'[5]begroting 2627'!J6</f>
        <v>100000</v>
      </c>
      <c r="E13" s="190"/>
      <c r="F13" s="152">
        <f>D13-B13</f>
        <v>20000</v>
      </c>
    </row>
    <row r="14" spans="1:6" x14ac:dyDescent="0.2">
      <c r="A14" s="139"/>
      <c r="B14" s="190">
        <f>SUM(B13)</f>
        <v>80000</v>
      </c>
      <c r="C14" s="190"/>
      <c r="D14" s="191">
        <f>SUM(D13:D13)</f>
        <v>100000</v>
      </c>
      <c r="E14" s="190"/>
      <c r="F14" s="152">
        <f>D14-B14</f>
        <v>20000</v>
      </c>
    </row>
    <row r="15" spans="1:6" x14ac:dyDescent="0.2">
      <c r="A15" s="139"/>
      <c r="B15" s="139"/>
      <c r="C15" s="139"/>
      <c r="D15" s="140"/>
      <c r="E15" s="139"/>
      <c r="F15" s="199"/>
    </row>
    <row r="16" spans="1:6" x14ac:dyDescent="0.2">
      <c r="A16" s="140" t="s">
        <v>110</v>
      </c>
      <c r="B16" s="190"/>
      <c r="C16" s="190"/>
      <c r="D16" s="191"/>
      <c r="E16" s="190"/>
      <c r="F16" s="152"/>
    </row>
    <row r="17" spans="1:7" x14ac:dyDescent="0.2">
      <c r="A17" s="139" t="s">
        <v>138</v>
      </c>
      <c r="B17" s="187">
        <v>0</v>
      </c>
      <c r="C17" s="190"/>
      <c r="D17" s="155">
        <f>'[5]begroting 2627'!J7</f>
        <v>1000</v>
      </c>
      <c r="E17" s="190"/>
      <c r="F17" s="158">
        <f>D17-B17</f>
        <v>1000</v>
      </c>
    </row>
    <row r="18" spans="1:7" x14ac:dyDescent="0.2">
      <c r="A18" s="139"/>
      <c r="B18" s="190">
        <f>SUM(B17:B17)</f>
        <v>0</v>
      </c>
      <c r="C18" s="190"/>
      <c r="D18" s="191">
        <f>SUM(D17)</f>
        <v>1000</v>
      </c>
      <c r="E18" s="190"/>
      <c r="F18" s="156">
        <f>D18-B18</f>
        <v>1000</v>
      </c>
    </row>
    <row r="19" spans="1:7" x14ac:dyDescent="0.2">
      <c r="A19" s="140" t="s">
        <v>111</v>
      </c>
      <c r="B19" s="190"/>
      <c r="C19" s="190"/>
      <c r="D19" s="191"/>
      <c r="E19" s="190"/>
      <c r="F19" s="152"/>
    </row>
    <row r="20" spans="1:7" x14ac:dyDescent="0.2">
      <c r="A20" s="139" t="s">
        <v>139</v>
      </c>
      <c r="B20" s="190">
        <v>1600</v>
      </c>
      <c r="C20" s="190"/>
      <c r="D20" s="191">
        <f>'[5]begroting 2627'!J8</f>
        <v>2500</v>
      </c>
      <c r="E20" s="190"/>
      <c r="F20" s="152">
        <f>D20-B20</f>
        <v>900</v>
      </c>
    </row>
    <row r="21" spans="1:7" x14ac:dyDescent="0.2">
      <c r="A21" s="139" t="s">
        <v>140</v>
      </c>
      <c r="B21" s="190">
        <v>0</v>
      </c>
      <c r="C21" s="190"/>
      <c r="D21" s="191">
        <f>'[5]begroting 2627'!J10</f>
        <v>12000</v>
      </c>
      <c r="E21" s="190"/>
      <c r="F21" s="152">
        <f>D21-B21</f>
        <v>12000</v>
      </c>
    </row>
    <row r="22" spans="1:7" x14ac:dyDescent="0.2">
      <c r="A22" s="139" t="s">
        <v>141</v>
      </c>
      <c r="B22" s="187">
        <v>0</v>
      </c>
      <c r="C22" s="190"/>
      <c r="D22" s="155">
        <f>'[5]begroting 2627'!J11</f>
        <v>18000</v>
      </c>
      <c r="E22" s="190"/>
      <c r="F22" s="158">
        <f>D22-B22</f>
        <v>18000</v>
      </c>
    </row>
    <row r="23" spans="1:7" x14ac:dyDescent="0.2">
      <c r="A23" s="139"/>
      <c r="B23" s="190">
        <f>SUM(B20:B22)</f>
        <v>1600</v>
      </c>
      <c r="C23" s="190"/>
      <c r="D23" s="191">
        <f>SUM(D20:D22)</f>
        <v>32500</v>
      </c>
      <c r="E23" s="190"/>
      <c r="F23" s="152">
        <f>D23-B23</f>
        <v>30900</v>
      </c>
    </row>
    <row r="24" spans="1:7" x14ac:dyDescent="0.2">
      <c r="A24" s="140" t="s">
        <v>112</v>
      </c>
      <c r="B24" s="190"/>
      <c r="C24" s="190"/>
      <c r="D24" s="191"/>
      <c r="E24" s="190"/>
      <c r="F24" s="152"/>
    </row>
    <row r="25" spans="1:7" x14ac:dyDescent="0.2">
      <c r="A25" s="139" t="s">
        <v>142</v>
      </c>
      <c r="B25" s="187">
        <v>205000</v>
      </c>
      <c r="C25" s="190"/>
      <c r="D25" s="155">
        <f>'[5]begroting 2627'!J9</f>
        <v>210000</v>
      </c>
      <c r="E25" s="190"/>
      <c r="F25" s="158">
        <f>D25-B25</f>
        <v>5000</v>
      </c>
    </row>
    <row r="26" spans="1:7" x14ac:dyDescent="0.2">
      <c r="A26" s="139"/>
      <c r="B26" s="190">
        <f>SUM(B25)</f>
        <v>205000</v>
      </c>
      <c r="C26" s="190"/>
      <c r="D26" s="191">
        <f>SUM(D25)</f>
        <v>210000</v>
      </c>
      <c r="E26" s="190"/>
      <c r="F26" s="152">
        <f>D26-B26</f>
        <v>5000</v>
      </c>
    </row>
    <row r="27" spans="1:7" x14ac:dyDescent="0.2">
      <c r="A27" s="139"/>
      <c r="B27" s="190"/>
      <c r="C27" s="190"/>
      <c r="D27" s="191"/>
      <c r="E27" s="190"/>
      <c r="F27" s="152"/>
      <c r="G27" s="137"/>
    </row>
    <row r="28" spans="1:7" x14ac:dyDescent="0.2">
      <c r="A28" s="139"/>
      <c r="B28" s="190"/>
      <c r="C28" s="190"/>
      <c r="D28" s="191"/>
      <c r="E28" s="190"/>
      <c r="F28" s="152"/>
      <c r="G28" s="137"/>
    </row>
    <row r="29" spans="1:7" ht="15.75" x14ac:dyDescent="0.25">
      <c r="A29" s="159" t="s">
        <v>113</v>
      </c>
      <c r="B29" s="198">
        <f>B11+B14+B23+B26</f>
        <v>631600</v>
      </c>
      <c r="C29" s="161"/>
      <c r="D29" s="161">
        <f>D11+D14+D23+D26+D18</f>
        <v>719500</v>
      </c>
      <c r="E29" s="161"/>
      <c r="F29" s="163">
        <f>D29-B29</f>
        <v>87900</v>
      </c>
      <c r="G29" s="137"/>
    </row>
    <row r="30" spans="1:7" x14ac:dyDescent="0.2">
      <c r="A30" s="139"/>
      <c r="B30" s="139"/>
      <c r="C30" s="139"/>
      <c r="D30" s="140"/>
      <c r="E30" s="139"/>
      <c r="F30" s="199"/>
      <c r="G30" s="137"/>
    </row>
    <row r="31" spans="1:7" ht="15" x14ac:dyDescent="0.25">
      <c r="A31" s="201"/>
      <c r="B31" s="202" t="s">
        <v>149</v>
      </c>
      <c r="C31" s="203"/>
      <c r="D31" s="204"/>
      <c r="E31" s="203"/>
      <c r="F31" s="205"/>
    </row>
    <row r="32" spans="1:7" x14ac:dyDescent="0.2">
      <c r="A32" s="206"/>
      <c r="B32" s="207" t="s">
        <v>93</v>
      </c>
      <c r="C32" s="207"/>
      <c r="D32" s="208" t="s">
        <v>93</v>
      </c>
      <c r="E32" s="207"/>
      <c r="F32" s="209" t="s">
        <v>94</v>
      </c>
    </row>
    <row r="33" spans="1:6" x14ac:dyDescent="0.2">
      <c r="A33" s="206"/>
      <c r="B33" s="207" t="s">
        <v>95</v>
      </c>
      <c r="C33" s="207"/>
      <c r="D33" s="210" t="s">
        <v>96</v>
      </c>
      <c r="E33" s="207"/>
      <c r="F33" s="209" t="s">
        <v>97</v>
      </c>
    </row>
    <row r="34" spans="1:6" x14ac:dyDescent="0.2">
      <c r="A34" s="206"/>
      <c r="B34" s="207"/>
      <c r="C34" s="207"/>
      <c r="D34" s="208"/>
      <c r="E34" s="207"/>
      <c r="F34" s="209"/>
    </row>
    <row r="35" spans="1:6" x14ac:dyDescent="0.2">
      <c r="A35" s="206" t="s">
        <v>143</v>
      </c>
      <c r="B35" s="212">
        <v>355.55</v>
      </c>
      <c r="C35" s="212"/>
      <c r="D35" s="213">
        <v>366.2165</v>
      </c>
      <c r="E35" s="212"/>
      <c r="F35" s="214">
        <v>10.666499999999985</v>
      </c>
    </row>
    <row r="36" spans="1:6" x14ac:dyDescent="0.2">
      <c r="A36" s="206" t="s">
        <v>144</v>
      </c>
      <c r="B36" s="212">
        <v>318.8</v>
      </c>
      <c r="C36" s="212"/>
      <c r="D36" s="213">
        <v>328.36400000000003</v>
      </c>
      <c r="E36" s="212"/>
      <c r="F36" s="214">
        <v>9.5640000000000214</v>
      </c>
    </row>
    <row r="37" spans="1:6" x14ac:dyDescent="0.2">
      <c r="A37" s="206" t="s">
        <v>145</v>
      </c>
      <c r="B37" s="212">
        <v>309.35000000000002</v>
      </c>
      <c r="C37" s="212"/>
      <c r="D37" s="213">
        <v>318.63050000000004</v>
      </c>
      <c r="E37" s="212"/>
      <c r="F37" s="214">
        <v>9.2805000000000177</v>
      </c>
    </row>
    <row r="38" spans="1:6" x14ac:dyDescent="0.2">
      <c r="A38" s="206" t="s">
        <v>146</v>
      </c>
      <c r="B38" s="212">
        <v>211.70000000000002</v>
      </c>
      <c r="C38" s="212"/>
      <c r="D38" s="213">
        <v>218.05100000000002</v>
      </c>
      <c r="E38" s="212"/>
      <c r="F38" s="214">
        <v>6.3509999999999991</v>
      </c>
    </row>
    <row r="39" spans="1:6" x14ac:dyDescent="0.2">
      <c r="A39" s="206" t="s">
        <v>147</v>
      </c>
      <c r="B39" s="212">
        <v>142.4</v>
      </c>
      <c r="C39" s="212"/>
      <c r="D39" s="213">
        <v>146.672</v>
      </c>
      <c r="E39" s="212"/>
      <c r="F39" s="214">
        <v>4.2719999999999914</v>
      </c>
    </row>
    <row r="40" spans="1:6" x14ac:dyDescent="0.2">
      <c r="A40" s="211" t="s">
        <v>148</v>
      </c>
      <c r="B40" s="215">
        <v>50</v>
      </c>
      <c r="C40" s="215"/>
      <c r="D40" s="216">
        <v>51.5</v>
      </c>
      <c r="E40" s="215"/>
      <c r="F40" s="217">
        <v>1.5</v>
      </c>
    </row>
  </sheetData>
  <pageMargins left="0.25" right="0.25" top="0.55000000000000004" bottom="0.55000000000000004" header="0.30000000000000004" footer="0.30000000000000004"/>
  <pageSetup paperSize="9" scale="83" orientation="portrait" r:id="rId1"/>
  <headerFooter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FA257-6DAD-423F-9046-2E3DFCCD1EB6}">
  <dimension ref="A1:S75"/>
  <sheetViews>
    <sheetView zoomScale="110" zoomScaleNormal="110" zoomScalePageLayoutView="127" workbookViewId="0">
      <selection activeCell="T7" sqref="T7"/>
    </sheetView>
  </sheetViews>
  <sheetFormatPr defaultColWidth="8.85546875" defaultRowHeight="12.75" x14ac:dyDescent="0.2"/>
  <cols>
    <col min="1" max="1" width="41.140625" style="128" customWidth="1"/>
    <col min="2" max="2" width="12" style="128" hidden="1" customWidth="1"/>
    <col min="3" max="3" width="10.28515625" style="128" hidden="1" customWidth="1"/>
    <col min="4" max="4" width="6.42578125" style="128" hidden="1" customWidth="1"/>
    <col min="5" max="5" width="10.28515625" style="128" hidden="1" customWidth="1"/>
    <col min="6" max="6" width="6.42578125" style="128" hidden="1" customWidth="1"/>
    <col min="7" max="7" width="10.28515625" style="128" hidden="1" customWidth="1"/>
    <col min="8" max="8" width="6.42578125" style="128" hidden="1" customWidth="1"/>
    <col min="9" max="9" width="14.140625" style="128" bestFit="1" customWidth="1"/>
    <col min="10" max="10" width="2" style="128" customWidth="1"/>
    <col min="11" max="11" width="17.28515625" style="129" bestFit="1" customWidth="1"/>
    <col min="12" max="12" width="2.42578125" style="128" customWidth="1"/>
    <col min="13" max="13" width="11.85546875" style="128" bestFit="1" customWidth="1"/>
    <col min="14" max="14" width="10" style="128" hidden="1" customWidth="1"/>
    <col min="15" max="15" width="0" style="128" hidden="1" customWidth="1"/>
    <col min="16" max="16" width="10" style="128" hidden="1" customWidth="1"/>
    <col min="17" max="17" width="0" style="128" hidden="1" customWidth="1"/>
    <col min="18" max="18" width="8.85546875" style="128"/>
    <col min="19" max="19" width="15.42578125" style="128" bestFit="1" customWidth="1"/>
    <col min="20" max="21" width="14.7109375" style="128" bestFit="1" customWidth="1"/>
    <col min="22" max="16384" width="8.85546875" style="128"/>
  </cols>
  <sheetData>
    <row r="1" spans="1:18" ht="18" x14ac:dyDescent="0.25">
      <c r="A1" s="171" t="s">
        <v>91</v>
      </c>
      <c r="B1" s="172"/>
      <c r="C1" s="173"/>
      <c r="D1" s="174"/>
      <c r="E1" s="174"/>
      <c r="F1" s="174"/>
      <c r="G1" s="174"/>
      <c r="H1" s="174"/>
      <c r="I1" s="174"/>
      <c r="J1" s="174"/>
      <c r="K1" s="175"/>
      <c r="L1" s="174"/>
      <c r="M1" s="174"/>
    </row>
    <row r="2" spans="1:18" x14ac:dyDescent="0.2">
      <c r="A2" s="175"/>
      <c r="B2" s="172"/>
      <c r="C2" s="174"/>
      <c r="D2" s="174"/>
      <c r="E2" s="174"/>
      <c r="F2" s="174"/>
      <c r="G2" s="174"/>
      <c r="H2" s="174"/>
      <c r="I2" s="174"/>
      <c r="J2" s="174"/>
      <c r="K2" s="175"/>
      <c r="L2" s="174"/>
      <c r="M2" s="174"/>
    </row>
    <row r="3" spans="1:18" x14ac:dyDescent="0.2">
      <c r="A3" s="175" t="s">
        <v>30</v>
      </c>
      <c r="B3" s="175"/>
      <c r="C3" s="174"/>
      <c r="D3" s="174"/>
      <c r="E3" s="174"/>
      <c r="F3" s="174"/>
      <c r="G3" s="174"/>
      <c r="H3" s="174"/>
      <c r="I3" s="176"/>
      <c r="J3" s="174"/>
      <c r="K3" s="177" t="s">
        <v>31</v>
      </c>
      <c r="L3" s="174"/>
      <c r="M3" s="174"/>
    </row>
    <row r="4" spans="1:18" x14ac:dyDescent="0.2">
      <c r="A4" s="174"/>
      <c r="B4" s="174"/>
      <c r="C4" s="174" t="s">
        <v>92</v>
      </c>
      <c r="D4" s="174"/>
      <c r="E4" s="174" t="s">
        <v>125</v>
      </c>
      <c r="F4" s="174"/>
      <c r="G4" s="174" t="s">
        <v>92</v>
      </c>
      <c r="H4" s="174"/>
      <c r="I4" s="176" t="s">
        <v>92</v>
      </c>
      <c r="J4" s="174"/>
      <c r="K4" s="177" t="s">
        <v>93</v>
      </c>
      <c r="L4" s="174"/>
      <c r="M4" s="178" t="s">
        <v>94</v>
      </c>
    </row>
    <row r="5" spans="1:18" x14ac:dyDescent="0.2">
      <c r="A5" s="174"/>
      <c r="B5" s="175"/>
      <c r="C5" s="179" t="s">
        <v>126</v>
      </c>
      <c r="D5" s="174"/>
      <c r="E5" s="179" t="s">
        <v>126</v>
      </c>
      <c r="F5" s="174"/>
      <c r="G5" s="179" t="s">
        <v>127</v>
      </c>
      <c r="H5" s="174"/>
      <c r="I5" s="180" t="s">
        <v>95</v>
      </c>
      <c r="J5" s="181"/>
      <c r="K5" s="182" t="s">
        <v>96</v>
      </c>
      <c r="L5" s="176"/>
      <c r="M5" s="183" t="s">
        <v>97</v>
      </c>
      <c r="N5" s="130" t="s">
        <v>98</v>
      </c>
      <c r="O5" s="130"/>
      <c r="P5" s="130" t="s">
        <v>99</v>
      </c>
    </row>
    <row r="6" spans="1:18" x14ac:dyDescent="0.2">
      <c r="A6" s="174"/>
      <c r="B6" s="175"/>
      <c r="C6" s="174"/>
      <c r="D6" s="174"/>
      <c r="E6" s="174"/>
      <c r="F6" s="174"/>
      <c r="G6" s="174"/>
      <c r="H6" s="174"/>
      <c r="I6" s="174"/>
      <c r="J6" s="174"/>
      <c r="K6" s="175"/>
      <c r="L6" s="174"/>
      <c r="M6" s="174"/>
    </row>
    <row r="7" spans="1:18" x14ac:dyDescent="0.2">
      <c r="A7" s="175" t="s">
        <v>32</v>
      </c>
      <c r="B7" s="175"/>
      <c r="C7" s="176"/>
      <c r="D7" s="174"/>
      <c r="E7" s="176"/>
      <c r="F7" s="174"/>
      <c r="G7" s="174"/>
      <c r="H7" s="174"/>
      <c r="I7" s="174"/>
      <c r="J7" s="174"/>
      <c r="K7" s="175"/>
      <c r="L7" s="174"/>
      <c r="M7" s="184"/>
    </row>
    <row r="8" spans="1:18" ht="15" x14ac:dyDescent="0.25">
      <c r="A8" s="174" t="s">
        <v>33</v>
      </c>
      <c r="B8" s="174"/>
      <c r="C8" s="150">
        <v>25650</v>
      </c>
      <c r="D8" s="185"/>
      <c r="E8" s="150">
        <v>32112.19</v>
      </c>
      <c r="F8" s="174"/>
      <c r="G8" s="150">
        <v>23352</v>
      </c>
      <c r="H8" s="174"/>
      <c r="I8" s="186">
        <v>24500</v>
      </c>
      <c r="J8" s="150"/>
      <c r="K8" s="151">
        <f>'[5]begroting 2627'!F19</f>
        <v>23000</v>
      </c>
      <c r="L8" s="150"/>
      <c r="M8" s="152">
        <f>K8-I8</f>
        <v>-1500</v>
      </c>
      <c r="N8" s="35">
        <f t="shared" ref="N8:N17" si="0">I8-G8</f>
        <v>1148</v>
      </c>
      <c r="O8" s="131"/>
      <c r="P8" s="35">
        <f t="shared" ref="P8:P17" si="1">I8-E8</f>
        <v>-7612.1899999999987</v>
      </c>
    </row>
    <row r="9" spans="1:18" ht="15" x14ac:dyDescent="0.25">
      <c r="A9" s="174" t="s">
        <v>34</v>
      </c>
      <c r="B9" s="174"/>
      <c r="C9" s="153">
        <v>5610</v>
      </c>
      <c r="D9" s="185"/>
      <c r="E9" s="153">
        <v>6139.4500000000007</v>
      </c>
      <c r="F9" s="174"/>
      <c r="G9" s="153">
        <v>7648</v>
      </c>
      <c r="H9" s="174"/>
      <c r="I9" s="187">
        <v>15000</v>
      </c>
      <c r="J9" s="154"/>
      <c r="K9" s="151">
        <f>'[5]begroting 2627'!F20</f>
        <v>15000</v>
      </c>
      <c r="L9" s="154"/>
      <c r="M9" s="158">
        <f t="shared" ref="M9:M72" si="2">K9-I9</f>
        <v>0</v>
      </c>
      <c r="N9" s="41">
        <f t="shared" si="0"/>
        <v>7352</v>
      </c>
      <c r="O9" s="131"/>
      <c r="P9" s="41">
        <f t="shared" si="1"/>
        <v>8860.5499999999993</v>
      </c>
    </row>
    <row r="10" spans="1:18" ht="15" x14ac:dyDescent="0.25">
      <c r="A10" s="174"/>
      <c r="B10" s="174"/>
      <c r="C10" s="150">
        <f>SUM(C8:C9)</f>
        <v>31260</v>
      </c>
      <c r="D10" s="185"/>
      <c r="E10" s="150">
        <f>SUM(E8:E9)</f>
        <v>38251.64</v>
      </c>
      <c r="F10" s="174"/>
      <c r="G10" s="150">
        <f>SUM(G8:G9)</f>
        <v>31000</v>
      </c>
      <c r="H10" s="188"/>
      <c r="I10" s="186">
        <f>SUM(I8:I9)</f>
        <v>39500</v>
      </c>
      <c r="J10" s="150"/>
      <c r="K10" s="189">
        <f>SUM(K8:K9)</f>
        <v>38000</v>
      </c>
      <c r="L10" s="150"/>
      <c r="M10" s="152">
        <f t="shared" si="2"/>
        <v>-1500</v>
      </c>
      <c r="N10" s="35">
        <f t="shared" si="0"/>
        <v>8500</v>
      </c>
      <c r="O10" s="131"/>
      <c r="P10" s="35">
        <f t="shared" si="1"/>
        <v>1248.3600000000006</v>
      </c>
      <c r="Q10" s="128">
        <f>'[5]begroting 2627'!J22</f>
        <v>38000</v>
      </c>
    </row>
    <row r="11" spans="1:18" ht="15" x14ac:dyDescent="0.25">
      <c r="A11" s="174"/>
      <c r="B11" s="174"/>
      <c r="C11" s="150"/>
      <c r="D11" s="174"/>
      <c r="E11" s="150"/>
      <c r="F11" s="174"/>
      <c r="G11" s="150"/>
      <c r="H11" s="174"/>
      <c r="I11" s="186"/>
      <c r="J11" s="150"/>
      <c r="K11" s="151"/>
      <c r="L11" s="150"/>
      <c r="M11" s="152"/>
      <c r="N11" s="35">
        <f t="shared" si="0"/>
        <v>0</v>
      </c>
      <c r="O11" s="131"/>
      <c r="P11" s="35">
        <f t="shared" si="1"/>
        <v>0</v>
      </c>
    </row>
    <row r="12" spans="1:18" ht="15" x14ac:dyDescent="0.25">
      <c r="A12" s="175" t="s">
        <v>36</v>
      </c>
      <c r="B12" s="175"/>
      <c r="C12" s="150"/>
      <c r="D12" s="174"/>
      <c r="E12" s="150"/>
      <c r="F12" s="175"/>
      <c r="G12" s="150"/>
      <c r="H12" s="174"/>
      <c r="I12" s="186"/>
      <c r="J12" s="150"/>
      <c r="K12" s="151"/>
      <c r="L12" s="150"/>
      <c r="M12" s="152"/>
      <c r="N12" s="35">
        <f t="shared" si="0"/>
        <v>0</v>
      </c>
      <c r="O12" s="131"/>
      <c r="P12" s="35">
        <f t="shared" si="1"/>
        <v>0</v>
      </c>
    </row>
    <row r="13" spans="1:18" ht="15" x14ac:dyDescent="0.25">
      <c r="A13" s="174" t="s">
        <v>37</v>
      </c>
      <c r="B13" s="174"/>
      <c r="C13" s="150">
        <v>3000</v>
      </c>
      <c r="D13" s="185"/>
      <c r="E13" s="150">
        <v>3000</v>
      </c>
      <c r="F13" s="174"/>
      <c r="G13" s="150">
        <v>2000</v>
      </c>
      <c r="H13" s="174"/>
      <c r="I13" s="186">
        <v>0</v>
      </c>
      <c r="J13" s="150"/>
      <c r="K13" s="186">
        <f>'[5]begroting 2627'!I25</f>
        <v>0</v>
      </c>
      <c r="L13" s="150"/>
      <c r="M13" s="152">
        <f t="shared" si="2"/>
        <v>0</v>
      </c>
      <c r="N13" s="35">
        <f t="shared" si="0"/>
        <v>-2000</v>
      </c>
      <c r="O13" s="131"/>
      <c r="P13" s="35">
        <f t="shared" si="1"/>
        <v>-3000</v>
      </c>
    </row>
    <row r="14" spans="1:18" ht="15" x14ac:dyDescent="0.25">
      <c r="A14" s="174" t="s">
        <v>38</v>
      </c>
      <c r="B14" s="174"/>
      <c r="C14" s="154">
        <v>1000</v>
      </c>
      <c r="D14" s="185"/>
      <c r="E14" s="154">
        <v>1000</v>
      </c>
      <c r="F14" s="174"/>
      <c r="G14" s="154">
        <v>0</v>
      </c>
      <c r="H14" s="174"/>
      <c r="I14" s="190">
        <v>2000</v>
      </c>
      <c r="J14" s="154"/>
      <c r="K14" s="186">
        <f>'[5]begroting 2627'!I26</f>
        <v>2000</v>
      </c>
      <c r="L14" s="154"/>
      <c r="M14" s="152">
        <f t="shared" si="2"/>
        <v>0</v>
      </c>
      <c r="N14" s="46">
        <f t="shared" si="0"/>
        <v>2000</v>
      </c>
      <c r="O14" s="131"/>
      <c r="P14" s="46">
        <f t="shared" si="1"/>
        <v>1000</v>
      </c>
    </row>
    <row r="15" spans="1:18" ht="15" x14ac:dyDescent="0.25">
      <c r="A15" s="174" t="s">
        <v>128</v>
      </c>
      <c r="B15" s="174"/>
      <c r="C15" s="153">
        <v>5880</v>
      </c>
      <c r="D15" s="174"/>
      <c r="E15" s="153">
        <v>5880</v>
      </c>
      <c r="F15" s="174"/>
      <c r="G15" s="153">
        <v>6000</v>
      </c>
      <c r="H15" s="174"/>
      <c r="I15" s="187">
        <v>30000</v>
      </c>
      <c r="J15" s="154"/>
      <c r="K15" s="187">
        <f>'[5]begroting 2627'!I27</f>
        <v>49000</v>
      </c>
      <c r="L15" s="154"/>
      <c r="M15" s="158">
        <f t="shared" si="2"/>
        <v>19000</v>
      </c>
      <c r="N15" s="41">
        <f t="shared" si="0"/>
        <v>24000</v>
      </c>
      <c r="O15" s="131"/>
      <c r="P15" s="41">
        <f t="shared" si="1"/>
        <v>24120</v>
      </c>
      <c r="R15" s="132"/>
    </row>
    <row r="16" spans="1:18" ht="15" x14ac:dyDescent="0.25">
      <c r="A16" s="174"/>
      <c r="B16" s="174"/>
      <c r="C16" s="154">
        <f>SUM(C13:C15)</f>
        <v>9880</v>
      </c>
      <c r="D16" s="185"/>
      <c r="E16" s="154">
        <f>SUM(E13:E15)</f>
        <v>9880</v>
      </c>
      <c r="F16" s="174"/>
      <c r="G16" s="154">
        <f>SUM(G13:G15)</f>
        <v>8000</v>
      </c>
      <c r="H16" s="188"/>
      <c r="I16" s="190">
        <f>SUM(I13:I15)</f>
        <v>32000</v>
      </c>
      <c r="J16" s="154"/>
      <c r="K16" s="191">
        <f>SUM(K13:K15)</f>
        <v>51000</v>
      </c>
      <c r="L16" s="154"/>
      <c r="M16" s="152">
        <f t="shared" si="2"/>
        <v>19000</v>
      </c>
      <c r="N16" s="46">
        <f t="shared" si="0"/>
        <v>24000</v>
      </c>
      <c r="O16" s="131"/>
      <c r="P16" s="46">
        <f t="shared" si="1"/>
        <v>22120</v>
      </c>
      <c r="Q16" s="128">
        <f>'[5]begroting 2627'!J28</f>
        <v>51000</v>
      </c>
    </row>
    <row r="17" spans="1:18" ht="15" x14ac:dyDescent="0.25">
      <c r="A17" s="174"/>
      <c r="B17" s="174"/>
      <c r="C17" s="150"/>
      <c r="D17" s="185"/>
      <c r="E17" s="150"/>
      <c r="F17" s="174"/>
      <c r="G17" s="150"/>
      <c r="H17" s="174"/>
      <c r="I17" s="186"/>
      <c r="J17" s="150"/>
      <c r="K17" s="151"/>
      <c r="L17" s="150"/>
      <c r="M17" s="152"/>
      <c r="N17" s="35">
        <f t="shared" si="0"/>
        <v>0</v>
      </c>
      <c r="O17" s="131"/>
      <c r="P17" s="35">
        <f t="shared" si="1"/>
        <v>0</v>
      </c>
    </row>
    <row r="18" spans="1:18" ht="15" x14ac:dyDescent="0.25">
      <c r="A18" s="175" t="s">
        <v>40</v>
      </c>
      <c r="B18" s="175"/>
      <c r="C18" s="150">
        <v>94590</v>
      </c>
      <c r="D18" s="174"/>
      <c r="E18" s="150">
        <v>90867.19</v>
      </c>
      <c r="F18" s="174"/>
      <c r="G18" s="150">
        <v>92000</v>
      </c>
      <c r="H18" s="188"/>
      <c r="I18" s="174"/>
      <c r="J18" s="174"/>
      <c r="K18" s="175"/>
      <c r="L18" s="174"/>
      <c r="M18" s="174"/>
      <c r="N18" s="35">
        <f>I19-G18</f>
        <v>54000</v>
      </c>
      <c r="O18" s="131"/>
      <c r="P18" s="35">
        <f>I19-E18</f>
        <v>55132.81</v>
      </c>
    </row>
    <row r="19" spans="1:18" ht="15" x14ac:dyDescent="0.25">
      <c r="A19" s="174" t="s">
        <v>129</v>
      </c>
      <c r="B19" s="175"/>
      <c r="C19" s="150"/>
      <c r="D19" s="174"/>
      <c r="E19" s="150"/>
      <c r="F19" s="174"/>
      <c r="G19" s="150"/>
      <c r="H19" s="188"/>
      <c r="I19" s="186">
        <v>146000</v>
      </c>
      <c r="J19" s="150"/>
      <c r="K19" s="151">
        <f>'[5]begroting 2627'!I31</f>
        <v>136725.76172735915</v>
      </c>
      <c r="L19" s="150"/>
      <c r="M19" s="152">
        <f>K19-I19</f>
        <v>-9274.2382726408541</v>
      </c>
      <c r="N19" s="35"/>
      <c r="O19" s="131"/>
      <c r="P19" s="35"/>
      <c r="R19" s="132"/>
    </row>
    <row r="20" spans="1:18" ht="15" x14ac:dyDescent="0.25">
      <c r="A20" s="174" t="s">
        <v>130</v>
      </c>
      <c r="B20" s="175"/>
      <c r="C20" s="150"/>
      <c r="D20" s="174"/>
      <c r="E20" s="150"/>
      <c r="F20" s="174"/>
      <c r="G20" s="150"/>
      <c r="H20" s="188"/>
      <c r="I20" s="186">
        <v>55000</v>
      </c>
      <c r="J20" s="150"/>
      <c r="K20" s="151">
        <f>'[5]begroting 2627'!I32</f>
        <v>49685</v>
      </c>
      <c r="L20" s="150"/>
      <c r="M20" s="152">
        <f t="shared" ref="M20:M22" si="3">K20-I20</f>
        <v>-5315</v>
      </c>
      <c r="N20" s="35"/>
      <c r="O20" s="131"/>
      <c r="P20" s="35"/>
      <c r="R20" s="132"/>
    </row>
    <row r="21" spans="1:18" ht="15" x14ac:dyDescent="0.25">
      <c r="A21" s="174" t="s">
        <v>43</v>
      </c>
      <c r="B21" s="175"/>
      <c r="C21" s="150"/>
      <c r="D21" s="174"/>
      <c r="E21" s="150"/>
      <c r="F21" s="174"/>
      <c r="G21" s="150"/>
      <c r="H21" s="188"/>
      <c r="I21" s="186">
        <v>7000</v>
      </c>
      <c r="J21" s="150"/>
      <c r="K21" s="151">
        <f>'[5]begroting 2627'!I33</f>
        <v>14000</v>
      </c>
      <c r="L21" s="150"/>
      <c r="M21" s="152">
        <f t="shared" si="3"/>
        <v>7000</v>
      </c>
      <c r="N21" s="35"/>
      <c r="O21" s="131"/>
      <c r="P21" s="35"/>
      <c r="R21" s="132"/>
    </row>
    <row r="22" spans="1:18" ht="15" x14ac:dyDescent="0.25">
      <c r="A22" s="174"/>
      <c r="B22" s="174"/>
      <c r="C22" s="150"/>
      <c r="D22" s="185"/>
      <c r="E22" s="150"/>
      <c r="F22" s="175"/>
      <c r="G22" s="150"/>
      <c r="H22" s="174"/>
      <c r="I22" s="192">
        <f>SUM(I19:I21)</f>
        <v>208000</v>
      </c>
      <c r="J22" s="186">
        <v>0</v>
      </c>
      <c r="K22" s="189">
        <f>SUM(K19:K21)</f>
        <v>200410.76172735915</v>
      </c>
      <c r="L22" s="186">
        <f>SUM(L19:L19)</f>
        <v>0</v>
      </c>
      <c r="M22" s="152">
        <f t="shared" si="3"/>
        <v>-7589.2382726408541</v>
      </c>
      <c r="N22" s="35">
        <f>I22-G22</f>
        <v>208000</v>
      </c>
      <c r="O22" s="131"/>
      <c r="P22" s="35">
        <f>I22-E22</f>
        <v>208000</v>
      </c>
      <c r="Q22" s="128">
        <f>'[5]begroting 2627'!J34</f>
        <v>200410.76172735915</v>
      </c>
    </row>
    <row r="23" spans="1:18" ht="15" x14ac:dyDescent="0.25">
      <c r="A23" s="174"/>
      <c r="B23" s="174"/>
      <c r="C23" s="150"/>
      <c r="D23" s="185"/>
      <c r="E23" s="150"/>
      <c r="F23" s="175"/>
      <c r="G23" s="150"/>
      <c r="H23" s="174"/>
      <c r="I23" s="186"/>
      <c r="J23" s="186"/>
      <c r="K23" s="186"/>
      <c r="L23" s="186"/>
      <c r="M23" s="186"/>
      <c r="N23" s="35"/>
      <c r="O23" s="131"/>
      <c r="P23" s="35"/>
    </row>
    <row r="24" spans="1:18" ht="15" x14ac:dyDescent="0.25">
      <c r="A24" s="175" t="s">
        <v>44</v>
      </c>
      <c r="B24" s="175"/>
      <c r="C24" s="150"/>
      <c r="D24" s="174"/>
      <c r="E24" s="150"/>
      <c r="F24" s="174"/>
      <c r="G24" s="150"/>
      <c r="H24" s="174"/>
      <c r="I24" s="186"/>
      <c r="J24" s="150"/>
      <c r="K24" s="151"/>
      <c r="L24" s="150"/>
      <c r="M24" s="152"/>
      <c r="N24" s="35">
        <f t="shared" ref="N24:N45" si="4">I24-G24</f>
        <v>0</v>
      </c>
      <c r="O24" s="131"/>
      <c r="P24" s="35">
        <f t="shared" ref="P24:P45" si="5">I24-E24</f>
        <v>0</v>
      </c>
    </row>
    <row r="25" spans="1:18" ht="15" x14ac:dyDescent="0.25">
      <c r="A25" s="174" t="s">
        <v>45</v>
      </c>
      <c r="B25" s="174"/>
      <c r="C25" s="150">
        <v>28000</v>
      </c>
      <c r="D25" s="185"/>
      <c r="E25" s="150">
        <v>20992.739999999998</v>
      </c>
      <c r="F25" s="174"/>
      <c r="G25" s="150">
        <v>28000</v>
      </c>
      <c r="H25" s="174"/>
      <c r="I25" s="186">
        <v>27500</v>
      </c>
      <c r="J25" s="150"/>
      <c r="K25" s="151">
        <f>'[5]begroting 2627'!F37</f>
        <v>28000</v>
      </c>
      <c r="L25" s="150"/>
      <c r="M25" s="152">
        <f t="shared" si="2"/>
        <v>500</v>
      </c>
      <c r="N25" s="35">
        <f t="shared" si="4"/>
        <v>-500</v>
      </c>
      <c r="O25" s="131"/>
      <c r="P25" s="35">
        <f t="shared" si="5"/>
        <v>6507.260000000002</v>
      </c>
    </row>
    <row r="26" spans="1:18" ht="15" x14ac:dyDescent="0.25">
      <c r="A26" s="174" t="s">
        <v>46</v>
      </c>
      <c r="B26" s="174"/>
      <c r="C26" s="150">
        <v>2200</v>
      </c>
      <c r="D26" s="185"/>
      <c r="E26" s="150">
        <v>4170.4799999999996</v>
      </c>
      <c r="F26" s="174"/>
      <c r="G26" s="150">
        <v>2250</v>
      </c>
      <c r="H26" s="174"/>
      <c r="I26" s="186">
        <v>4550</v>
      </c>
      <c r="J26" s="150"/>
      <c r="K26" s="151">
        <f>'[5]begroting 2627'!F38</f>
        <v>5000</v>
      </c>
      <c r="L26" s="150"/>
      <c r="M26" s="152">
        <f t="shared" si="2"/>
        <v>450</v>
      </c>
      <c r="N26" s="35">
        <f t="shared" si="4"/>
        <v>2300</v>
      </c>
      <c r="O26" s="131"/>
      <c r="P26" s="35">
        <f t="shared" si="5"/>
        <v>379.52000000000044</v>
      </c>
    </row>
    <row r="27" spans="1:18" ht="15" x14ac:dyDescent="0.25">
      <c r="A27" s="174" t="s">
        <v>47</v>
      </c>
      <c r="B27" s="174"/>
      <c r="C27" s="150">
        <v>4900</v>
      </c>
      <c r="D27" s="185"/>
      <c r="E27" s="150">
        <v>4784.51</v>
      </c>
      <c r="F27" s="174"/>
      <c r="G27" s="150">
        <v>4900</v>
      </c>
      <c r="H27" s="174"/>
      <c r="I27" s="186">
        <v>12000</v>
      </c>
      <c r="J27" s="150"/>
      <c r="K27" s="151">
        <f>'[5]begroting 2627'!F39</f>
        <v>12800</v>
      </c>
      <c r="L27" s="150"/>
      <c r="M27" s="152">
        <f t="shared" si="2"/>
        <v>800</v>
      </c>
      <c r="N27" s="35">
        <f t="shared" si="4"/>
        <v>7100</v>
      </c>
      <c r="O27" s="131"/>
      <c r="P27" s="35">
        <f t="shared" si="5"/>
        <v>7215.49</v>
      </c>
    </row>
    <row r="28" spans="1:18" ht="15" x14ac:dyDescent="0.25">
      <c r="A28" s="174" t="s">
        <v>48</v>
      </c>
      <c r="B28" s="174"/>
      <c r="C28" s="150">
        <v>1750</v>
      </c>
      <c r="D28" s="185"/>
      <c r="E28" s="150">
        <v>1661.77</v>
      </c>
      <c r="F28" s="174"/>
      <c r="G28" s="150">
        <v>1750</v>
      </c>
      <c r="H28" s="174"/>
      <c r="I28" s="186">
        <v>1050</v>
      </c>
      <c r="J28" s="150"/>
      <c r="K28" s="151">
        <f>'[5]begroting 2627'!F40</f>
        <v>1200</v>
      </c>
      <c r="L28" s="150"/>
      <c r="M28" s="152">
        <f t="shared" si="2"/>
        <v>150</v>
      </c>
      <c r="N28" s="35">
        <f t="shared" si="4"/>
        <v>-700</v>
      </c>
      <c r="O28" s="131"/>
      <c r="P28" s="35">
        <f t="shared" si="5"/>
        <v>-611.77</v>
      </c>
    </row>
    <row r="29" spans="1:18" ht="15" x14ac:dyDescent="0.25">
      <c r="A29" s="174" t="s">
        <v>49</v>
      </c>
      <c r="B29" s="174"/>
      <c r="C29" s="150">
        <v>500</v>
      </c>
      <c r="D29" s="185"/>
      <c r="E29" s="150">
        <v>807.7</v>
      </c>
      <c r="F29" s="174"/>
      <c r="G29" s="150">
        <v>750</v>
      </c>
      <c r="H29" s="174"/>
      <c r="I29" s="186">
        <v>600</v>
      </c>
      <c r="J29" s="150"/>
      <c r="K29" s="151">
        <f>'[5]begroting 2627'!F41</f>
        <v>1500</v>
      </c>
      <c r="L29" s="150"/>
      <c r="M29" s="152">
        <f t="shared" si="2"/>
        <v>900</v>
      </c>
      <c r="N29" s="35">
        <f t="shared" si="4"/>
        <v>-150</v>
      </c>
      <c r="O29" s="131"/>
      <c r="P29" s="35">
        <f t="shared" si="5"/>
        <v>-207.70000000000005</v>
      </c>
    </row>
    <row r="30" spans="1:18" ht="15" x14ac:dyDescent="0.25">
      <c r="A30" s="174" t="s">
        <v>50</v>
      </c>
      <c r="B30" s="174"/>
      <c r="C30" s="150">
        <v>2000</v>
      </c>
      <c r="D30" s="185"/>
      <c r="E30" s="150">
        <v>3574.1899999999996</v>
      </c>
      <c r="F30" s="174"/>
      <c r="G30" s="150">
        <v>3000</v>
      </c>
      <c r="H30" s="174"/>
      <c r="I30" s="186">
        <v>3000</v>
      </c>
      <c r="J30" s="150"/>
      <c r="K30" s="151">
        <f>'[5]begroting 2627'!F42</f>
        <v>3500</v>
      </c>
      <c r="L30" s="150"/>
      <c r="M30" s="152">
        <f t="shared" si="2"/>
        <v>500</v>
      </c>
      <c r="N30" s="35">
        <f t="shared" si="4"/>
        <v>0</v>
      </c>
      <c r="O30" s="131"/>
      <c r="P30" s="35">
        <f t="shared" si="5"/>
        <v>-574.1899999999996</v>
      </c>
    </row>
    <row r="31" spans="1:18" ht="15" x14ac:dyDescent="0.25">
      <c r="A31" s="174" t="s">
        <v>51</v>
      </c>
      <c r="B31" s="174"/>
      <c r="C31" s="150">
        <v>7000</v>
      </c>
      <c r="D31" s="185"/>
      <c r="E31" s="150">
        <v>5640.63</v>
      </c>
      <c r="F31" s="175"/>
      <c r="G31" s="150">
        <v>7500</v>
      </c>
      <c r="H31" s="174"/>
      <c r="I31" s="187">
        <v>4500</v>
      </c>
      <c r="J31" s="150"/>
      <c r="K31" s="151">
        <f>'[5]begroting 2627'!F43</f>
        <v>6000</v>
      </c>
      <c r="L31" s="150"/>
      <c r="M31" s="152">
        <f t="shared" si="2"/>
        <v>1500</v>
      </c>
      <c r="N31" s="35">
        <f t="shared" si="4"/>
        <v>-3000</v>
      </c>
      <c r="O31" s="131"/>
      <c r="P31" s="35">
        <f t="shared" si="5"/>
        <v>-1140.6300000000001</v>
      </c>
    </row>
    <row r="32" spans="1:18" ht="15" x14ac:dyDescent="0.25">
      <c r="A32" s="174"/>
      <c r="B32" s="174"/>
      <c r="C32" s="150">
        <f>SUM(C25:C31)</f>
        <v>46350</v>
      </c>
      <c r="D32" s="185"/>
      <c r="E32" s="150">
        <f>SUM(E25:E31)</f>
        <v>41632.019999999997</v>
      </c>
      <c r="F32" s="174"/>
      <c r="G32" s="150">
        <f>SUM(G25:G31)</f>
        <v>48150</v>
      </c>
      <c r="H32" s="188"/>
      <c r="I32" s="186">
        <f>SUM(I25:I31)+200</f>
        <v>53400</v>
      </c>
      <c r="J32" s="150"/>
      <c r="K32" s="189">
        <f>SUM(K25:K31)</f>
        <v>58000</v>
      </c>
      <c r="L32" s="150"/>
      <c r="M32" s="152">
        <f t="shared" si="2"/>
        <v>4600</v>
      </c>
      <c r="N32" s="35">
        <f t="shared" si="4"/>
        <v>5250</v>
      </c>
      <c r="O32" s="131"/>
      <c r="P32" s="35">
        <f t="shared" si="5"/>
        <v>11767.980000000003</v>
      </c>
      <c r="Q32" s="128">
        <f>'[5]begroting 2627'!J44</f>
        <v>58000</v>
      </c>
    </row>
    <row r="33" spans="1:19" ht="15" x14ac:dyDescent="0.25">
      <c r="A33" s="175" t="s">
        <v>52</v>
      </c>
      <c r="B33" s="175"/>
      <c r="C33" s="150"/>
      <c r="D33" s="174"/>
      <c r="E33" s="150"/>
      <c r="F33" s="174"/>
      <c r="G33" s="150"/>
      <c r="H33" s="174"/>
      <c r="I33" s="186"/>
      <c r="J33" s="150"/>
      <c r="K33" s="151"/>
      <c r="L33" s="150"/>
      <c r="M33" s="152"/>
      <c r="N33" s="35">
        <f t="shared" si="4"/>
        <v>0</v>
      </c>
      <c r="O33" s="131"/>
      <c r="P33" s="35">
        <f t="shared" si="5"/>
        <v>0</v>
      </c>
      <c r="S33" s="132"/>
    </row>
    <row r="34" spans="1:19" ht="15" x14ac:dyDescent="0.25">
      <c r="A34" s="174" t="s">
        <v>53</v>
      </c>
      <c r="B34" s="174"/>
      <c r="C34" s="150">
        <v>1500</v>
      </c>
      <c r="D34" s="185"/>
      <c r="E34" s="150">
        <v>2538.8200000000002</v>
      </c>
      <c r="F34" s="174"/>
      <c r="G34" s="150">
        <v>1750</v>
      </c>
      <c r="H34" s="174"/>
      <c r="I34" s="186">
        <v>500</v>
      </c>
      <c r="J34" s="150"/>
      <c r="K34" s="151">
        <f>'[5]begroting 2627'!E47</f>
        <v>500</v>
      </c>
      <c r="L34" s="150"/>
      <c r="M34" s="152">
        <f t="shared" si="2"/>
        <v>0</v>
      </c>
      <c r="N34" s="35">
        <f t="shared" si="4"/>
        <v>-1250</v>
      </c>
      <c r="O34" s="131"/>
      <c r="P34" s="35">
        <f t="shared" si="5"/>
        <v>-2038.8200000000002</v>
      </c>
      <c r="S34" s="133"/>
    </row>
    <row r="35" spans="1:19" ht="15" x14ac:dyDescent="0.25">
      <c r="A35" s="174" t="s">
        <v>54</v>
      </c>
      <c r="B35" s="174"/>
      <c r="C35" s="150">
        <v>1000</v>
      </c>
      <c r="D35" s="185"/>
      <c r="E35" s="150">
        <v>677.40000000000009</v>
      </c>
      <c r="F35" s="174"/>
      <c r="G35" s="150">
        <v>1000</v>
      </c>
      <c r="H35" s="174"/>
      <c r="I35" s="186">
        <v>4500</v>
      </c>
      <c r="J35" s="150"/>
      <c r="K35" s="151">
        <f>'[5]begroting 2627'!E48</f>
        <v>3000</v>
      </c>
      <c r="L35" s="150"/>
      <c r="M35" s="152">
        <f t="shared" si="2"/>
        <v>-1500</v>
      </c>
      <c r="N35" s="35">
        <f t="shared" si="4"/>
        <v>3500</v>
      </c>
      <c r="O35" s="131"/>
      <c r="P35" s="35">
        <f t="shared" si="5"/>
        <v>3822.6</v>
      </c>
      <c r="S35" s="133"/>
    </row>
    <row r="36" spans="1:19" ht="15" x14ac:dyDescent="0.25">
      <c r="A36" s="174" t="s">
        <v>55</v>
      </c>
      <c r="B36" s="174"/>
      <c r="C36" s="150">
        <v>2500</v>
      </c>
      <c r="D36" s="185"/>
      <c r="E36" s="150">
        <v>2505.1800000000003</v>
      </c>
      <c r="F36" s="174"/>
      <c r="G36" s="150">
        <v>2700</v>
      </c>
      <c r="H36" s="174"/>
      <c r="I36" s="187">
        <v>7000</v>
      </c>
      <c r="J36" s="150"/>
      <c r="K36" s="151">
        <f>'[5]begroting 2627'!E49</f>
        <v>10000</v>
      </c>
      <c r="L36" s="150"/>
      <c r="M36" s="158">
        <f t="shared" si="2"/>
        <v>3000</v>
      </c>
      <c r="N36" s="35">
        <f t="shared" si="4"/>
        <v>4300</v>
      </c>
      <c r="O36" s="131"/>
      <c r="P36" s="35">
        <f t="shared" si="5"/>
        <v>4494.82</v>
      </c>
      <c r="S36" s="133"/>
    </row>
    <row r="37" spans="1:19" ht="15" x14ac:dyDescent="0.25">
      <c r="A37" s="174"/>
      <c r="B37" s="174"/>
      <c r="C37" s="150">
        <f>SUM(C34:C36)</f>
        <v>5000</v>
      </c>
      <c r="D37" s="185"/>
      <c r="E37" s="150">
        <f>SUM(E34:E36)</f>
        <v>5721.4000000000005</v>
      </c>
      <c r="F37" s="174"/>
      <c r="G37" s="150">
        <f>SUM(G34:G36)</f>
        <v>5450</v>
      </c>
      <c r="H37" s="188"/>
      <c r="I37" s="186">
        <f>SUM(I34:I36)</f>
        <v>12000</v>
      </c>
      <c r="J37" s="150"/>
      <c r="K37" s="189">
        <f>SUM(K34:K36)</f>
        <v>13500</v>
      </c>
      <c r="L37" s="150"/>
      <c r="M37" s="152">
        <f t="shared" si="2"/>
        <v>1500</v>
      </c>
      <c r="N37" s="35">
        <f t="shared" si="4"/>
        <v>6550</v>
      </c>
      <c r="O37" s="131"/>
      <c r="P37" s="35">
        <f t="shared" si="5"/>
        <v>6278.5999999999995</v>
      </c>
      <c r="Q37" s="128">
        <f>'[5]begroting 2627'!J50</f>
        <v>13500</v>
      </c>
      <c r="S37" s="133"/>
    </row>
    <row r="38" spans="1:19" ht="15" x14ac:dyDescent="0.25">
      <c r="A38" s="174"/>
      <c r="B38" s="174"/>
      <c r="C38" s="150"/>
      <c r="D38" s="185"/>
      <c r="E38" s="150"/>
      <c r="F38" s="174"/>
      <c r="G38" s="150"/>
      <c r="H38" s="174"/>
      <c r="I38" s="186"/>
      <c r="J38" s="150"/>
      <c r="K38" s="151"/>
      <c r="L38" s="150"/>
      <c r="M38" s="152"/>
      <c r="N38" s="35">
        <f t="shared" si="4"/>
        <v>0</v>
      </c>
      <c r="O38" s="131"/>
      <c r="P38" s="35">
        <f t="shared" si="5"/>
        <v>0</v>
      </c>
    </row>
    <row r="39" spans="1:19" ht="15" x14ac:dyDescent="0.25">
      <c r="A39" s="175" t="s">
        <v>56</v>
      </c>
      <c r="B39" s="175"/>
      <c r="C39" s="150"/>
      <c r="D39" s="174"/>
      <c r="E39" s="150"/>
      <c r="F39" s="174"/>
      <c r="G39" s="150"/>
      <c r="H39" s="174"/>
      <c r="I39" s="186"/>
      <c r="J39" s="150"/>
      <c r="K39" s="151"/>
      <c r="L39" s="150"/>
      <c r="M39" s="152"/>
      <c r="N39" s="35">
        <f t="shared" si="4"/>
        <v>0</v>
      </c>
      <c r="O39" s="131"/>
      <c r="P39" s="35">
        <f t="shared" si="5"/>
        <v>0</v>
      </c>
    </row>
    <row r="40" spans="1:19" ht="15" x14ac:dyDescent="0.25">
      <c r="A40" s="174" t="s">
        <v>131</v>
      </c>
      <c r="B40" s="174"/>
      <c r="C40" s="150">
        <v>30950</v>
      </c>
      <c r="D40" s="185"/>
      <c r="E40" s="150">
        <v>30882.190000000002</v>
      </c>
      <c r="F40" s="174"/>
      <c r="G40" s="150">
        <v>31400</v>
      </c>
      <c r="H40" s="174"/>
      <c r="I40" s="186">
        <v>34000</v>
      </c>
      <c r="J40" s="150"/>
      <c r="K40" s="151">
        <f>'[5]begroting 2627'!F53</f>
        <v>51839</v>
      </c>
      <c r="L40" s="150"/>
      <c r="M40" s="152">
        <f t="shared" si="2"/>
        <v>17839</v>
      </c>
      <c r="N40" s="35">
        <f t="shared" si="4"/>
        <v>2600</v>
      </c>
      <c r="O40" s="131"/>
      <c r="P40" s="35">
        <f t="shared" si="5"/>
        <v>3117.8099999999977</v>
      </c>
    </row>
    <row r="41" spans="1:19" ht="15" x14ac:dyDescent="0.25">
      <c r="A41" s="174" t="s">
        <v>58</v>
      </c>
      <c r="B41" s="174"/>
      <c r="C41" s="150">
        <v>1500</v>
      </c>
      <c r="D41" s="185"/>
      <c r="E41" s="150">
        <v>1719.19</v>
      </c>
      <c r="F41" s="174"/>
      <c r="G41" s="150">
        <v>2500</v>
      </c>
      <c r="H41" s="174"/>
      <c r="I41" s="186">
        <v>2000</v>
      </c>
      <c r="J41" s="150"/>
      <c r="K41" s="151">
        <f>'[5]begroting 2627'!F54</f>
        <v>5000</v>
      </c>
      <c r="L41" s="150"/>
      <c r="M41" s="152">
        <f t="shared" si="2"/>
        <v>3000</v>
      </c>
      <c r="N41" s="35">
        <f t="shared" si="4"/>
        <v>-500</v>
      </c>
      <c r="O41" s="131"/>
      <c r="P41" s="35">
        <f t="shared" si="5"/>
        <v>280.80999999999995</v>
      </c>
    </row>
    <row r="42" spans="1:19" ht="15" x14ac:dyDescent="0.25">
      <c r="A42" s="174"/>
      <c r="B42" s="174"/>
      <c r="C42" s="150">
        <f>SUM(C40:C41)</f>
        <v>32450</v>
      </c>
      <c r="D42" s="185"/>
      <c r="E42" s="150">
        <f>SUM(E40:E41)</f>
        <v>32601.38</v>
      </c>
      <c r="F42" s="174"/>
      <c r="G42" s="150">
        <f>SUM(G40:G41)</f>
        <v>33900</v>
      </c>
      <c r="H42" s="188"/>
      <c r="I42" s="186">
        <f>SUM(I40:I41)</f>
        <v>36000</v>
      </c>
      <c r="J42" s="150"/>
      <c r="K42" s="189">
        <f>SUM(K40:K41)</f>
        <v>56839</v>
      </c>
      <c r="L42" s="150"/>
      <c r="M42" s="152">
        <f t="shared" si="2"/>
        <v>20839</v>
      </c>
      <c r="N42" s="35">
        <f t="shared" si="4"/>
        <v>2100</v>
      </c>
      <c r="O42" s="131"/>
      <c r="P42" s="35">
        <f t="shared" si="5"/>
        <v>3398.619999999999</v>
      </c>
      <c r="Q42" s="128">
        <f>'[5]begroting 2627'!J56</f>
        <v>56839</v>
      </c>
    </row>
    <row r="43" spans="1:19" ht="15" x14ac:dyDescent="0.25">
      <c r="A43" s="175" t="s">
        <v>60</v>
      </c>
      <c r="B43" s="175"/>
      <c r="C43" s="150"/>
      <c r="D43" s="174"/>
      <c r="E43" s="150"/>
      <c r="F43" s="174"/>
      <c r="G43" s="150"/>
      <c r="H43" s="174"/>
      <c r="I43" s="186"/>
      <c r="J43" s="150"/>
      <c r="K43" s="151"/>
      <c r="L43" s="150"/>
      <c r="M43" s="152"/>
      <c r="N43" s="35">
        <f t="shared" si="4"/>
        <v>0</v>
      </c>
      <c r="O43" s="131"/>
      <c r="P43" s="35">
        <f t="shared" si="5"/>
        <v>0</v>
      </c>
    </row>
    <row r="44" spans="1:19" ht="15" x14ac:dyDescent="0.25">
      <c r="A44" s="174" t="s">
        <v>61</v>
      </c>
      <c r="B44" s="174"/>
      <c r="C44" s="150">
        <v>7500</v>
      </c>
      <c r="D44" s="185"/>
      <c r="E44" s="150">
        <v>10548.03</v>
      </c>
      <c r="F44" s="174"/>
      <c r="G44" s="150">
        <v>9500</v>
      </c>
      <c r="H44" s="174"/>
      <c r="I44" s="186">
        <v>12000</v>
      </c>
      <c r="J44" s="150"/>
      <c r="K44" s="151">
        <f>'[5]begroting 2627'!I59</f>
        <v>13250</v>
      </c>
      <c r="L44" s="150"/>
      <c r="M44" s="152">
        <f t="shared" si="2"/>
        <v>1250</v>
      </c>
      <c r="N44" s="86">
        <f t="shared" si="4"/>
        <v>2500</v>
      </c>
      <c r="O44" s="131"/>
      <c r="P44" s="86">
        <f t="shared" si="5"/>
        <v>1451.9699999999993</v>
      </c>
      <c r="R44" s="134"/>
    </row>
    <row r="45" spans="1:19" ht="15" x14ac:dyDescent="0.25">
      <c r="A45" s="174" t="s">
        <v>62</v>
      </c>
      <c r="B45" s="174"/>
      <c r="C45" s="150">
        <v>6000</v>
      </c>
      <c r="D45" s="185"/>
      <c r="E45" s="150">
        <v>11588.269999999999</v>
      </c>
      <c r="F45" s="174"/>
      <c r="G45" s="150">
        <v>6000</v>
      </c>
      <c r="H45" s="174"/>
      <c r="I45" s="186">
        <v>0</v>
      </c>
      <c r="J45" s="150"/>
      <c r="K45" s="151">
        <f>'[5]begroting 2627'!I60</f>
        <v>5750</v>
      </c>
      <c r="L45" s="150"/>
      <c r="M45" s="152">
        <f t="shared" si="2"/>
        <v>5750</v>
      </c>
      <c r="N45" s="35">
        <f t="shared" si="4"/>
        <v>-6000</v>
      </c>
      <c r="O45" s="131"/>
      <c r="P45" s="35">
        <f t="shared" si="5"/>
        <v>-11588.269999999999</v>
      </c>
      <c r="R45" s="134"/>
    </row>
    <row r="46" spans="1:19" ht="15" x14ac:dyDescent="0.25">
      <c r="A46" s="174" t="s">
        <v>132</v>
      </c>
      <c r="B46" s="174"/>
      <c r="C46" s="150"/>
      <c r="D46" s="185"/>
      <c r="E46" s="150"/>
      <c r="F46" s="174"/>
      <c r="G46" s="150"/>
      <c r="H46" s="174"/>
      <c r="I46" s="186">
        <v>7000</v>
      </c>
      <c r="J46" s="150"/>
      <c r="K46" s="151">
        <f>'[5]begroting 2627'!I61</f>
        <v>8000</v>
      </c>
      <c r="L46" s="150"/>
      <c r="M46" s="152">
        <f t="shared" si="2"/>
        <v>1000</v>
      </c>
      <c r="N46" s="35"/>
      <c r="O46" s="131"/>
      <c r="P46" s="35"/>
    </row>
    <row r="47" spans="1:19" ht="15" x14ac:dyDescent="0.25">
      <c r="A47" s="174" t="s">
        <v>64</v>
      </c>
      <c r="B47" s="174"/>
      <c r="C47" s="150">
        <v>1500</v>
      </c>
      <c r="D47" s="185"/>
      <c r="E47" s="150">
        <v>1797.92</v>
      </c>
      <c r="F47" s="174"/>
      <c r="G47" s="150">
        <v>1500</v>
      </c>
      <c r="H47" s="174"/>
      <c r="I47" s="186">
        <v>1200</v>
      </c>
      <c r="J47" s="150"/>
      <c r="K47" s="151">
        <f>'[5]begroting 2627'!I62</f>
        <v>2500</v>
      </c>
      <c r="L47" s="150"/>
      <c r="M47" s="152">
        <f t="shared" si="2"/>
        <v>1300</v>
      </c>
      <c r="N47" s="35">
        <f t="shared" ref="N47:N54" si="6">I47-G47</f>
        <v>-300</v>
      </c>
      <c r="O47" s="131"/>
      <c r="P47" s="35">
        <f t="shared" ref="P47:P54" si="7">I47-E47</f>
        <v>-597.92000000000007</v>
      </c>
    </row>
    <row r="48" spans="1:19" ht="15" x14ac:dyDescent="0.25">
      <c r="A48" s="174" t="s">
        <v>65</v>
      </c>
      <c r="B48" s="174"/>
      <c r="C48" s="150">
        <v>14085</v>
      </c>
      <c r="D48" s="185"/>
      <c r="E48" s="150">
        <v>12342.07</v>
      </c>
      <c r="F48" s="174"/>
      <c r="G48" s="150">
        <v>15472</v>
      </c>
      <c r="H48" s="174"/>
      <c r="I48" s="186">
        <v>13000</v>
      </c>
      <c r="J48" s="150"/>
      <c r="K48" s="151">
        <f>'[5]begroting 2627'!I63</f>
        <v>21000</v>
      </c>
      <c r="L48" s="150"/>
      <c r="M48" s="152">
        <f t="shared" si="2"/>
        <v>8000</v>
      </c>
      <c r="N48" s="35">
        <f t="shared" si="6"/>
        <v>-2472</v>
      </c>
      <c r="O48" s="131"/>
      <c r="P48" s="35">
        <f t="shared" si="7"/>
        <v>657.93000000000029</v>
      </c>
    </row>
    <row r="49" spans="1:18" ht="15" x14ac:dyDescent="0.25">
      <c r="A49" s="174" t="s">
        <v>66</v>
      </c>
      <c r="B49" s="174"/>
      <c r="C49" s="150">
        <v>18800</v>
      </c>
      <c r="D49" s="185"/>
      <c r="E49" s="150">
        <v>24215.53</v>
      </c>
      <c r="F49" s="174"/>
      <c r="G49" s="150">
        <v>23000</v>
      </c>
      <c r="H49" s="174"/>
      <c r="I49" s="186">
        <v>41000</v>
      </c>
      <c r="J49" s="150"/>
      <c r="K49" s="151">
        <f>'[5]begroting 2627'!I64</f>
        <v>45000</v>
      </c>
      <c r="L49" s="150"/>
      <c r="M49" s="152">
        <f t="shared" si="2"/>
        <v>4000</v>
      </c>
      <c r="N49" s="35">
        <f t="shared" si="6"/>
        <v>18000</v>
      </c>
      <c r="O49" s="131"/>
      <c r="P49" s="35">
        <f t="shared" si="7"/>
        <v>16784.47</v>
      </c>
    </row>
    <row r="50" spans="1:18" ht="15" x14ac:dyDescent="0.25">
      <c r="A50" s="174" t="s">
        <v>67</v>
      </c>
      <c r="B50" s="174"/>
      <c r="C50" s="153">
        <v>17644.815999999999</v>
      </c>
      <c r="D50" s="185"/>
      <c r="E50" s="153">
        <v>14387.93</v>
      </c>
      <c r="F50" s="174"/>
      <c r="G50" s="153">
        <v>17728</v>
      </c>
      <c r="H50" s="174"/>
      <c r="I50" s="187">
        <v>25000</v>
      </c>
      <c r="J50" s="154"/>
      <c r="K50" s="151">
        <f>'[5]begroting 2627'!B65+'[5]begroting 2627'!C65</f>
        <v>25000</v>
      </c>
      <c r="L50" s="154"/>
      <c r="M50" s="152">
        <f t="shared" si="2"/>
        <v>0</v>
      </c>
      <c r="N50" s="41">
        <f t="shared" si="6"/>
        <v>7272</v>
      </c>
      <c r="O50" s="131"/>
      <c r="P50" s="41">
        <f t="shared" si="7"/>
        <v>10612.07</v>
      </c>
    </row>
    <row r="51" spans="1:18" ht="15" x14ac:dyDescent="0.25">
      <c r="A51" s="174"/>
      <c r="B51" s="174"/>
      <c r="C51" s="150">
        <f>SUM(C44:C50)</f>
        <v>65529.815999999999</v>
      </c>
      <c r="D51" s="185"/>
      <c r="E51" s="150">
        <f>SUM(E44:E50)</f>
        <v>74879.75</v>
      </c>
      <c r="F51" s="174"/>
      <c r="G51" s="150">
        <f>SUM(G44:G50)</f>
        <v>73200</v>
      </c>
      <c r="H51" s="188"/>
      <c r="I51" s="186">
        <f>SUM(I44:I50)</f>
        <v>99200</v>
      </c>
      <c r="J51" s="150"/>
      <c r="K51" s="189">
        <f>SUM(K44:K50)</f>
        <v>120500</v>
      </c>
      <c r="L51" s="150"/>
      <c r="M51" s="152">
        <f>SUM(M44:M50)</f>
        <v>21300</v>
      </c>
      <c r="N51" s="35">
        <f t="shared" si="6"/>
        <v>26000</v>
      </c>
      <c r="O51" s="131"/>
      <c r="P51" s="35">
        <f t="shared" si="7"/>
        <v>24320.25</v>
      </c>
      <c r="Q51" s="128">
        <f>'[5]begroting 2627'!J66</f>
        <v>120500</v>
      </c>
      <c r="R51" s="135"/>
    </row>
    <row r="52" spans="1:18" ht="15" x14ac:dyDescent="0.25">
      <c r="A52" s="175" t="s">
        <v>68</v>
      </c>
      <c r="B52" s="175"/>
      <c r="C52" s="150"/>
      <c r="D52" s="174"/>
      <c r="E52" s="150"/>
      <c r="F52" s="174"/>
      <c r="G52" s="150"/>
      <c r="H52" s="174"/>
      <c r="I52" s="186"/>
      <c r="J52" s="150"/>
      <c r="K52" s="151"/>
      <c r="L52" s="150"/>
      <c r="M52" s="152"/>
      <c r="N52" s="35">
        <f t="shared" si="6"/>
        <v>0</v>
      </c>
      <c r="O52" s="131"/>
      <c r="P52" s="35">
        <f t="shared" si="7"/>
        <v>0</v>
      </c>
    </row>
    <row r="53" spans="1:18" ht="15" x14ac:dyDescent="0.25">
      <c r="A53" s="174" t="s">
        <v>133</v>
      </c>
      <c r="B53" s="175"/>
      <c r="C53" s="150">
        <v>300</v>
      </c>
      <c r="D53" s="174"/>
      <c r="E53" s="150">
        <v>407.35</v>
      </c>
      <c r="F53" s="174"/>
      <c r="G53" s="150">
        <v>300</v>
      </c>
      <c r="H53" s="174"/>
      <c r="I53" s="186">
        <v>6000</v>
      </c>
      <c r="J53" s="150"/>
      <c r="K53" s="151">
        <f>'[5]begroting 2627'!I69</f>
        <v>10000</v>
      </c>
      <c r="L53" s="150"/>
      <c r="M53" s="152">
        <f t="shared" si="2"/>
        <v>4000</v>
      </c>
      <c r="N53" s="35">
        <f t="shared" si="6"/>
        <v>5700</v>
      </c>
      <c r="O53" s="131"/>
      <c r="P53" s="35">
        <f t="shared" si="7"/>
        <v>5592.65</v>
      </c>
    </row>
    <row r="54" spans="1:18" ht="15" x14ac:dyDescent="0.25">
      <c r="A54" s="174"/>
      <c r="B54" s="174"/>
      <c r="C54" s="150">
        <f>SUM(C53:C53)</f>
        <v>300</v>
      </c>
      <c r="D54" s="185"/>
      <c r="E54" s="150">
        <f>SUM(E53:E53)</f>
        <v>407.35</v>
      </c>
      <c r="F54" s="174"/>
      <c r="G54" s="150">
        <f>SUM(G53:G53)</f>
        <v>300</v>
      </c>
      <c r="H54" s="188"/>
      <c r="I54" s="186">
        <f>SUM(I53)</f>
        <v>6000</v>
      </c>
      <c r="J54" s="150"/>
      <c r="K54" s="189">
        <f>SUM(K53:K53)</f>
        <v>10000</v>
      </c>
      <c r="L54" s="150"/>
      <c r="M54" s="152">
        <f t="shared" si="2"/>
        <v>4000</v>
      </c>
      <c r="N54" s="35">
        <f t="shared" si="6"/>
        <v>5700</v>
      </c>
      <c r="O54" s="131"/>
      <c r="P54" s="35">
        <f t="shared" si="7"/>
        <v>5592.65</v>
      </c>
      <c r="Q54" s="128">
        <f>'[5]begroting 2627'!J70</f>
        <v>10000</v>
      </c>
      <c r="R54" s="135"/>
    </row>
    <row r="55" spans="1:18" ht="15" x14ac:dyDescent="0.25">
      <c r="A55" s="174"/>
      <c r="B55" s="174"/>
      <c r="C55" s="150"/>
      <c r="D55" s="185"/>
      <c r="E55" s="150"/>
      <c r="F55" s="174"/>
      <c r="G55" s="150"/>
      <c r="H55" s="188"/>
      <c r="I55" s="186"/>
      <c r="J55" s="150"/>
      <c r="K55" s="191"/>
      <c r="L55" s="150"/>
      <c r="M55" s="152"/>
      <c r="N55" s="35"/>
      <c r="O55" s="131"/>
      <c r="P55" s="35"/>
      <c r="R55" s="135"/>
    </row>
    <row r="56" spans="1:18" ht="15" x14ac:dyDescent="0.25">
      <c r="A56" s="175" t="s">
        <v>70</v>
      </c>
      <c r="B56" s="175"/>
      <c r="C56" s="150"/>
      <c r="D56" s="174"/>
      <c r="E56" s="150"/>
      <c r="F56" s="174"/>
      <c r="G56" s="150"/>
      <c r="H56" s="174"/>
      <c r="I56" s="186"/>
      <c r="J56" s="150"/>
      <c r="K56" s="151"/>
      <c r="L56" s="150"/>
      <c r="M56" s="152"/>
      <c r="N56" s="35">
        <f t="shared" ref="N56:N75" si="8">I56-G56</f>
        <v>0</v>
      </c>
      <c r="O56" s="131"/>
      <c r="P56" s="35">
        <f t="shared" ref="P56:P75" si="9">I56-E56</f>
        <v>0</v>
      </c>
    </row>
    <row r="57" spans="1:18" ht="15" x14ac:dyDescent="0.25">
      <c r="A57" s="174" t="s">
        <v>71</v>
      </c>
      <c r="B57" s="175"/>
      <c r="C57" s="150">
        <v>0</v>
      </c>
      <c r="D57" s="174"/>
      <c r="E57" s="150">
        <v>282.5</v>
      </c>
      <c r="F57" s="174"/>
      <c r="G57" s="150">
        <v>0</v>
      </c>
      <c r="H57" s="174"/>
      <c r="I57" s="186">
        <v>3000</v>
      </c>
      <c r="J57" s="150"/>
      <c r="K57" s="151">
        <f>'[5]begroting 2627'!I74</f>
        <v>5000</v>
      </c>
      <c r="L57" s="150"/>
      <c r="M57" s="152">
        <f t="shared" si="2"/>
        <v>2000</v>
      </c>
      <c r="N57" s="35">
        <f t="shared" si="8"/>
        <v>3000</v>
      </c>
      <c r="O57" s="131"/>
      <c r="P57" s="35">
        <f t="shared" si="9"/>
        <v>2717.5</v>
      </c>
    </row>
    <row r="58" spans="1:18" ht="15" x14ac:dyDescent="0.25">
      <c r="A58" s="174" t="s">
        <v>72</v>
      </c>
      <c r="B58" s="174"/>
      <c r="C58" s="150">
        <v>8500</v>
      </c>
      <c r="D58" s="185"/>
      <c r="E58" s="150">
        <v>9386.84</v>
      </c>
      <c r="F58" s="174"/>
      <c r="G58" s="150">
        <v>9500</v>
      </c>
      <c r="H58" s="174"/>
      <c r="I58" s="186">
        <v>14000</v>
      </c>
      <c r="J58" s="150"/>
      <c r="K58" s="151">
        <f>'[5]begroting 2627'!I75</f>
        <v>15000</v>
      </c>
      <c r="L58" s="150"/>
      <c r="M58" s="152">
        <f t="shared" si="2"/>
        <v>1000</v>
      </c>
      <c r="N58" s="35">
        <f t="shared" si="8"/>
        <v>4500</v>
      </c>
      <c r="O58" s="131"/>
      <c r="P58" s="35">
        <f t="shared" si="9"/>
        <v>4613.16</v>
      </c>
    </row>
    <row r="59" spans="1:18" ht="15" x14ac:dyDescent="0.25">
      <c r="A59" s="174" t="s">
        <v>73</v>
      </c>
      <c r="B59" s="174"/>
      <c r="C59" s="150">
        <v>2500</v>
      </c>
      <c r="D59" s="185"/>
      <c r="E59" s="150">
        <v>4393.0599999999995</v>
      </c>
      <c r="F59" s="174"/>
      <c r="G59" s="150">
        <v>2500</v>
      </c>
      <c r="H59" s="174"/>
      <c r="I59" s="186">
        <v>8000</v>
      </c>
      <c r="J59" s="150"/>
      <c r="K59" s="151">
        <f>'[5]begroting 2627'!I76</f>
        <v>10000</v>
      </c>
      <c r="L59" s="150"/>
      <c r="M59" s="152">
        <f t="shared" si="2"/>
        <v>2000</v>
      </c>
      <c r="N59" s="35">
        <f t="shared" si="8"/>
        <v>5500</v>
      </c>
      <c r="O59" s="131"/>
      <c r="P59" s="35">
        <f t="shared" si="9"/>
        <v>3606.9400000000005</v>
      </c>
    </row>
    <row r="60" spans="1:18" ht="15" x14ac:dyDescent="0.25">
      <c r="A60" s="174" t="s">
        <v>76</v>
      </c>
      <c r="B60" s="174"/>
      <c r="C60" s="150">
        <v>1000</v>
      </c>
      <c r="D60" s="185"/>
      <c r="E60" s="150">
        <v>644.45999999999992</v>
      </c>
      <c r="F60" s="174"/>
      <c r="G60" s="150">
        <v>1000</v>
      </c>
      <c r="H60" s="174"/>
      <c r="I60" s="186">
        <v>0</v>
      </c>
      <c r="J60" s="150"/>
      <c r="K60" s="151">
        <f>'[5]begroting 2627'!I79</f>
        <v>4000</v>
      </c>
      <c r="L60" s="150"/>
      <c r="M60" s="152">
        <f t="shared" si="2"/>
        <v>4000</v>
      </c>
      <c r="N60" s="35">
        <f t="shared" si="8"/>
        <v>-1000</v>
      </c>
      <c r="O60" s="131"/>
      <c r="P60" s="35">
        <f t="shared" si="9"/>
        <v>-644.45999999999992</v>
      </c>
    </row>
    <row r="61" spans="1:18" ht="15" x14ac:dyDescent="0.25">
      <c r="A61" s="174" t="s">
        <v>77</v>
      </c>
      <c r="B61" s="174"/>
      <c r="C61" s="150">
        <v>2000</v>
      </c>
      <c r="D61" s="185"/>
      <c r="E61" s="150">
        <v>2689.75</v>
      </c>
      <c r="F61" s="174"/>
      <c r="G61" s="150">
        <v>3000</v>
      </c>
      <c r="H61" s="174"/>
      <c r="I61" s="186">
        <v>2900</v>
      </c>
      <c r="J61" s="150"/>
      <c r="K61" s="151">
        <f>'[5]begroting 2627'!I80</f>
        <v>3000</v>
      </c>
      <c r="L61" s="150"/>
      <c r="M61" s="152">
        <f t="shared" si="2"/>
        <v>100</v>
      </c>
      <c r="N61" s="35">
        <f t="shared" si="8"/>
        <v>-100</v>
      </c>
      <c r="O61" s="131"/>
      <c r="P61" s="35">
        <f t="shared" si="9"/>
        <v>210.25</v>
      </c>
    </row>
    <row r="62" spans="1:18" ht="15" x14ac:dyDescent="0.25">
      <c r="A62" s="174" t="s">
        <v>134</v>
      </c>
      <c r="B62" s="174"/>
      <c r="C62" s="150">
        <v>1600</v>
      </c>
      <c r="D62" s="185"/>
      <c r="E62" s="150">
        <v>1832.7699999999998</v>
      </c>
      <c r="F62" s="174"/>
      <c r="G62" s="150">
        <v>1800</v>
      </c>
      <c r="H62" s="174"/>
      <c r="I62" s="186">
        <v>3500</v>
      </c>
      <c r="J62" s="150"/>
      <c r="K62" s="151">
        <f>'[5]begroting 2627'!I77</f>
        <v>6000</v>
      </c>
      <c r="L62" s="150"/>
      <c r="M62" s="152">
        <f t="shared" si="2"/>
        <v>2500</v>
      </c>
      <c r="N62" s="35">
        <f t="shared" si="8"/>
        <v>1700</v>
      </c>
      <c r="O62" s="131"/>
      <c r="P62" s="35">
        <f t="shared" si="9"/>
        <v>1667.2300000000002</v>
      </c>
    </row>
    <row r="63" spans="1:18" ht="15" x14ac:dyDescent="0.25">
      <c r="A63" s="174" t="s">
        <v>135</v>
      </c>
      <c r="B63" s="174"/>
      <c r="C63" s="150">
        <v>300</v>
      </c>
      <c r="D63" s="185"/>
      <c r="E63" s="150">
        <v>289.63</v>
      </c>
      <c r="F63" s="174"/>
      <c r="G63" s="150">
        <v>300</v>
      </c>
      <c r="H63" s="174"/>
      <c r="I63" s="187">
        <v>1000</v>
      </c>
      <c r="J63" s="150"/>
      <c r="K63" s="151">
        <f>'[5]begroting 2627'!I78</f>
        <v>1000</v>
      </c>
      <c r="L63" s="150"/>
      <c r="M63" s="152">
        <f t="shared" si="2"/>
        <v>0</v>
      </c>
      <c r="N63" s="35">
        <f t="shared" si="8"/>
        <v>700</v>
      </c>
      <c r="O63" s="131"/>
      <c r="P63" s="35">
        <f t="shared" si="9"/>
        <v>710.37</v>
      </c>
    </row>
    <row r="64" spans="1:18" ht="15" x14ac:dyDescent="0.25">
      <c r="A64" s="174"/>
      <c r="B64" s="174"/>
      <c r="C64" s="150">
        <f>SUM(C57:C63)</f>
        <v>15900</v>
      </c>
      <c r="D64" s="185"/>
      <c r="E64" s="150">
        <f>SUM(E57:E63)</f>
        <v>19519.010000000002</v>
      </c>
      <c r="F64" s="174"/>
      <c r="G64" s="150">
        <f>SUM(G57:G63)</f>
        <v>18100</v>
      </c>
      <c r="H64" s="188"/>
      <c r="I64" s="186">
        <f>SUM(I57:I63)</f>
        <v>32400</v>
      </c>
      <c r="J64" s="150"/>
      <c r="K64" s="189">
        <f>SUM(K57:K63)</f>
        <v>44000</v>
      </c>
      <c r="L64" s="150"/>
      <c r="M64" s="152">
        <f t="shared" si="2"/>
        <v>11600</v>
      </c>
      <c r="N64" s="35">
        <f t="shared" si="8"/>
        <v>14300</v>
      </c>
      <c r="O64" s="131"/>
      <c r="P64" s="35">
        <f t="shared" si="9"/>
        <v>12880.989999999998</v>
      </c>
      <c r="Q64" s="128">
        <f>'[5]begroting 2627'!J81</f>
        <v>44000</v>
      </c>
      <c r="R64" s="135"/>
    </row>
    <row r="65" spans="1:18" ht="15" x14ac:dyDescent="0.25">
      <c r="A65" s="174"/>
      <c r="B65" s="174"/>
      <c r="C65" s="150"/>
      <c r="D65" s="185"/>
      <c r="E65" s="150"/>
      <c r="F65" s="174"/>
      <c r="G65" s="150"/>
      <c r="H65" s="188"/>
      <c r="I65" s="186"/>
      <c r="J65" s="150"/>
      <c r="K65" s="151"/>
      <c r="L65" s="150"/>
      <c r="M65" s="152"/>
      <c r="N65" s="35">
        <f t="shared" si="8"/>
        <v>0</v>
      </c>
      <c r="O65" s="131"/>
      <c r="P65" s="35">
        <f t="shared" si="9"/>
        <v>0</v>
      </c>
    </row>
    <row r="66" spans="1:18" ht="15" x14ac:dyDescent="0.25">
      <c r="A66" s="175" t="s">
        <v>78</v>
      </c>
      <c r="B66" s="175"/>
      <c r="C66" s="150"/>
      <c r="D66" s="174"/>
      <c r="E66" s="150"/>
      <c r="F66" s="174"/>
      <c r="G66" s="150"/>
      <c r="H66" s="174"/>
      <c r="I66" s="186"/>
      <c r="J66" s="150"/>
      <c r="K66" s="151"/>
      <c r="L66" s="150"/>
      <c r="M66" s="152"/>
      <c r="N66" s="35">
        <f t="shared" si="8"/>
        <v>0</v>
      </c>
      <c r="O66" s="131"/>
      <c r="P66" s="35">
        <f t="shared" si="9"/>
        <v>0</v>
      </c>
    </row>
    <row r="67" spans="1:18" ht="15" x14ac:dyDescent="0.25">
      <c r="A67" s="174" t="s">
        <v>79</v>
      </c>
      <c r="B67" s="174"/>
      <c r="C67" s="150">
        <v>49500</v>
      </c>
      <c r="D67" s="185"/>
      <c r="E67" s="150">
        <v>57476.84</v>
      </c>
      <c r="F67" s="174"/>
      <c r="G67" s="150">
        <v>50300</v>
      </c>
      <c r="H67" s="174"/>
      <c r="I67" s="186">
        <v>77000</v>
      </c>
      <c r="J67" s="150"/>
      <c r="K67" s="151">
        <f>'[5]begroting 2627'!G84</f>
        <v>80000</v>
      </c>
      <c r="L67" s="150"/>
      <c r="M67" s="152">
        <f t="shared" si="2"/>
        <v>3000</v>
      </c>
      <c r="N67" s="35">
        <f t="shared" si="8"/>
        <v>26700</v>
      </c>
      <c r="O67" s="131"/>
      <c r="P67" s="35">
        <f t="shared" si="9"/>
        <v>19523.160000000003</v>
      </c>
    </row>
    <row r="68" spans="1:18" ht="15" x14ac:dyDescent="0.25">
      <c r="A68" s="174" t="s">
        <v>80</v>
      </c>
      <c r="B68" s="174"/>
      <c r="C68" s="150">
        <v>2800</v>
      </c>
      <c r="D68" s="185"/>
      <c r="E68" s="150">
        <v>3728.19</v>
      </c>
      <c r="F68" s="174"/>
      <c r="G68" s="150">
        <v>2800</v>
      </c>
      <c r="H68" s="174"/>
      <c r="I68" s="186">
        <v>5500</v>
      </c>
      <c r="J68" s="150"/>
      <c r="K68" s="151">
        <f>'[5]begroting 2627'!I85</f>
        <v>6000</v>
      </c>
      <c r="L68" s="150"/>
      <c r="M68" s="152">
        <f t="shared" si="2"/>
        <v>500</v>
      </c>
      <c r="N68" s="35">
        <f t="shared" si="8"/>
        <v>2700</v>
      </c>
      <c r="O68" s="131"/>
      <c r="P68" s="35">
        <f t="shared" si="9"/>
        <v>1771.81</v>
      </c>
    </row>
    <row r="69" spans="1:18" ht="15" x14ac:dyDescent="0.25">
      <c r="A69" s="174" t="s">
        <v>81</v>
      </c>
      <c r="B69" s="174"/>
      <c r="C69" s="150">
        <v>2200</v>
      </c>
      <c r="D69" s="185"/>
      <c r="E69" s="150">
        <v>1931.6000000000001</v>
      </c>
      <c r="F69" s="174"/>
      <c r="G69" s="150">
        <v>2500</v>
      </c>
      <c r="H69" s="174"/>
      <c r="I69" s="186">
        <v>2500</v>
      </c>
      <c r="J69" s="150"/>
      <c r="K69" s="151">
        <f>'[5]begroting 2627'!I86</f>
        <v>2750</v>
      </c>
      <c r="L69" s="150"/>
      <c r="M69" s="152">
        <f t="shared" si="2"/>
        <v>250</v>
      </c>
      <c r="N69" s="35">
        <f t="shared" si="8"/>
        <v>0</v>
      </c>
      <c r="O69" s="131"/>
      <c r="P69" s="35">
        <f t="shared" si="9"/>
        <v>568.39999999999986</v>
      </c>
    </row>
    <row r="70" spans="1:18" ht="15" x14ac:dyDescent="0.25">
      <c r="A70" s="174" t="s">
        <v>82</v>
      </c>
      <c r="B70" s="174"/>
      <c r="C70" s="150">
        <v>4000</v>
      </c>
      <c r="D70" s="185"/>
      <c r="E70" s="150">
        <v>4319.5599999999986</v>
      </c>
      <c r="F70" s="174"/>
      <c r="G70" s="150">
        <v>5000</v>
      </c>
      <c r="H70" s="174"/>
      <c r="I70" s="186">
        <v>11000</v>
      </c>
      <c r="J70" s="150"/>
      <c r="K70" s="151">
        <f>'[5]begroting 2627'!I87</f>
        <v>12000</v>
      </c>
      <c r="L70" s="150"/>
      <c r="M70" s="152">
        <f t="shared" si="2"/>
        <v>1000</v>
      </c>
      <c r="N70" s="35">
        <f t="shared" si="8"/>
        <v>6000</v>
      </c>
      <c r="O70" s="131"/>
      <c r="P70" s="35">
        <f t="shared" si="9"/>
        <v>6680.4400000000014</v>
      </c>
    </row>
    <row r="71" spans="1:18" ht="16.5" x14ac:dyDescent="0.35">
      <c r="A71" s="174" t="s">
        <v>83</v>
      </c>
      <c r="B71" s="174"/>
      <c r="C71" s="193">
        <v>5000</v>
      </c>
      <c r="D71" s="185"/>
      <c r="E71" s="153">
        <v>5286.8600000000015</v>
      </c>
      <c r="F71" s="174"/>
      <c r="G71" s="153">
        <v>5500</v>
      </c>
      <c r="H71" s="174"/>
      <c r="I71" s="187">
        <v>9000</v>
      </c>
      <c r="J71" s="154"/>
      <c r="K71" s="151">
        <f>'[5]begroting 2627'!I88</f>
        <v>9000</v>
      </c>
      <c r="L71" s="154"/>
      <c r="M71" s="158">
        <f t="shared" si="2"/>
        <v>0</v>
      </c>
      <c r="N71" s="35">
        <f t="shared" si="8"/>
        <v>3500</v>
      </c>
      <c r="O71" s="131"/>
      <c r="P71" s="35">
        <f t="shared" si="9"/>
        <v>3713.1399999999985</v>
      </c>
    </row>
    <row r="72" spans="1:18" ht="15" x14ac:dyDescent="0.25">
      <c r="A72" s="174"/>
      <c r="B72" s="174"/>
      <c r="C72" s="150">
        <f>SUM(C67:C71)</f>
        <v>63500</v>
      </c>
      <c r="D72" s="185"/>
      <c r="E72" s="150">
        <f>SUM(E67:E71)</f>
        <v>72743.05</v>
      </c>
      <c r="F72" s="174"/>
      <c r="G72" s="150">
        <f>SUM(G67:G71)</f>
        <v>66100</v>
      </c>
      <c r="H72" s="188"/>
      <c r="I72" s="186">
        <f>SUM(I67:I71)</f>
        <v>105000</v>
      </c>
      <c r="J72" s="150"/>
      <c r="K72" s="189">
        <f>SUM(K67:K71)</f>
        <v>109750</v>
      </c>
      <c r="L72" s="150"/>
      <c r="M72" s="152">
        <f t="shared" si="2"/>
        <v>4750</v>
      </c>
      <c r="N72" s="35">
        <f t="shared" si="8"/>
        <v>38900</v>
      </c>
      <c r="O72" s="131"/>
      <c r="P72" s="35">
        <f t="shared" si="9"/>
        <v>32256.949999999997</v>
      </c>
      <c r="Q72" s="128">
        <f>'[5]begroting 2627'!J89</f>
        <v>109750</v>
      </c>
      <c r="R72" s="135"/>
    </row>
    <row r="73" spans="1:18" ht="15" x14ac:dyDescent="0.25">
      <c r="A73" s="174"/>
      <c r="B73" s="174"/>
      <c r="C73" s="150"/>
      <c r="D73" s="185"/>
      <c r="E73" s="150"/>
      <c r="F73" s="174"/>
      <c r="G73" s="150"/>
      <c r="H73" s="174"/>
      <c r="I73" s="186"/>
      <c r="J73" s="150"/>
      <c r="K73" s="151"/>
      <c r="L73" s="150"/>
      <c r="M73" s="152"/>
      <c r="N73" s="35">
        <f t="shared" si="8"/>
        <v>0</v>
      </c>
      <c r="O73" s="131"/>
      <c r="P73" s="35">
        <f t="shared" si="9"/>
        <v>0</v>
      </c>
    </row>
    <row r="74" spans="1:18" ht="15" x14ac:dyDescent="0.25">
      <c r="A74" s="174"/>
      <c r="B74" s="174"/>
      <c r="C74" s="150"/>
      <c r="D74" s="174"/>
      <c r="E74" s="150"/>
      <c r="F74" s="174"/>
      <c r="G74" s="150"/>
      <c r="H74" s="174"/>
      <c r="I74" s="186"/>
      <c r="J74" s="150"/>
      <c r="K74" s="151"/>
      <c r="L74" s="150"/>
      <c r="M74" s="152"/>
      <c r="N74" s="35">
        <f t="shared" si="8"/>
        <v>0</v>
      </c>
      <c r="O74" s="131"/>
      <c r="P74" s="35">
        <f t="shared" si="9"/>
        <v>0</v>
      </c>
    </row>
    <row r="75" spans="1:18" ht="15.75" x14ac:dyDescent="0.25">
      <c r="A75" s="194" t="s">
        <v>84</v>
      </c>
      <c r="B75" s="194"/>
      <c r="C75" s="161">
        <f>C10+C16+C18+C32+C37+C42+C51+C54+C64+C72</f>
        <v>364759.81599999999</v>
      </c>
      <c r="D75" s="195"/>
      <c r="E75" s="161">
        <f>E10+E16+E18+E32+E37+E42+E51+E54+E64+E72</f>
        <v>386502.79</v>
      </c>
      <c r="F75" s="196"/>
      <c r="G75" s="161">
        <f>G10+G16+G18+G32+G37+G42+G51+G54+G64+G72</f>
        <v>376200</v>
      </c>
      <c r="H75" s="197"/>
      <c r="I75" s="198">
        <f>I72+I64+I54+I51+I42+I37+I32+I22+I16+I10</f>
        <v>623500</v>
      </c>
      <c r="J75" s="161"/>
      <c r="K75" s="161">
        <f>K10+K16+K22+K37+K42+K51+K54+K64+K72+K32</f>
        <v>701999.76172735915</v>
      </c>
      <c r="L75" s="161"/>
      <c r="M75" s="163">
        <f t="shared" ref="M75" si="10">K75-I75</f>
        <v>78499.761727359146</v>
      </c>
      <c r="N75" s="96">
        <f t="shared" si="8"/>
        <v>247300</v>
      </c>
      <c r="O75" s="131"/>
      <c r="P75" s="96">
        <f t="shared" si="9"/>
        <v>236997.21000000002</v>
      </c>
      <c r="Q75" s="128">
        <f>SUM(Q6:Q72)</f>
        <v>701999.76172735915</v>
      </c>
    </row>
  </sheetData>
  <pageMargins left="0.25" right="0.25" top="0.55000000000000004" bottom="0.55000000000000004" header="0.30000000000000004" footer="0.30000000000000004"/>
  <pageSetup paperSize="9" scale="91" fitToHeight="2" orientation="portrait" r:id="rId1"/>
  <headerFooter alignWithMargins="0"/>
  <rowBreaks count="1" manualBreakCount="1">
    <brk id="51" max="1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6</vt:i4>
      </vt:variant>
    </vt:vector>
  </HeadingPairs>
  <TitlesOfParts>
    <vt:vector size="10" baseType="lpstr">
      <vt:lpstr>begroting 2627</vt:lpstr>
      <vt:lpstr>resultaat</vt:lpstr>
      <vt:lpstr>detail baten</vt:lpstr>
      <vt:lpstr>detail lasten</vt:lpstr>
      <vt:lpstr>'begroting 2627'!Afdrukbereik</vt:lpstr>
      <vt:lpstr>'detail baten'!Afdrukbereik</vt:lpstr>
      <vt:lpstr>'detail lasten'!Afdrukbereik</vt:lpstr>
      <vt:lpstr>resultaat!Afdrukbereik</vt:lpstr>
      <vt:lpstr>'begroting 2627'!Afdruktitels</vt:lpstr>
      <vt:lpstr>'detail lasten'!Afdruktitels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van der Held</dc:creator>
  <cp:lastModifiedBy>Alex Veen</cp:lastModifiedBy>
  <dcterms:created xsi:type="dcterms:W3CDTF">2026-06-13T10:55:21Z</dcterms:created>
  <dcterms:modified xsi:type="dcterms:W3CDTF">2026-06-22T13:40:22Z</dcterms:modified>
</cp:coreProperties>
</file>