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eb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C:\Users\arjan\Documents\Marleen\JAC\EK-pool\SV Marum\"/>
    </mc:Choice>
  </mc:AlternateContent>
  <xr:revisionPtr revIDLastSave="0" documentId="13_ncr:1_{DD798762-CFEF-4D54-98C9-577F05F29222}" xr6:coauthVersionLast="46" xr6:coauthVersionMax="46" xr10:uidLastSave="{00000000-0000-0000-0000-000000000000}"/>
  <workbookProtection workbookAlgorithmName="SHA-512" workbookHashValue="Ceb4Up0DvV57CGhSIyJkGl+QKI2Q+pGX8pI/yI/hQKgJ/fvAKhyoDhsn7P1O/6r3WnCkWCNyy9yPebLEsrq+yw==" workbookSaltValue="R9qqrsVwu3z+mnWqyg/2KA==" workbookSpinCount="100000" lockStructure="1"/>
  <bookViews>
    <workbookView xWindow="-108" yWindow="-108" windowWidth="23256" windowHeight="12576" firstSheet="4" activeTab="4" xr2:uid="{00000000-000D-0000-FFFF-FFFF00000000}"/>
  </bookViews>
  <sheets>
    <sheet name="Taal01" sheetId="60" state="hidden" r:id="rId1"/>
    <sheet name="Taal02" sheetId="63" state="hidden" r:id="rId2"/>
    <sheet name="Taal03" sheetId="61" state="hidden" r:id="rId3"/>
    <sheet name="Taal04" sheetId="62" state="hidden" r:id="rId4"/>
    <sheet name="Voorblad" sheetId="25" r:id="rId5"/>
    <sheet name="Reglement" sheetId="29" r:id="rId6"/>
    <sheet name="Groepswedstrijden" sheetId="39" r:id="rId7"/>
    <sheet name="Eindstand Groep" sheetId="38" r:id="rId8"/>
    <sheet name="Finalewedstrijden" sheetId="34" r:id="rId9"/>
    <sheet name="Deelnamecode" sheetId="46" r:id="rId10"/>
    <sheet name="ImageHEX" sheetId="64" state="hidden" r:id="rId11"/>
  </sheets>
  <definedNames>
    <definedName name="_REGLEMENTCODE">#REF!</definedName>
    <definedName name="_xlnm.Print_Area" localSheetId="9">Deelnamecode!$C$3:$P$44</definedName>
    <definedName name="_xlnm.Print_Area" localSheetId="7">'Eindstand Groep'!$C$3:$Q$67</definedName>
    <definedName name="_xlnm.Print_Area" localSheetId="8">Finalewedstrijden!$C$3:$Z$63</definedName>
    <definedName name="_xlnm.Print_Area" localSheetId="6">Groepswedstrijden!$C$3:$W$72</definedName>
    <definedName name="_xlnm.Print_Area" localSheetId="5">Reglement!$C$3:$N$71</definedName>
    <definedName name="_xlnm.Print_Area" localSheetId="4">Voorblad!$C$3:$S$62</definedName>
    <definedName name="DEENAMECODE">Deelnamecode!$C$126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39" l="1"/>
  <c r="E45" i="39"/>
  <c r="AO49" i="39" l="1"/>
  <c r="AM51" i="39"/>
  <c r="O49" i="39" l="1"/>
  <c r="O50" i="39" s="1"/>
  <c r="O48" i="39"/>
  <c r="O47" i="39"/>
  <c r="O46" i="39"/>
  <c r="O45" i="39"/>
  <c r="E49" i="39"/>
  <c r="E50" i="39" s="1"/>
  <c r="E48" i="39"/>
  <c r="E47" i="39"/>
  <c r="O39" i="39"/>
  <c r="O40" i="39" s="1"/>
  <c r="O38" i="39"/>
  <c r="O37" i="39"/>
  <c r="O36" i="39"/>
  <c r="O35" i="39"/>
  <c r="E39" i="39"/>
  <c r="E40" i="39" s="1"/>
  <c r="E38" i="39"/>
  <c r="E37" i="39"/>
  <c r="E36" i="39"/>
  <c r="E35" i="39"/>
  <c r="O29" i="39"/>
  <c r="O30" i="39" s="1"/>
  <c r="O28" i="39"/>
  <c r="O27" i="39"/>
  <c r="O26" i="39"/>
  <c r="O25" i="39"/>
  <c r="E29" i="39"/>
  <c r="E30" i="39" s="1"/>
  <c r="E28" i="39"/>
  <c r="E27" i="39"/>
  <c r="E26" i="39"/>
  <c r="E25" i="39"/>
  <c r="E16" i="34"/>
  <c r="E14" i="34"/>
  <c r="A6" i="62" l="1"/>
  <c r="A6" i="61"/>
  <c r="A6" i="63"/>
  <c r="AD51" i="46" l="1"/>
  <c r="U81" i="46" s="1"/>
  <c r="AC51" i="46"/>
  <c r="Z51" i="46"/>
  <c r="Y54" i="46"/>
  <c r="AF54" i="46" s="1"/>
  <c r="Y53" i="46"/>
  <c r="AC53" i="46" s="1"/>
  <c r="Y52" i="46"/>
  <c r="B119" i="46"/>
  <c r="AA54" i="46" l="1"/>
  <c r="U77" i="46"/>
  <c r="Z53" i="46"/>
  <c r="AD53" i="46"/>
  <c r="AA53" i="46"/>
  <c r="AE53" i="46"/>
  <c r="AD54" i="46"/>
  <c r="AB54" i="46"/>
  <c r="AC54" i="46"/>
  <c r="AE54" i="46"/>
  <c r="Z54" i="46"/>
  <c r="U71" i="46" l="1"/>
  <c r="U91" i="46"/>
  <c r="U87" i="46"/>
  <c r="U67" i="46"/>
  <c r="AR161" i="34" l="1"/>
  <c r="AR160" i="34"/>
  <c r="AR159" i="34"/>
  <c r="AR167" i="34"/>
  <c r="AR166" i="34"/>
  <c r="AR165" i="34"/>
  <c r="AR164" i="34"/>
  <c r="AR163" i="34"/>
  <c r="AR162" i="34"/>
  <c r="AC171" i="34"/>
  <c r="AC170" i="34"/>
  <c r="AC169" i="34"/>
  <c r="AC168" i="34"/>
  <c r="AC167" i="34"/>
  <c r="AC166" i="34"/>
  <c r="AC164" i="34"/>
  <c r="AC163" i="34"/>
  <c r="AC162" i="34"/>
  <c r="AC155" i="34"/>
  <c r="AF151" i="34"/>
  <c r="AC150" i="34"/>
  <c r="AC147" i="34"/>
  <c r="AF139" i="34" l="1"/>
  <c r="AC138" i="34"/>
  <c r="AC128" i="34"/>
  <c r="AC117" i="34"/>
  <c r="AQ154" i="34" l="1"/>
  <c r="AQ155" i="34" s="1"/>
  <c r="AQ156" i="34" s="1"/>
  <c r="AQ157" i="34" s="1"/>
  <c r="AQ158" i="34" s="1"/>
  <c r="AQ159" i="34" s="1"/>
  <c r="AQ160" i="34" s="1"/>
  <c r="AQ161" i="34" s="1"/>
  <c r="AQ162" i="34" s="1"/>
  <c r="AQ163" i="34" s="1"/>
  <c r="AQ164" i="34" s="1"/>
  <c r="AQ165" i="34" s="1"/>
  <c r="AQ166" i="34" s="1"/>
  <c r="AQ167" i="34" s="1"/>
  <c r="AL108" i="34" l="1"/>
  <c r="AL105" i="34"/>
  <c r="AL101" i="34"/>
  <c r="AL95" i="34"/>
  <c r="AB111" i="34"/>
  <c r="BA107" i="34"/>
  <c r="BA108" i="34" s="1"/>
  <c r="AO108" i="34"/>
  <c r="AM108" i="34"/>
  <c r="AK108" i="34"/>
  <c r="AI108" i="34"/>
  <c r="AG108" i="34"/>
  <c r="AB108" i="34"/>
  <c r="AO105" i="34"/>
  <c r="AM105" i="34"/>
  <c r="AK105" i="34"/>
  <c r="AI105" i="34"/>
  <c r="AG105" i="34"/>
  <c r="AB105" i="34"/>
  <c r="AO101" i="34"/>
  <c r="AO95" i="34"/>
  <c r="AB95" i="34"/>
  <c r="AB101" i="34"/>
  <c r="AM101" i="34"/>
  <c r="AK101" i="34"/>
  <c r="AI101" i="34"/>
  <c r="AG101" i="34"/>
  <c r="AM95" i="34"/>
  <c r="AK95" i="34"/>
  <c r="AI95" i="34"/>
  <c r="AG95" i="34"/>
  <c r="BA109" i="34" l="1"/>
  <c r="AE85" i="34"/>
  <c r="AC85" i="34"/>
  <c r="AC101" i="34" l="1"/>
  <c r="AC95" i="34"/>
  <c r="AC108" i="34"/>
  <c r="AC105" i="34"/>
  <c r="AE101" i="34"/>
  <c r="AE108" i="34"/>
  <c r="AE105" i="34"/>
  <c r="AE95" i="34"/>
  <c r="BA110" i="34"/>
  <c r="X6" i="38"/>
  <c r="X7" i="38" s="1"/>
  <c r="X8" i="38" s="1"/>
  <c r="X9" i="38" s="1"/>
  <c r="X10" i="38" s="1"/>
  <c r="X11" i="38" s="1"/>
  <c r="X12" i="38" s="1"/>
  <c r="BA74" i="34"/>
  <c r="BA75" i="34" s="1"/>
  <c r="BA76" i="34" s="1"/>
  <c r="BA77" i="34" s="1"/>
  <c r="BA78" i="34" s="1"/>
  <c r="BA79" i="34" s="1"/>
  <c r="BA80" i="34" s="1"/>
  <c r="BA81" i="34" s="1"/>
  <c r="BA82" i="34" s="1"/>
  <c r="BA83" i="34" s="1"/>
  <c r="BA84" i="34" s="1"/>
  <c r="BA85" i="34" s="1"/>
  <c r="BA86" i="34" s="1"/>
  <c r="BA87" i="34" s="1"/>
  <c r="BA88" i="34" s="1"/>
  <c r="BA89" i="34" s="1"/>
  <c r="BA90" i="34" s="1"/>
  <c r="BA91" i="34" s="1"/>
  <c r="BA92" i="34" s="1"/>
  <c r="BA93" i="34" s="1"/>
  <c r="BA94" i="34" s="1"/>
  <c r="BA95" i="34" s="1"/>
  <c r="BA96" i="34" s="1"/>
  <c r="BA97" i="34" s="1"/>
  <c r="BA98" i="34" s="1"/>
  <c r="BA99" i="34" s="1"/>
  <c r="BA100" i="34" s="1"/>
  <c r="BA101" i="34" s="1"/>
  <c r="BA102" i="34" s="1"/>
  <c r="BA103" i="34" s="1"/>
  <c r="BA104" i="34" s="1"/>
  <c r="BA53" i="34"/>
  <c r="BA54" i="34" s="1"/>
  <c r="BA55" i="34" s="1"/>
  <c r="BA56" i="34" s="1"/>
  <c r="BA57" i="34" s="1"/>
  <c r="BA58" i="34" s="1"/>
  <c r="BA59" i="34" s="1"/>
  <c r="BA60" i="34" s="1"/>
  <c r="BA61" i="34" s="1"/>
  <c r="BA62" i="34" s="1"/>
  <c r="BA63" i="34" s="1"/>
  <c r="BA64" i="34" s="1"/>
  <c r="BA65" i="34" s="1"/>
  <c r="BA66" i="34" s="1"/>
  <c r="BA67" i="34" s="1"/>
  <c r="BA68" i="34" s="1"/>
  <c r="BA69" i="34" s="1"/>
  <c r="BA70" i="34" s="1"/>
  <c r="BA71" i="34" s="1"/>
  <c r="BA32" i="34"/>
  <c r="BA33" i="34" s="1"/>
  <c r="BA34" i="34" s="1"/>
  <c r="BA35" i="34" s="1"/>
  <c r="BA36" i="34" s="1"/>
  <c r="BA37" i="34" s="1"/>
  <c r="BA38" i="34" s="1"/>
  <c r="BA39" i="34" s="1"/>
  <c r="BA40" i="34" s="1"/>
  <c r="BA41" i="34" s="1"/>
  <c r="BA42" i="34" s="1"/>
  <c r="BA43" i="34" s="1"/>
  <c r="BA44" i="34" s="1"/>
  <c r="BA45" i="34" s="1"/>
  <c r="BA46" i="34" s="1"/>
  <c r="BA47" i="34" s="1"/>
  <c r="BA48" i="34" s="1"/>
  <c r="BA49" i="34" s="1"/>
  <c r="BA50" i="34" s="1"/>
  <c r="BA15" i="34"/>
  <c r="BA16" i="34" s="1"/>
  <c r="BA17" i="34" s="1"/>
  <c r="BA18" i="34" s="1"/>
  <c r="BA19" i="34" s="1"/>
  <c r="BA20" i="34" s="1"/>
  <c r="BA21" i="34" s="1"/>
  <c r="BA22" i="34" s="1"/>
  <c r="BA23" i="34" s="1"/>
  <c r="BA24" i="34" s="1"/>
  <c r="BA25" i="34" s="1"/>
  <c r="BA26" i="34" s="1"/>
  <c r="BA27" i="34" s="1"/>
  <c r="BA28" i="34" s="1"/>
  <c r="BA29" i="34" s="1"/>
  <c r="BA111" i="34" l="1"/>
  <c r="AJ30" i="34"/>
  <c r="BA112" i="34" l="1"/>
  <c r="E101" i="63"/>
  <c r="E102" i="63" s="1"/>
  <c r="E103" i="63" s="1"/>
  <c r="E104" i="63" s="1"/>
  <c r="E105" i="63" s="1"/>
  <c r="E106" i="63" s="1"/>
  <c r="E107" i="63" s="1"/>
  <c r="E108" i="63" s="1"/>
  <c r="E109" i="63" s="1"/>
  <c r="E110" i="63" s="1"/>
  <c r="E111" i="63" s="1"/>
  <c r="E112" i="63" s="1"/>
  <c r="E113" i="63" s="1"/>
  <c r="E114" i="63" s="1"/>
  <c r="E115" i="63" s="1"/>
  <c r="E116" i="63" s="1"/>
  <c r="E117" i="63" s="1"/>
  <c r="E118" i="63" s="1"/>
  <c r="E119" i="63" s="1"/>
  <c r="E120" i="63" s="1"/>
  <c r="E121" i="63" s="1"/>
  <c r="E122" i="63" s="1"/>
  <c r="E123" i="63" s="1"/>
  <c r="E124" i="63" s="1"/>
  <c r="E125" i="63" s="1"/>
  <c r="E126" i="63" s="1"/>
  <c r="E127" i="63" s="1"/>
  <c r="E128" i="63" s="1"/>
  <c r="E129" i="63" s="1"/>
  <c r="E130" i="63" s="1"/>
  <c r="E131" i="63" s="1"/>
  <c r="B389" i="63"/>
  <c r="B390" i="63" s="1"/>
  <c r="B391" i="63" s="1"/>
  <c r="B392" i="63" s="1"/>
  <c r="B393" i="63" s="1"/>
  <c r="B394" i="63" s="1"/>
  <c r="B395" i="63" s="1"/>
  <c r="B396" i="63" s="1"/>
  <c r="B397" i="63" s="1"/>
  <c r="B398" i="63" s="1"/>
  <c r="B399" i="63" s="1"/>
  <c r="B400" i="63" s="1"/>
  <c r="B401" i="63" s="1"/>
  <c r="B402" i="63" s="1"/>
  <c r="B403" i="63" s="1"/>
  <c r="B404" i="63" s="1"/>
  <c r="B405" i="63" s="1"/>
  <c r="B406" i="63" s="1"/>
  <c r="B407" i="63" s="1"/>
  <c r="B408" i="63" s="1"/>
  <c r="B409" i="63" s="1"/>
  <c r="B410" i="63" s="1"/>
  <c r="B411" i="63" s="1"/>
  <c r="B412" i="63" s="1"/>
  <c r="B413" i="63" s="1"/>
  <c r="B414" i="63" s="1"/>
  <c r="B415" i="63" s="1"/>
  <c r="B416" i="63" s="1"/>
  <c r="B417" i="63" s="1"/>
  <c r="B418" i="63" s="1"/>
  <c r="B419" i="63" s="1"/>
  <c r="B357" i="63"/>
  <c r="B358" i="63" s="1"/>
  <c r="B359" i="63" s="1"/>
  <c r="B360" i="63" s="1"/>
  <c r="B361" i="63" s="1"/>
  <c r="B362" i="63" s="1"/>
  <c r="B363" i="63" s="1"/>
  <c r="B364" i="63" s="1"/>
  <c r="B365" i="63" s="1"/>
  <c r="B366" i="63" s="1"/>
  <c r="B367" i="63" s="1"/>
  <c r="B368" i="63" s="1"/>
  <c r="B369" i="63" s="1"/>
  <c r="B370" i="63" s="1"/>
  <c r="B371" i="63" s="1"/>
  <c r="B372" i="63" s="1"/>
  <c r="B373" i="63" s="1"/>
  <c r="B374" i="63" s="1"/>
  <c r="B375" i="63" s="1"/>
  <c r="B376" i="63" s="1"/>
  <c r="B377" i="63" s="1"/>
  <c r="B378" i="63" s="1"/>
  <c r="B379" i="63" s="1"/>
  <c r="B380" i="63" s="1"/>
  <c r="B381" i="63" s="1"/>
  <c r="B382" i="63" s="1"/>
  <c r="B383" i="63" s="1"/>
  <c r="B384" i="63" s="1"/>
  <c r="B385" i="63" s="1"/>
  <c r="B386" i="63" s="1"/>
  <c r="B387" i="63" s="1"/>
  <c r="B325" i="63"/>
  <c r="B326" i="63" s="1"/>
  <c r="B327" i="63" s="1"/>
  <c r="B328" i="63" s="1"/>
  <c r="B329" i="63" s="1"/>
  <c r="B330" i="63" s="1"/>
  <c r="B331" i="63" s="1"/>
  <c r="B332" i="63" s="1"/>
  <c r="B333" i="63" s="1"/>
  <c r="B334" i="63" s="1"/>
  <c r="B335" i="63" s="1"/>
  <c r="B336" i="63" s="1"/>
  <c r="B337" i="63" s="1"/>
  <c r="B338" i="63" s="1"/>
  <c r="B339" i="63" s="1"/>
  <c r="B340" i="63" s="1"/>
  <c r="B341" i="63" s="1"/>
  <c r="B342" i="63" s="1"/>
  <c r="B343" i="63" s="1"/>
  <c r="B344" i="63" s="1"/>
  <c r="B345" i="63" s="1"/>
  <c r="B346" i="63" s="1"/>
  <c r="B347" i="63" s="1"/>
  <c r="B348" i="63" s="1"/>
  <c r="B349" i="63" s="1"/>
  <c r="B350" i="63" s="1"/>
  <c r="B351" i="63" s="1"/>
  <c r="B352" i="63" s="1"/>
  <c r="B353" i="63" s="1"/>
  <c r="B354" i="63" s="1"/>
  <c r="B355" i="63" s="1"/>
  <c r="B293" i="63"/>
  <c r="B294" i="63" s="1"/>
  <c r="B295" i="63" s="1"/>
  <c r="B296" i="63" s="1"/>
  <c r="B297" i="63" s="1"/>
  <c r="B298" i="63" s="1"/>
  <c r="B299" i="63" s="1"/>
  <c r="B300" i="63" s="1"/>
  <c r="B301" i="63" s="1"/>
  <c r="B302" i="63" s="1"/>
  <c r="B303" i="63" s="1"/>
  <c r="B304" i="63" s="1"/>
  <c r="B305" i="63" s="1"/>
  <c r="B306" i="63" s="1"/>
  <c r="B307" i="63" s="1"/>
  <c r="B308" i="63" s="1"/>
  <c r="B309" i="63" s="1"/>
  <c r="B310" i="63" s="1"/>
  <c r="B311" i="63" s="1"/>
  <c r="B312" i="63" s="1"/>
  <c r="B313" i="63" s="1"/>
  <c r="B314" i="63" s="1"/>
  <c r="B315" i="63" s="1"/>
  <c r="B316" i="63" s="1"/>
  <c r="B317" i="63" s="1"/>
  <c r="B318" i="63" s="1"/>
  <c r="B319" i="63" s="1"/>
  <c r="B320" i="63" s="1"/>
  <c r="B321" i="63" s="1"/>
  <c r="B322" i="63" s="1"/>
  <c r="B323" i="63" s="1"/>
  <c r="B261" i="63"/>
  <c r="B262" i="63" s="1"/>
  <c r="B263" i="63" s="1"/>
  <c r="B264" i="63" s="1"/>
  <c r="B265" i="63" s="1"/>
  <c r="B266" i="63" s="1"/>
  <c r="B267" i="63" s="1"/>
  <c r="B268" i="63" s="1"/>
  <c r="B269" i="63" s="1"/>
  <c r="B270" i="63" s="1"/>
  <c r="B271" i="63" s="1"/>
  <c r="B272" i="63" s="1"/>
  <c r="B273" i="63" s="1"/>
  <c r="B274" i="63" s="1"/>
  <c r="B275" i="63" s="1"/>
  <c r="B276" i="63" s="1"/>
  <c r="B277" i="63" s="1"/>
  <c r="B278" i="63" s="1"/>
  <c r="B279" i="63" s="1"/>
  <c r="B280" i="63" s="1"/>
  <c r="B281" i="63" s="1"/>
  <c r="B282" i="63" s="1"/>
  <c r="B283" i="63" s="1"/>
  <c r="B284" i="63" s="1"/>
  <c r="B285" i="63" s="1"/>
  <c r="B286" i="63" s="1"/>
  <c r="B287" i="63" s="1"/>
  <c r="B288" i="63" s="1"/>
  <c r="B289" i="63" s="1"/>
  <c r="B290" i="63" s="1"/>
  <c r="B291" i="63" s="1"/>
  <c r="B229" i="63"/>
  <c r="B230" i="63" s="1"/>
  <c r="B231" i="63" s="1"/>
  <c r="B232" i="63" s="1"/>
  <c r="B233" i="63" s="1"/>
  <c r="B234" i="63" s="1"/>
  <c r="B235" i="63" s="1"/>
  <c r="B236" i="63" s="1"/>
  <c r="B237" i="63" s="1"/>
  <c r="B238" i="63" s="1"/>
  <c r="B239" i="63" s="1"/>
  <c r="B240" i="63" s="1"/>
  <c r="B241" i="63" s="1"/>
  <c r="B242" i="63" s="1"/>
  <c r="B243" i="63" s="1"/>
  <c r="B244" i="63" s="1"/>
  <c r="B245" i="63" s="1"/>
  <c r="B246" i="63" s="1"/>
  <c r="B247" i="63" s="1"/>
  <c r="B248" i="63" s="1"/>
  <c r="B249" i="63" s="1"/>
  <c r="B250" i="63" s="1"/>
  <c r="B251" i="63" s="1"/>
  <c r="B252" i="63" s="1"/>
  <c r="B253" i="63" s="1"/>
  <c r="B254" i="63" s="1"/>
  <c r="B255" i="63" s="1"/>
  <c r="B256" i="63" s="1"/>
  <c r="B257" i="63" s="1"/>
  <c r="B258" i="63" s="1"/>
  <c r="B259" i="63" s="1"/>
  <c r="B197" i="63"/>
  <c r="B198" i="63" s="1"/>
  <c r="B199" i="63" s="1"/>
  <c r="B200" i="63" s="1"/>
  <c r="B201" i="63" s="1"/>
  <c r="B202" i="63" s="1"/>
  <c r="B203" i="63" s="1"/>
  <c r="B204" i="63" s="1"/>
  <c r="B205" i="63" s="1"/>
  <c r="B206" i="63" s="1"/>
  <c r="B207" i="63" s="1"/>
  <c r="B208" i="63" s="1"/>
  <c r="B209" i="63" s="1"/>
  <c r="B210" i="63" s="1"/>
  <c r="B211" i="63" s="1"/>
  <c r="B212" i="63" s="1"/>
  <c r="B213" i="63" s="1"/>
  <c r="B214" i="63" s="1"/>
  <c r="B215" i="63" s="1"/>
  <c r="B216" i="63" s="1"/>
  <c r="B217" i="63" s="1"/>
  <c r="B218" i="63" s="1"/>
  <c r="B219" i="63" s="1"/>
  <c r="B220" i="63" s="1"/>
  <c r="B221" i="63" s="1"/>
  <c r="B222" i="63" s="1"/>
  <c r="B223" i="63" s="1"/>
  <c r="B224" i="63" s="1"/>
  <c r="B225" i="63" s="1"/>
  <c r="B226" i="63" s="1"/>
  <c r="B227" i="63" s="1"/>
  <c r="B165" i="63"/>
  <c r="B166" i="63" s="1"/>
  <c r="B167" i="63" s="1"/>
  <c r="B168" i="63" s="1"/>
  <c r="B169" i="63" s="1"/>
  <c r="B170" i="63" s="1"/>
  <c r="B171" i="63" s="1"/>
  <c r="B172" i="63" s="1"/>
  <c r="B173" i="63" s="1"/>
  <c r="B174" i="63" s="1"/>
  <c r="B175" i="63" s="1"/>
  <c r="B176" i="63" s="1"/>
  <c r="B177" i="63" s="1"/>
  <c r="B178" i="63" s="1"/>
  <c r="B179" i="63" s="1"/>
  <c r="B180" i="63" s="1"/>
  <c r="B181" i="63" s="1"/>
  <c r="B182" i="63" s="1"/>
  <c r="B183" i="63" s="1"/>
  <c r="B184" i="63" s="1"/>
  <c r="B185" i="63" s="1"/>
  <c r="B186" i="63" s="1"/>
  <c r="B187" i="63" s="1"/>
  <c r="B188" i="63" s="1"/>
  <c r="B189" i="63" s="1"/>
  <c r="B190" i="63" s="1"/>
  <c r="B191" i="63" s="1"/>
  <c r="B192" i="63" s="1"/>
  <c r="B193" i="63" s="1"/>
  <c r="B194" i="63" s="1"/>
  <c r="B195" i="63" s="1"/>
  <c r="A132" i="63"/>
  <c r="A133" i="63" s="1"/>
  <c r="A134" i="63" s="1"/>
  <c r="B133" i="63"/>
  <c r="B134" i="63" s="1"/>
  <c r="B135" i="63" s="1"/>
  <c r="B136" i="63" s="1"/>
  <c r="B137" i="63" s="1"/>
  <c r="B138" i="63" s="1"/>
  <c r="B139" i="63" s="1"/>
  <c r="B140" i="63" s="1"/>
  <c r="B141" i="63" s="1"/>
  <c r="B142" i="63" s="1"/>
  <c r="B143" i="63" s="1"/>
  <c r="B144" i="63" s="1"/>
  <c r="B145" i="63" s="1"/>
  <c r="B146" i="63" s="1"/>
  <c r="B147" i="63" s="1"/>
  <c r="B148" i="63" s="1"/>
  <c r="B149" i="63" s="1"/>
  <c r="B150" i="63" s="1"/>
  <c r="B151" i="63" s="1"/>
  <c r="B152" i="63" s="1"/>
  <c r="B153" i="63" s="1"/>
  <c r="B154" i="63" s="1"/>
  <c r="B155" i="63" s="1"/>
  <c r="B156" i="63" s="1"/>
  <c r="B157" i="63" s="1"/>
  <c r="B158" i="63" s="1"/>
  <c r="B159" i="63" s="1"/>
  <c r="B160" i="63" s="1"/>
  <c r="B161" i="63" s="1"/>
  <c r="B162" i="63" s="1"/>
  <c r="B163" i="63" s="1"/>
  <c r="A102" i="63"/>
  <c r="A103" i="63" s="1"/>
  <c r="A104" i="63" s="1"/>
  <c r="A105" i="63" s="1"/>
  <c r="A106" i="63" s="1"/>
  <c r="A107" i="63" s="1"/>
  <c r="A108" i="63" s="1"/>
  <c r="A109" i="63" s="1"/>
  <c r="A110" i="63" s="1"/>
  <c r="A111" i="63" s="1"/>
  <c r="A112" i="63" s="1"/>
  <c r="A113" i="63" s="1"/>
  <c r="A114" i="63" s="1"/>
  <c r="A115" i="63" s="1"/>
  <c r="A116" i="63" s="1"/>
  <c r="A117" i="63" s="1"/>
  <c r="A118" i="63" s="1"/>
  <c r="A119" i="63" s="1"/>
  <c r="A120" i="63" s="1"/>
  <c r="A121" i="63" s="1"/>
  <c r="A122" i="63" s="1"/>
  <c r="A123" i="63" s="1"/>
  <c r="A124" i="63" s="1"/>
  <c r="A125" i="63" s="1"/>
  <c r="A126" i="63" s="1"/>
  <c r="A127" i="63" s="1"/>
  <c r="A128" i="63" s="1"/>
  <c r="A129" i="63" s="1"/>
  <c r="A130" i="63" s="1"/>
  <c r="A131" i="63" s="1"/>
  <c r="B101" i="63"/>
  <c r="B102" i="63" s="1"/>
  <c r="B103" i="63" s="1"/>
  <c r="B104" i="63" s="1"/>
  <c r="B105" i="63" s="1"/>
  <c r="B106" i="63" s="1"/>
  <c r="B107" i="63" s="1"/>
  <c r="B108" i="63" s="1"/>
  <c r="B109" i="63" s="1"/>
  <c r="B110" i="63" s="1"/>
  <c r="B111" i="63" s="1"/>
  <c r="B112" i="63" s="1"/>
  <c r="B113" i="63" s="1"/>
  <c r="B114" i="63" s="1"/>
  <c r="B115" i="63" s="1"/>
  <c r="B116" i="63" s="1"/>
  <c r="B117" i="63" s="1"/>
  <c r="B118" i="63" s="1"/>
  <c r="B119" i="63" s="1"/>
  <c r="B120" i="63" s="1"/>
  <c r="B121" i="63" s="1"/>
  <c r="B122" i="63" s="1"/>
  <c r="B123" i="63" s="1"/>
  <c r="B124" i="63" s="1"/>
  <c r="B125" i="63" s="1"/>
  <c r="B126" i="63" s="1"/>
  <c r="B127" i="63" s="1"/>
  <c r="B128" i="63" s="1"/>
  <c r="B129" i="63" s="1"/>
  <c r="B130" i="63" s="1"/>
  <c r="B131" i="63" s="1"/>
  <c r="A101" i="63"/>
  <c r="C101" i="63"/>
  <c r="C100" i="63"/>
  <c r="C131" i="63"/>
  <c r="C134" i="63"/>
  <c r="A164" i="63" l="1"/>
  <c r="BA113" i="34"/>
  <c r="A196" i="63"/>
  <c r="A197" i="63" s="1"/>
  <c r="A198" i="63" s="1"/>
  <c r="D134" i="63"/>
  <c r="D131" i="63"/>
  <c r="D101" i="63"/>
  <c r="D100" i="63"/>
  <c r="A135" i="63"/>
  <c r="C119" i="63"/>
  <c r="C106" i="63"/>
  <c r="C122" i="63"/>
  <c r="C116" i="63"/>
  <c r="C133" i="63"/>
  <c r="C123" i="63"/>
  <c r="C132" i="63"/>
  <c r="C112" i="63"/>
  <c r="C127" i="63"/>
  <c r="C117" i="63"/>
  <c r="C129" i="63"/>
  <c r="C107" i="63"/>
  <c r="C120" i="63"/>
  <c r="C108" i="63"/>
  <c r="C128" i="63"/>
  <c r="C113" i="63"/>
  <c r="C118" i="63"/>
  <c r="C114" i="63"/>
  <c r="C126" i="63"/>
  <c r="C110" i="63"/>
  <c r="C115" i="63"/>
  <c r="C124" i="63"/>
  <c r="C104" i="63"/>
  <c r="C102" i="63"/>
  <c r="C109" i="63"/>
  <c r="C103" i="63"/>
  <c r="C135" i="63"/>
  <c r="C111" i="63"/>
  <c r="C121" i="63"/>
  <c r="C130" i="63"/>
  <c r="C125" i="63"/>
  <c r="C105" i="63"/>
  <c r="D128" i="63" l="1"/>
  <c r="D126" i="63"/>
  <c r="D122" i="63"/>
  <c r="D105" i="63"/>
  <c r="AC20" i="34" s="1"/>
  <c r="AD20" i="34" s="1"/>
  <c r="D103" i="63"/>
  <c r="D116" i="63"/>
  <c r="D109" i="63"/>
  <c r="D104" i="63"/>
  <c r="D120" i="63"/>
  <c r="D123" i="63"/>
  <c r="AE26" i="34" s="1"/>
  <c r="AF26" i="34" s="1"/>
  <c r="D107" i="63"/>
  <c r="D112" i="63"/>
  <c r="AC22" i="34" s="1"/>
  <c r="AD22" i="34" s="1"/>
  <c r="D133" i="63"/>
  <c r="D124" i="63"/>
  <c r="D130" i="63"/>
  <c r="D108" i="63"/>
  <c r="D114" i="63"/>
  <c r="D102" i="63"/>
  <c r="D115" i="63"/>
  <c r="D117" i="63"/>
  <c r="AE22" i="34" s="1"/>
  <c r="AF22" i="34" s="1"/>
  <c r="D110" i="63"/>
  <c r="D111" i="63"/>
  <c r="D113" i="63"/>
  <c r="AC26" i="34" s="1"/>
  <c r="AD26" i="34" s="1"/>
  <c r="D106" i="63"/>
  <c r="AE24" i="34" s="1"/>
  <c r="AF24" i="34" s="1"/>
  <c r="D118" i="63"/>
  <c r="D127" i="63"/>
  <c r="D119" i="63"/>
  <c r="D132" i="63"/>
  <c r="D121" i="63"/>
  <c r="AC24" i="34" s="1"/>
  <c r="AD24" i="34" s="1"/>
  <c r="D125" i="63"/>
  <c r="D129" i="63"/>
  <c r="A165" i="63"/>
  <c r="AC16" i="34"/>
  <c r="AD16" i="34" s="1"/>
  <c r="AC14" i="34"/>
  <c r="AD14" i="34" s="1"/>
  <c r="BA114" i="34"/>
  <c r="AE56" i="34"/>
  <c r="AF56" i="34" s="1"/>
  <c r="AE48" i="34"/>
  <c r="AF48" i="34" s="1"/>
  <c r="AC56" i="34"/>
  <c r="AD56" i="34" s="1"/>
  <c r="AE46" i="34"/>
  <c r="AF46" i="34" s="1"/>
  <c r="AC48" i="34"/>
  <c r="AD48" i="34" s="1"/>
  <c r="AC52" i="34"/>
  <c r="AD52" i="34" s="1"/>
  <c r="AC46" i="34"/>
  <c r="AD46" i="34" s="1"/>
  <c r="AE40" i="34"/>
  <c r="AF40" i="34" s="1"/>
  <c r="AE38" i="34"/>
  <c r="AF38" i="34" s="1"/>
  <c r="AE36" i="34"/>
  <c r="AF36" i="34" s="1"/>
  <c r="AC36" i="34"/>
  <c r="AD36" i="34" s="1"/>
  <c r="AC38" i="34"/>
  <c r="AD38" i="34" s="1"/>
  <c r="AC40" i="34"/>
  <c r="AD40" i="34" s="1"/>
  <c r="AE14" i="34"/>
  <c r="AF14" i="34" s="1"/>
  <c r="D135" i="63"/>
  <c r="A228" i="63"/>
  <c r="A260" i="63" s="1"/>
  <c r="A199" i="63"/>
  <c r="A136" i="63"/>
  <c r="F16" i="34"/>
  <c r="D16" i="34"/>
  <c r="D18" i="34" s="1"/>
  <c r="F14" i="34"/>
  <c r="C197" i="63"/>
  <c r="C196" i="63"/>
  <c r="C164" i="63"/>
  <c r="C136" i="63"/>
  <c r="C260" i="63"/>
  <c r="C198" i="63"/>
  <c r="D196" i="63" l="1"/>
  <c r="D197" i="63"/>
  <c r="D164" i="63"/>
  <c r="A229" i="63"/>
  <c r="A166" i="63"/>
  <c r="AH53" i="34"/>
  <c r="AE52" i="34"/>
  <c r="AF52" i="34" s="1"/>
  <c r="AJ53" i="34" s="1"/>
  <c r="BA115" i="34"/>
  <c r="D20" i="34"/>
  <c r="AB76" i="34"/>
  <c r="AB88" i="34" s="1"/>
  <c r="E18" i="34"/>
  <c r="E22" i="34" s="1"/>
  <c r="E26" i="34" s="1"/>
  <c r="F26" i="34" s="1"/>
  <c r="AB75" i="34"/>
  <c r="AB87" i="34" s="1"/>
  <c r="D136" i="63"/>
  <c r="D260" i="63"/>
  <c r="A261" i="63"/>
  <c r="A292" i="63"/>
  <c r="D198" i="63"/>
  <c r="A200" i="63"/>
  <c r="A230" i="63"/>
  <c r="A137" i="63"/>
  <c r="E20" i="34"/>
  <c r="C261" i="63"/>
  <c r="C292" i="63"/>
  <c r="C137" i="63"/>
  <c r="C199" i="63"/>
  <c r="C229" i="63"/>
  <c r="C165" i="63"/>
  <c r="C228" i="63"/>
  <c r="D165" i="63" l="1"/>
  <c r="D228" i="63"/>
  <c r="A167" i="63"/>
  <c r="F18" i="34"/>
  <c r="F22" i="34"/>
  <c r="BA116" i="34"/>
  <c r="D22" i="34"/>
  <c r="AB77" i="34"/>
  <c r="AB89" i="34" s="1"/>
  <c r="D137" i="63"/>
  <c r="D292" i="63"/>
  <c r="D261" i="63"/>
  <c r="A324" i="63"/>
  <c r="A293" i="63"/>
  <c r="A262" i="63"/>
  <c r="D229" i="63"/>
  <c r="D199" i="63"/>
  <c r="A231" i="63"/>
  <c r="A201" i="63"/>
  <c r="A138" i="63"/>
  <c r="F20" i="34"/>
  <c r="E24" i="34"/>
  <c r="C166" i="63"/>
  <c r="C293" i="63"/>
  <c r="C262" i="63"/>
  <c r="C324" i="63"/>
  <c r="C230" i="63"/>
  <c r="C138" i="63"/>
  <c r="C200" i="63"/>
  <c r="D166" i="63" l="1"/>
  <c r="A168" i="63"/>
  <c r="BA117" i="34"/>
  <c r="D24" i="34"/>
  <c r="AB78" i="34"/>
  <c r="AB90" i="34" s="1"/>
  <c r="D138" i="63"/>
  <c r="D262" i="63"/>
  <c r="D293" i="63"/>
  <c r="D324" i="63"/>
  <c r="A263" i="63"/>
  <c r="A294" i="63"/>
  <c r="A325" i="63"/>
  <c r="A356" i="63"/>
  <c r="D230" i="63"/>
  <c r="D200" i="63"/>
  <c r="A232" i="63"/>
  <c r="A202" i="63"/>
  <c r="A139" i="63"/>
  <c r="E28" i="34"/>
  <c r="F28" i="34" s="1"/>
  <c r="F24" i="34"/>
  <c r="C356" i="63"/>
  <c r="C167" i="63"/>
  <c r="C325" i="63"/>
  <c r="C231" i="63"/>
  <c r="C294" i="63"/>
  <c r="C201" i="63"/>
  <c r="C139" i="63"/>
  <c r="C263" i="63"/>
  <c r="D167" i="63" l="1"/>
  <c r="A169" i="63"/>
  <c r="BA118" i="34"/>
  <c r="D26" i="34"/>
  <c r="AB79" i="34"/>
  <c r="AB91" i="34" s="1"/>
  <c r="D294" i="63"/>
  <c r="D325" i="63"/>
  <c r="D263" i="63"/>
  <c r="D139" i="63"/>
  <c r="D356" i="63"/>
  <c r="A295" i="63"/>
  <c r="A326" i="63"/>
  <c r="A264" i="63"/>
  <c r="A357" i="63"/>
  <c r="A388" i="63"/>
  <c r="D201" i="63"/>
  <c r="D231" i="63"/>
  <c r="A203" i="63"/>
  <c r="A233" i="63"/>
  <c r="A140" i="63"/>
  <c r="W54" i="38"/>
  <c r="W53" i="38"/>
  <c r="W52" i="38"/>
  <c r="W51" i="38"/>
  <c r="W49" i="38"/>
  <c r="W48" i="38"/>
  <c r="W47" i="38"/>
  <c r="W46" i="38"/>
  <c r="W44" i="38"/>
  <c r="W43" i="38"/>
  <c r="W42" i="38"/>
  <c r="W41" i="38"/>
  <c r="W39" i="38"/>
  <c r="W38" i="38"/>
  <c r="W37" i="38"/>
  <c r="W36" i="38"/>
  <c r="W34" i="38"/>
  <c r="W33" i="38"/>
  <c r="W32" i="38"/>
  <c r="W31" i="38"/>
  <c r="W29" i="38"/>
  <c r="W28" i="38"/>
  <c r="W27" i="38"/>
  <c r="W26" i="38"/>
  <c r="W24" i="38"/>
  <c r="W23" i="38"/>
  <c r="W22" i="38"/>
  <c r="W21" i="38"/>
  <c r="W19" i="38"/>
  <c r="W18" i="38"/>
  <c r="W17" i="38"/>
  <c r="W16" i="38"/>
  <c r="C232" i="63"/>
  <c r="C388" i="63"/>
  <c r="C295" i="63"/>
  <c r="C140" i="63"/>
  <c r="C357" i="63"/>
  <c r="C326" i="63"/>
  <c r="C168" i="63"/>
  <c r="C264" i="63"/>
  <c r="C202" i="63"/>
  <c r="D168" i="63" l="1"/>
  <c r="A170" i="63"/>
  <c r="BA119" i="34"/>
  <c r="D28" i="34"/>
  <c r="D36" i="34" s="1"/>
  <c r="AB96" i="34" s="1"/>
  <c r="AB80" i="34"/>
  <c r="AB92" i="34" s="1"/>
  <c r="D295" i="63"/>
  <c r="D140" i="63"/>
  <c r="D388" i="63"/>
  <c r="D326" i="63"/>
  <c r="D357" i="63"/>
  <c r="D264" i="63"/>
  <c r="A296" i="63"/>
  <c r="A389" i="63"/>
  <c r="A327" i="63"/>
  <c r="A358" i="63"/>
  <c r="A265" i="63"/>
  <c r="D232" i="63"/>
  <c r="D202" i="63"/>
  <c r="A234" i="63"/>
  <c r="A204" i="63"/>
  <c r="A141" i="63"/>
  <c r="AL59" i="39"/>
  <c r="AN78" i="39"/>
  <c r="AM78" i="39"/>
  <c r="AL78" i="39"/>
  <c r="AO77" i="39"/>
  <c r="AM77" i="39"/>
  <c r="AL77" i="39"/>
  <c r="AO76" i="39"/>
  <c r="AN76" i="39"/>
  <c r="AL76" i="39"/>
  <c r="AO75" i="39"/>
  <c r="AN75" i="39"/>
  <c r="AM75" i="39"/>
  <c r="AN69" i="39"/>
  <c r="AM69" i="39"/>
  <c r="AL69" i="39"/>
  <c r="AO68" i="39"/>
  <c r="AM68" i="39"/>
  <c r="AL68" i="39"/>
  <c r="AO67" i="39"/>
  <c r="AN67" i="39"/>
  <c r="AL67" i="39"/>
  <c r="AO66" i="39"/>
  <c r="AN66" i="39"/>
  <c r="AM66" i="39"/>
  <c r="AN60" i="39"/>
  <c r="AM60" i="39"/>
  <c r="AL60" i="39"/>
  <c r="AO59" i="39"/>
  <c r="AM59" i="39"/>
  <c r="AO58" i="39"/>
  <c r="AN58" i="39"/>
  <c r="AL58" i="39"/>
  <c r="AO57" i="39"/>
  <c r="AN57" i="39"/>
  <c r="AM57" i="39"/>
  <c r="AN51" i="39"/>
  <c r="AL51" i="39"/>
  <c r="AO50" i="39"/>
  <c r="AM50" i="39"/>
  <c r="AL50" i="39"/>
  <c r="AN49" i="39"/>
  <c r="AL49" i="39"/>
  <c r="AO48" i="39"/>
  <c r="AN48" i="39"/>
  <c r="AM48" i="39"/>
  <c r="AN42" i="39"/>
  <c r="AM42" i="39"/>
  <c r="AL42" i="39"/>
  <c r="AO41" i="39"/>
  <c r="AM41" i="39"/>
  <c r="AL41" i="39"/>
  <c r="AO40" i="39"/>
  <c r="AN40" i="39"/>
  <c r="AL40" i="39"/>
  <c r="AO39" i="39"/>
  <c r="AN39" i="39"/>
  <c r="AM39" i="39"/>
  <c r="C203" i="63"/>
  <c r="C327" i="63"/>
  <c r="C358" i="63"/>
  <c r="C265" i="63"/>
  <c r="C296" i="63"/>
  <c r="C169" i="63"/>
  <c r="C389" i="63"/>
  <c r="C141" i="63"/>
  <c r="C233" i="63"/>
  <c r="D169" i="63" l="1"/>
  <c r="A171" i="63"/>
  <c r="BA120" i="34"/>
  <c r="AB81" i="34"/>
  <c r="AB93" i="34" s="1"/>
  <c r="D327" i="63"/>
  <c r="D389" i="63"/>
  <c r="D296" i="63"/>
  <c r="D141" i="63"/>
  <c r="D265" i="63"/>
  <c r="D358" i="63"/>
  <c r="A328" i="63"/>
  <c r="A390" i="63"/>
  <c r="A297" i="63"/>
  <c r="A266" i="63"/>
  <c r="A359" i="63"/>
  <c r="D203" i="63"/>
  <c r="D233" i="63"/>
  <c r="A205" i="63"/>
  <c r="A235" i="63"/>
  <c r="A142" i="63"/>
  <c r="AN33" i="39"/>
  <c r="AM33" i="39"/>
  <c r="AL33" i="39"/>
  <c r="AO32" i="39"/>
  <c r="AM32" i="39"/>
  <c r="AL32" i="39"/>
  <c r="AO31" i="39"/>
  <c r="AN31" i="39"/>
  <c r="AL31" i="39"/>
  <c r="AO30" i="39"/>
  <c r="AN30" i="39"/>
  <c r="AM30" i="39"/>
  <c r="AO22" i="39"/>
  <c r="AN24" i="39"/>
  <c r="AM24" i="39"/>
  <c r="AO23" i="39"/>
  <c r="AM23" i="39"/>
  <c r="AL23" i="39"/>
  <c r="AN22" i="39"/>
  <c r="AL22" i="39"/>
  <c r="AO21" i="39"/>
  <c r="AN21" i="39"/>
  <c r="AM21" i="39"/>
  <c r="AM15" i="39"/>
  <c r="AO13" i="39"/>
  <c r="AL13" i="39"/>
  <c r="C390" i="63"/>
  <c r="C170" i="63"/>
  <c r="C204" i="63"/>
  <c r="C234" i="63"/>
  <c r="C142" i="63"/>
  <c r="C359" i="63"/>
  <c r="C266" i="63"/>
  <c r="C297" i="63"/>
  <c r="C328" i="63"/>
  <c r="D170" i="63" l="1"/>
  <c r="A172" i="63"/>
  <c r="BA121" i="34"/>
  <c r="D297" i="63"/>
  <c r="D390" i="63"/>
  <c r="D328" i="63"/>
  <c r="D142" i="63"/>
  <c r="D359" i="63"/>
  <c r="D266" i="63"/>
  <c r="A298" i="63"/>
  <c r="A391" i="63"/>
  <c r="A329" i="63"/>
  <c r="A360" i="63"/>
  <c r="A267" i="63"/>
  <c r="D204" i="63"/>
  <c r="D234" i="63"/>
  <c r="A206" i="63"/>
  <c r="A236" i="63"/>
  <c r="A143" i="63"/>
  <c r="O59" i="39"/>
  <c r="O60" i="39" s="1"/>
  <c r="O58" i="39"/>
  <c r="O57" i="39"/>
  <c r="O56" i="39"/>
  <c r="O55" i="39"/>
  <c r="E59" i="39"/>
  <c r="E60" i="39" s="1"/>
  <c r="E58" i="39"/>
  <c r="E57" i="39"/>
  <c r="E56" i="39"/>
  <c r="E55" i="39"/>
  <c r="D46" i="39"/>
  <c r="N36" i="39"/>
  <c r="N35" i="39"/>
  <c r="D36" i="39"/>
  <c r="D35" i="39"/>
  <c r="P30" i="39"/>
  <c r="P28" i="39"/>
  <c r="P27" i="39"/>
  <c r="P26" i="39"/>
  <c r="N26" i="39"/>
  <c r="P25" i="39"/>
  <c r="N25" i="39"/>
  <c r="F30" i="39"/>
  <c r="F28" i="39"/>
  <c r="F27" i="39"/>
  <c r="F26" i="39"/>
  <c r="D26" i="39"/>
  <c r="F25" i="39"/>
  <c r="D25" i="39"/>
  <c r="C205" i="63"/>
  <c r="C360" i="63"/>
  <c r="C391" i="63"/>
  <c r="C298" i="63"/>
  <c r="C267" i="63"/>
  <c r="C235" i="63"/>
  <c r="C171" i="63"/>
  <c r="C329" i="63"/>
  <c r="C143" i="63"/>
  <c r="D171" i="63" l="1"/>
  <c r="A173" i="63"/>
  <c r="BA122" i="34"/>
  <c r="D143" i="63"/>
  <c r="D267" i="63"/>
  <c r="D360" i="63"/>
  <c r="D298" i="63"/>
  <c r="D329" i="63"/>
  <c r="D391" i="63"/>
  <c r="A268" i="63"/>
  <c r="A361" i="63"/>
  <c r="A299" i="63"/>
  <c r="A330" i="63"/>
  <c r="A392" i="63"/>
  <c r="D235" i="63"/>
  <c r="D205" i="63"/>
  <c r="A207" i="63"/>
  <c r="A237" i="63"/>
  <c r="A144" i="63"/>
  <c r="P29" i="39"/>
  <c r="F29" i="39"/>
  <c r="C299" i="63"/>
  <c r="C330" i="63"/>
  <c r="C361" i="63"/>
  <c r="C144" i="63"/>
  <c r="C268" i="63"/>
  <c r="C172" i="63"/>
  <c r="C392" i="63"/>
  <c r="C236" i="63"/>
  <c r="C206" i="63"/>
  <c r="D172" i="63" l="1"/>
  <c r="A174" i="63"/>
  <c r="BA123" i="34"/>
  <c r="D268" i="63"/>
  <c r="D361" i="63"/>
  <c r="D299" i="63"/>
  <c r="D144" i="63"/>
  <c r="D392" i="63"/>
  <c r="D330" i="63"/>
  <c r="A269" i="63"/>
  <c r="A362" i="63"/>
  <c r="A300" i="63"/>
  <c r="A393" i="63"/>
  <c r="A331" i="63"/>
  <c r="D206" i="63"/>
  <c r="D236" i="63"/>
  <c r="A238" i="63"/>
  <c r="A208" i="63"/>
  <c r="A145" i="63"/>
  <c r="P72" i="25"/>
  <c r="C331" i="63"/>
  <c r="C237" i="63"/>
  <c r="C207" i="63"/>
  <c r="C362" i="63"/>
  <c r="C173" i="63"/>
  <c r="C145" i="63"/>
  <c r="C393" i="63"/>
  <c r="C269" i="63"/>
  <c r="C300" i="63"/>
  <c r="D173" i="63" l="1"/>
  <c r="A175" i="63"/>
  <c r="BA124" i="34"/>
  <c r="D362" i="63"/>
  <c r="D393" i="63"/>
  <c r="D269" i="63"/>
  <c r="D145" i="63"/>
  <c r="D331" i="63"/>
  <c r="D300" i="63"/>
  <c r="A363" i="63"/>
  <c r="A394" i="63"/>
  <c r="A270" i="63"/>
  <c r="A332" i="63"/>
  <c r="A301" i="63"/>
  <c r="D207" i="63"/>
  <c r="D237" i="63"/>
  <c r="A209" i="63"/>
  <c r="A239" i="63"/>
  <c r="A146" i="63"/>
  <c r="C270" i="63"/>
  <c r="C174" i="63"/>
  <c r="C146" i="63"/>
  <c r="C363" i="63"/>
  <c r="C301" i="63"/>
  <c r="C238" i="63"/>
  <c r="C208" i="63"/>
  <c r="C332" i="63"/>
  <c r="C394" i="63"/>
  <c r="D174" i="63" l="1"/>
  <c r="A176" i="63"/>
  <c r="BA125" i="34"/>
  <c r="D363" i="63"/>
  <c r="D146" i="63"/>
  <c r="D301" i="63"/>
  <c r="D332" i="63"/>
  <c r="D270" i="63"/>
  <c r="D394" i="63"/>
  <c r="A364" i="63"/>
  <c r="A302" i="63"/>
  <c r="A333" i="63"/>
  <c r="A271" i="63"/>
  <c r="A395" i="63"/>
  <c r="D238" i="63"/>
  <c r="D208" i="63"/>
  <c r="A240" i="63"/>
  <c r="A210" i="63"/>
  <c r="A147" i="63"/>
  <c r="A7" i="63"/>
  <c r="AF67" i="25"/>
  <c r="C147" i="63"/>
  <c r="C364" i="63"/>
  <c r="C175" i="63"/>
  <c r="C302" i="63"/>
  <c r="C395" i="63"/>
  <c r="C333" i="63"/>
  <c r="C209" i="63"/>
  <c r="C239" i="63"/>
  <c r="C271" i="63"/>
  <c r="D175" i="63" l="1"/>
  <c r="A177" i="63"/>
  <c r="BA126" i="34"/>
  <c r="D364" i="63"/>
  <c r="D395" i="63"/>
  <c r="D147" i="63"/>
  <c r="D271" i="63"/>
  <c r="D333" i="63"/>
  <c r="D302" i="63"/>
  <c r="A365" i="63"/>
  <c r="A396" i="63"/>
  <c r="A272" i="63"/>
  <c r="A334" i="63"/>
  <c r="A303" i="63"/>
  <c r="D209" i="63"/>
  <c r="D239" i="63"/>
  <c r="A211" i="63"/>
  <c r="A241" i="63"/>
  <c r="A148" i="63"/>
  <c r="A8" i="63"/>
  <c r="A9" i="63" s="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33" i="63" s="1"/>
  <c r="A34" i="63" s="1"/>
  <c r="A35" i="63" s="1"/>
  <c r="A36" i="63" s="1"/>
  <c r="A37" i="63" s="1"/>
  <c r="A38" i="63" s="1"/>
  <c r="A39" i="63" s="1"/>
  <c r="A40" i="63" s="1"/>
  <c r="A41" i="63" s="1"/>
  <c r="A42" i="63" s="1"/>
  <c r="A43" i="63" s="1"/>
  <c r="A44" i="63" s="1"/>
  <c r="A45" i="63" s="1"/>
  <c r="A46" i="63" s="1"/>
  <c r="A47" i="63" s="1"/>
  <c r="A48" i="63" s="1"/>
  <c r="A49" i="63" s="1"/>
  <c r="A50" i="63" s="1"/>
  <c r="A51" i="63" s="1"/>
  <c r="A52" i="63" s="1"/>
  <c r="A53" i="63" s="1"/>
  <c r="A54" i="63" s="1"/>
  <c r="A55" i="63" s="1"/>
  <c r="A56" i="63" s="1"/>
  <c r="A57" i="63" s="1"/>
  <c r="A58" i="63" s="1"/>
  <c r="A59" i="63" s="1"/>
  <c r="A60" i="63" s="1"/>
  <c r="A61" i="63" s="1"/>
  <c r="A62" i="63" s="1"/>
  <c r="A63" i="63" s="1"/>
  <c r="A64" i="63" s="1"/>
  <c r="A65" i="63" s="1"/>
  <c r="A66" i="63" s="1"/>
  <c r="A67" i="63" s="1"/>
  <c r="A68" i="63" s="1"/>
  <c r="A69" i="63" s="1"/>
  <c r="A70" i="63" s="1"/>
  <c r="A71" i="63" s="1"/>
  <c r="A72" i="63" s="1"/>
  <c r="A73" i="63" s="1"/>
  <c r="A74" i="63" s="1"/>
  <c r="A75" i="63" s="1"/>
  <c r="A76" i="63" s="1"/>
  <c r="A77" i="63" s="1"/>
  <c r="A78" i="63" s="1"/>
  <c r="A79" i="63" s="1"/>
  <c r="A80" i="63" s="1"/>
  <c r="A81" i="63" s="1"/>
  <c r="A82" i="63" s="1"/>
  <c r="A83" i="63" s="1"/>
  <c r="A84" i="63" s="1"/>
  <c r="A85" i="63" s="1"/>
  <c r="A86" i="63" s="1"/>
  <c r="A87" i="63" s="1"/>
  <c r="A88" i="63" s="1"/>
  <c r="A89" i="63" s="1"/>
  <c r="AP66" i="38"/>
  <c r="AQ66" i="38"/>
  <c r="AO66" i="38"/>
  <c r="C365" i="63"/>
  <c r="C176" i="63"/>
  <c r="C240" i="63"/>
  <c r="C334" i="63"/>
  <c r="C210" i="63"/>
  <c r="C148" i="63"/>
  <c r="C396" i="63"/>
  <c r="C272" i="63"/>
  <c r="C303" i="63"/>
  <c r="D176" i="63" l="1"/>
  <c r="A178" i="63"/>
  <c r="BA127" i="34"/>
  <c r="D334" i="63"/>
  <c r="D148" i="63"/>
  <c r="D303" i="63"/>
  <c r="D272" i="63"/>
  <c r="D365" i="63"/>
  <c r="D396" i="63"/>
  <c r="A335" i="63"/>
  <c r="A304" i="63"/>
  <c r="A273" i="63"/>
  <c r="A366" i="63"/>
  <c r="A397" i="63"/>
  <c r="D240" i="63"/>
  <c r="D210" i="63"/>
  <c r="A242" i="63"/>
  <c r="A212" i="63"/>
  <c r="A149" i="63"/>
  <c r="C273" i="63"/>
  <c r="C304" i="63"/>
  <c r="C397" i="63"/>
  <c r="C211" i="63"/>
  <c r="C177" i="63"/>
  <c r="C366" i="63"/>
  <c r="C149" i="63"/>
  <c r="C241" i="63"/>
  <c r="C335" i="63"/>
  <c r="D177" i="63" l="1"/>
  <c r="A179" i="63"/>
  <c r="BA128" i="34"/>
  <c r="D335" i="63"/>
  <c r="D304" i="63"/>
  <c r="D149" i="63"/>
  <c r="D366" i="63"/>
  <c r="D397" i="63"/>
  <c r="D273" i="63"/>
  <c r="A336" i="63"/>
  <c r="A305" i="63"/>
  <c r="A367" i="63"/>
  <c r="A398" i="63"/>
  <c r="A274" i="63"/>
  <c r="D241" i="63"/>
  <c r="D211" i="63"/>
  <c r="A213" i="63"/>
  <c r="A243" i="63"/>
  <c r="A150" i="63"/>
  <c r="A50" i="34"/>
  <c r="A31" i="34"/>
  <c r="A51" i="34" s="1"/>
  <c r="V50" i="38"/>
  <c r="V45" i="38"/>
  <c r="A61" i="39"/>
  <c r="A54" i="39"/>
  <c r="A62" i="39" s="1"/>
  <c r="C305" i="63"/>
  <c r="C212" i="63"/>
  <c r="C150" i="63"/>
  <c r="C274" i="63"/>
  <c r="C336" i="63"/>
  <c r="C242" i="63"/>
  <c r="C178" i="63"/>
  <c r="C367" i="63"/>
  <c r="C398" i="63"/>
  <c r="D178" i="63" l="1"/>
  <c r="A180" i="63"/>
  <c r="AO64" i="34"/>
  <c r="BA129" i="34"/>
  <c r="D336" i="63"/>
  <c r="D274" i="63"/>
  <c r="D398" i="63"/>
  <c r="D305" i="63"/>
  <c r="D150" i="63"/>
  <c r="D367" i="63"/>
  <c r="A337" i="63"/>
  <c r="A275" i="63"/>
  <c r="A399" i="63"/>
  <c r="A306" i="63"/>
  <c r="A368" i="63"/>
  <c r="D242" i="63"/>
  <c r="D212" i="63"/>
  <c r="A244" i="63"/>
  <c r="A214" i="63"/>
  <c r="A151" i="63"/>
  <c r="A32" i="34"/>
  <c r="A55" i="39"/>
  <c r="A46" i="38"/>
  <c r="A55" i="38"/>
  <c r="Z52" i="38"/>
  <c r="Y52" i="38"/>
  <c r="Z50" i="38"/>
  <c r="Y50" i="38"/>
  <c r="Z48" i="38"/>
  <c r="Y48" i="38"/>
  <c r="Z46" i="38"/>
  <c r="Y46" i="38"/>
  <c r="Z42" i="38"/>
  <c r="Y42" i="38"/>
  <c r="Z40" i="38"/>
  <c r="Y40" i="38"/>
  <c r="Z38" i="38"/>
  <c r="Y38" i="38"/>
  <c r="Z36" i="38"/>
  <c r="Y36" i="38"/>
  <c r="Z32" i="38"/>
  <c r="Y32" i="38"/>
  <c r="Z30" i="38"/>
  <c r="Y30" i="38"/>
  <c r="Z28" i="38"/>
  <c r="Y28" i="38"/>
  <c r="Z26" i="38"/>
  <c r="Y26" i="38"/>
  <c r="Z16" i="38"/>
  <c r="Y16" i="38"/>
  <c r="C275" i="63"/>
  <c r="C399" i="63"/>
  <c r="C243" i="63"/>
  <c r="C368" i="63"/>
  <c r="C213" i="63"/>
  <c r="C179" i="63"/>
  <c r="C151" i="63"/>
  <c r="C337" i="63"/>
  <c r="C306" i="63"/>
  <c r="D179" i="63" l="1"/>
  <c r="A181" i="63"/>
  <c r="A56" i="38"/>
  <c r="Y47" i="38"/>
  <c r="F46" i="38" s="1"/>
  <c r="Z47" i="38"/>
  <c r="M46" i="38" s="1"/>
  <c r="A56" i="39"/>
  <c r="Y55" i="39"/>
  <c r="AC55" i="39"/>
  <c r="Z55" i="39"/>
  <c r="AB55" i="39"/>
  <c r="Y33" i="38"/>
  <c r="F32" i="38" s="1"/>
  <c r="Y43" i="38"/>
  <c r="F42" i="38" s="1"/>
  <c r="Z33" i="38"/>
  <c r="M32" i="38" s="1"/>
  <c r="BA130" i="34"/>
  <c r="BA131" i="34" s="1"/>
  <c r="BA132" i="34" s="1"/>
  <c r="BA133" i="34" s="1"/>
  <c r="BA134" i="34" s="1"/>
  <c r="BA135" i="34" s="1"/>
  <c r="BA136" i="34" s="1"/>
  <c r="BA137" i="34" s="1"/>
  <c r="Y41" i="38"/>
  <c r="F40" i="38" s="1"/>
  <c r="Y39" i="38"/>
  <c r="F38" i="38" s="1"/>
  <c r="Y37" i="38"/>
  <c r="F36" i="38" s="1"/>
  <c r="Y31" i="38"/>
  <c r="F30" i="38" s="1"/>
  <c r="Y29" i="38"/>
  <c r="F28" i="38" s="1"/>
  <c r="Y27" i="38"/>
  <c r="F26" i="38" s="1"/>
  <c r="D337" i="63"/>
  <c r="D368" i="63"/>
  <c r="D151" i="63"/>
  <c r="D306" i="63"/>
  <c r="D399" i="63"/>
  <c r="D275" i="63"/>
  <c r="A338" i="63"/>
  <c r="A369" i="63"/>
  <c r="A307" i="63"/>
  <c r="A400" i="63"/>
  <c r="A276" i="63"/>
  <c r="D213" i="63"/>
  <c r="D243" i="63"/>
  <c r="A215" i="63"/>
  <c r="A245" i="63"/>
  <c r="A152" i="63"/>
  <c r="Y18" i="38"/>
  <c r="Y20" i="38"/>
  <c r="Z18" i="38"/>
  <c r="Y22" i="38"/>
  <c r="Z20" i="38"/>
  <c r="Z22" i="38"/>
  <c r="A52" i="34"/>
  <c r="A33" i="34"/>
  <c r="A53" i="34" s="1"/>
  <c r="A63" i="39"/>
  <c r="A64" i="39"/>
  <c r="A47" i="38"/>
  <c r="A48" i="38" s="1"/>
  <c r="Z37" i="38"/>
  <c r="M36" i="38" s="1"/>
  <c r="Z39" i="38"/>
  <c r="Z43" i="38"/>
  <c r="M42" i="38" s="1"/>
  <c r="Z41" i="38"/>
  <c r="M40" i="38" s="1"/>
  <c r="Z31" i="38"/>
  <c r="M30" i="38" s="1"/>
  <c r="Z29" i="38"/>
  <c r="Z27" i="38"/>
  <c r="M26" i="38" s="1"/>
  <c r="C152" i="63"/>
  <c r="C276" i="63"/>
  <c r="C400" i="63"/>
  <c r="C369" i="63"/>
  <c r="C214" i="63"/>
  <c r="C307" i="63"/>
  <c r="C180" i="63"/>
  <c r="C338" i="63"/>
  <c r="C244" i="63"/>
  <c r="D180" i="63" l="1"/>
  <c r="AN52" i="34"/>
  <c r="AM52" i="34"/>
  <c r="AL52" i="34"/>
  <c r="AK52" i="34"/>
  <c r="A182" i="63"/>
  <c r="A49" i="38"/>
  <c r="A50" i="38" s="1"/>
  <c r="Y49" i="38"/>
  <c r="F48" i="38" s="1"/>
  <c r="Z49" i="38"/>
  <c r="M48" i="38" s="1"/>
  <c r="A57" i="39"/>
  <c r="AB56" i="39"/>
  <c r="Z56" i="39"/>
  <c r="Y56" i="39"/>
  <c r="AC56" i="39"/>
  <c r="M38" i="38"/>
  <c r="M28" i="38"/>
  <c r="D338" i="63"/>
  <c r="D307" i="63"/>
  <c r="D152" i="63"/>
  <c r="D276" i="63"/>
  <c r="D400" i="63"/>
  <c r="D369" i="63"/>
  <c r="A339" i="63"/>
  <c r="A308" i="63"/>
  <c r="A277" i="63"/>
  <c r="A401" i="63"/>
  <c r="A370" i="63"/>
  <c r="D244" i="63"/>
  <c r="D214" i="63"/>
  <c r="A246" i="63"/>
  <c r="A216" i="63"/>
  <c r="A153" i="63"/>
  <c r="A57" i="38"/>
  <c r="D43" i="62"/>
  <c r="D42" i="62"/>
  <c r="C43" i="62"/>
  <c r="C42" i="62"/>
  <c r="C401" i="63"/>
  <c r="C277" i="63"/>
  <c r="C153" i="63"/>
  <c r="C308" i="63"/>
  <c r="C245" i="63"/>
  <c r="C181" i="63"/>
  <c r="C339" i="63"/>
  <c r="C370" i="63"/>
  <c r="C215" i="63"/>
  <c r="D181" i="63" l="1"/>
  <c r="A183" i="63"/>
  <c r="A51" i="38"/>
  <c r="A52" i="38" s="1"/>
  <c r="Y51" i="38"/>
  <c r="F50" i="38" s="1"/>
  <c r="Z51" i="38"/>
  <c r="M50" i="38" s="1"/>
  <c r="AB57" i="39"/>
  <c r="Z57" i="39"/>
  <c r="Y57" i="39"/>
  <c r="AC57" i="39"/>
  <c r="A58" i="39"/>
  <c r="A65" i="39"/>
  <c r="D339" i="63"/>
  <c r="D370" i="63"/>
  <c r="D308" i="63"/>
  <c r="D401" i="63"/>
  <c r="D153" i="63"/>
  <c r="D277" i="63"/>
  <c r="A340" i="63"/>
  <c r="A371" i="63"/>
  <c r="A309" i="63"/>
  <c r="A402" i="63"/>
  <c r="A278" i="63"/>
  <c r="D215" i="63"/>
  <c r="D245" i="63"/>
  <c r="A217" i="63"/>
  <c r="A247" i="63"/>
  <c r="A154" i="63"/>
  <c r="A58" i="38"/>
  <c r="A59" i="38"/>
  <c r="A7" i="62"/>
  <c r="A8" i="62" s="1"/>
  <c r="A9" i="62" s="1"/>
  <c r="A10" i="62" s="1"/>
  <c r="A11" i="62" s="1"/>
  <c r="A12" i="62" s="1"/>
  <c r="A13" i="62" s="1"/>
  <c r="A14" i="62" s="1"/>
  <c r="A15" i="62" s="1"/>
  <c r="A16" i="62" s="1"/>
  <c r="C246" i="63"/>
  <c r="C216" i="63"/>
  <c r="C402" i="63"/>
  <c r="C371" i="63"/>
  <c r="C182" i="63"/>
  <c r="C154" i="63"/>
  <c r="C309" i="63"/>
  <c r="C340" i="63"/>
  <c r="C278" i="63"/>
  <c r="D182" i="63" l="1"/>
  <c r="A184" i="63"/>
  <c r="A53" i="38"/>
  <c r="A54" i="38" s="1"/>
  <c r="Y53" i="38"/>
  <c r="F52" i="38" s="1"/>
  <c r="Z53" i="38"/>
  <c r="M52" i="38" s="1"/>
  <c r="Y58" i="39"/>
  <c r="AC58" i="39"/>
  <c r="AB58" i="39"/>
  <c r="Z58" i="39"/>
  <c r="A59" i="39"/>
  <c r="A66" i="39"/>
  <c r="A17" i="62"/>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D340" i="63"/>
  <c r="D154" i="63"/>
  <c r="D371" i="63"/>
  <c r="D402" i="63"/>
  <c r="D278" i="63"/>
  <c r="D309" i="63"/>
  <c r="A341" i="63"/>
  <c r="A372" i="63"/>
  <c r="A403" i="63"/>
  <c r="A279" i="63"/>
  <c r="A310" i="63"/>
  <c r="D246" i="63"/>
  <c r="D216" i="63"/>
  <c r="A248" i="63"/>
  <c r="A218" i="63"/>
  <c r="A155" i="63"/>
  <c r="A60" i="38"/>
  <c r="C183" i="63"/>
  <c r="C217" i="63"/>
  <c r="C372" i="63"/>
  <c r="C403" i="63"/>
  <c r="C279" i="63"/>
  <c r="C155" i="63"/>
  <c r="C310" i="63"/>
  <c r="C341" i="63"/>
  <c r="C247" i="63"/>
  <c r="D183" i="63" l="1"/>
  <c r="A185" i="63"/>
  <c r="AC59" i="39"/>
  <c r="AB59" i="39"/>
  <c r="Z59" i="39"/>
  <c r="Y59" i="39"/>
  <c r="A60" i="39"/>
  <c r="A67" i="39"/>
  <c r="A39" i="62"/>
  <c r="A40" i="62" s="1"/>
  <c r="A41" i="62" s="1"/>
  <c r="A42" i="62" s="1"/>
  <c r="A43" i="62" s="1"/>
  <c r="A44" i="62" s="1"/>
  <c r="A45" i="62" s="1"/>
  <c r="A46" i="62" s="1"/>
  <c r="A47" i="62" s="1"/>
  <c r="A48" i="62" s="1"/>
  <c r="A49" i="62" s="1"/>
  <c r="A50" i="62" s="1"/>
  <c r="A51" i="62" s="1"/>
  <c r="A52" i="62" s="1"/>
  <c r="A53" i="62" s="1"/>
  <c r="A54" i="62" s="1"/>
  <c r="A55" i="62" s="1"/>
  <c r="A56" i="62" s="1"/>
  <c r="A57" i="62" s="1"/>
  <c r="A58" i="62" s="1"/>
  <c r="A59" i="62" s="1"/>
  <c r="A60" i="62" s="1"/>
  <c r="A61" i="62" s="1"/>
  <c r="A62" i="62" s="1"/>
  <c r="A63" i="62" s="1"/>
  <c r="A64" i="62" s="1"/>
  <c r="A65" i="62" s="1"/>
  <c r="A66" i="62" s="1"/>
  <c r="A67" i="62" s="1"/>
  <c r="A68" i="62" s="1"/>
  <c r="A69" i="62" s="1"/>
  <c r="A70" i="62" s="1"/>
  <c r="A71" i="62" s="1"/>
  <c r="A72" i="62" s="1"/>
  <c r="A73" i="62" s="1"/>
  <c r="A74" i="62" s="1"/>
  <c r="A75" i="62" s="1"/>
  <c r="A76" i="62" s="1"/>
  <c r="A77" i="62" s="1"/>
  <c r="A78" i="62" s="1"/>
  <c r="A79" i="62" s="1"/>
  <c r="A80" i="62" s="1"/>
  <c r="A81" i="62" s="1"/>
  <c r="A82" i="62" s="1"/>
  <c r="A83" i="62" s="1"/>
  <c r="A84" i="62" s="1"/>
  <c r="A85" i="62" s="1"/>
  <c r="A86" i="62" s="1"/>
  <c r="A87" i="62" s="1"/>
  <c r="A88" i="62" s="1"/>
  <c r="A89" i="62" s="1"/>
  <c r="A90" i="62" s="1"/>
  <c r="A91" i="62" s="1"/>
  <c r="A92" i="62" s="1"/>
  <c r="A93" i="62" s="1"/>
  <c r="A94" i="62" s="1"/>
  <c r="A95" i="62" s="1"/>
  <c r="A96" i="62" s="1"/>
  <c r="A97" i="62" s="1"/>
  <c r="A98" i="62" s="1"/>
  <c r="A99" i="62" s="1"/>
  <c r="A100" i="62" s="1"/>
  <c r="A101" i="62" s="1"/>
  <c r="A102" i="62" s="1"/>
  <c r="A103" i="62" s="1"/>
  <c r="A104" i="62" s="1"/>
  <c r="A105" i="62" s="1"/>
  <c r="A106" i="62" s="1"/>
  <c r="A107" i="62" s="1"/>
  <c r="A108" i="62" s="1"/>
  <c r="A109" i="62" s="1"/>
  <c r="A110" i="62" s="1"/>
  <c r="A111" i="62" s="1"/>
  <c r="A112" i="62" s="1"/>
  <c r="A113" i="62" s="1"/>
  <c r="A114" i="62" s="1"/>
  <c r="A115" i="62" s="1"/>
  <c r="A116" i="62" s="1"/>
  <c r="A117" i="62" s="1"/>
  <c r="A118" i="62" s="1"/>
  <c r="A119" i="62" s="1"/>
  <c r="A120" i="62" s="1"/>
  <c r="A121" i="62" s="1"/>
  <c r="A122" i="62" s="1"/>
  <c r="A123" i="62" s="1"/>
  <c r="A124" i="62" s="1"/>
  <c r="A125" i="62" s="1"/>
  <c r="A126" i="62" s="1"/>
  <c r="A127" i="62" s="1"/>
  <c r="A128" i="62" s="1"/>
  <c r="A129" i="62" s="1"/>
  <c r="A130" i="62" s="1"/>
  <c r="A131" i="62" s="1"/>
  <c r="A132" i="62" s="1"/>
  <c r="A133" i="62" s="1"/>
  <c r="A134" i="62" s="1"/>
  <c r="A135" i="62" s="1"/>
  <c r="A136" i="62" s="1"/>
  <c r="A137" i="62" s="1"/>
  <c r="A138" i="62" s="1"/>
  <c r="A139" i="62" s="1"/>
  <c r="A140" i="62" s="1"/>
  <c r="A141" i="62" s="1"/>
  <c r="A142" i="62" s="1"/>
  <c r="A143" i="62" s="1"/>
  <c r="A144" i="62" s="1"/>
  <c r="A145" i="62" s="1"/>
  <c r="A146" i="62" s="1"/>
  <c r="A147" i="62" s="1"/>
  <c r="A148" i="62" s="1"/>
  <c r="A149" i="62" s="1"/>
  <c r="A150" i="62" s="1"/>
  <c r="A151" i="62" s="1"/>
  <c r="A152" i="62" s="1"/>
  <c r="A153" i="62" s="1"/>
  <c r="A154" i="62" s="1"/>
  <c r="A155" i="62" s="1"/>
  <c r="A156" i="62" s="1"/>
  <c r="A157" i="62" s="1"/>
  <c r="A158" i="62" s="1"/>
  <c r="A159" i="62" s="1"/>
  <c r="A160" i="62" s="1"/>
  <c r="A161" i="62" s="1"/>
  <c r="A162" i="62" s="1"/>
  <c r="A163" i="62" s="1"/>
  <c r="A164" i="62" s="1"/>
  <c r="A165" i="62" s="1"/>
  <c r="A166" i="62" s="1"/>
  <c r="A167" i="62" s="1"/>
  <c r="A168" i="62" s="1"/>
  <c r="A169" i="62" s="1"/>
  <c r="A170" i="62" s="1"/>
  <c r="A171" i="62" s="1"/>
  <c r="A172" i="62" s="1"/>
  <c r="A173" i="62" s="1"/>
  <c r="A174" i="62" s="1"/>
  <c r="A175" i="62" s="1"/>
  <c r="A176" i="62" s="1"/>
  <c r="A177" i="62" s="1"/>
  <c r="A178" i="62" s="1"/>
  <c r="A179" i="62" s="1"/>
  <c r="A180" i="62" s="1"/>
  <c r="A181" i="62" s="1"/>
  <c r="A182" i="62" s="1"/>
  <c r="A183" i="62" s="1"/>
  <c r="A184" i="62" s="1"/>
  <c r="A185" i="62" s="1"/>
  <c r="A186" i="62" s="1"/>
  <c r="A187" i="62" s="1"/>
  <c r="A188" i="62" s="1"/>
  <c r="A189" i="62" s="1"/>
  <c r="A190" i="62" s="1"/>
  <c r="A191" i="62" s="1"/>
  <c r="A192" i="62" s="1"/>
  <c r="A193" i="62" s="1"/>
  <c r="A194" i="62" s="1"/>
  <c r="A195" i="62" s="1"/>
  <c r="A196" i="62" s="1"/>
  <c r="A197" i="62" s="1"/>
  <c r="A198" i="62" s="1"/>
  <c r="A199" i="62" s="1"/>
  <c r="A200" i="62" s="1"/>
  <c r="A201" i="62" s="1"/>
  <c r="A202" i="62" s="1"/>
  <c r="A203" i="62" s="1"/>
  <c r="A204" i="62" s="1"/>
  <c r="A205" i="62" s="1"/>
  <c r="A206" i="62" s="1"/>
  <c r="A207" i="62" s="1"/>
  <c r="A208" i="62" s="1"/>
  <c r="A209" i="62" s="1"/>
  <c r="A210" i="62" s="1"/>
  <c r="A211" i="62" s="1"/>
  <c r="A212" i="62" s="1"/>
  <c r="A213" i="62" s="1"/>
  <c r="A214" i="62" s="1"/>
  <c r="A215" i="62" s="1"/>
  <c r="A216" i="62" s="1"/>
  <c r="A217" i="62" s="1"/>
  <c r="A218" i="62" s="1"/>
  <c r="A219" i="62" s="1"/>
  <c r="A220" i="62" s="1"/>
  <c r="A221" i="62" s="1"/>
  <c r="A222" i="62" s="1"/>
  <c r="A223" i="62" s="1"/>
  <c r="A224" i="62" s="1"/>
  <c r="A225" i="62" s="1"/>
  <c r="A226" i="62" s="1"/>
  <c r="A227" i="62" s="1"/>
  <c r="A228" i="62" s="1"/>
  <c r="A229" i="62" s="1"/>
  <c r="A230" i="62" s="1"/>
  <c r="A231" i="62" s="1"/>
  <c r="A232" i="62" s="1"/>
  <c r="A233" i="62" s="1"/>
  <c r="A234" i="62" s="1"/>
  <c r="A235" i="62" s="1"/>
  <c r="A236" i="62" s="1"/>
  <c r="A237" i="62" s="1"/>
  <c r="A238" i="62" s="1"/>
  <c r="A239" i="62" s="1"/>
  <c r="A240" i="62" s="1"/>
  <c r="A241" i="62" s="1"/>
  <c r="A242" i="62" s="1"/>
  <c r="A243" i="62" s="1"/>
  <c r="A244" i="62" s="1"/>
  <c r="A245" i="62" s="1"/>
  <c r="A246" i="62" s="1"/>
  <c r="A247" i="62" s="1"/>
  <c r="A248" i="62" s="1"/>
  <c r="A249" i="62" s="1"/>
  <c r="A250" i="62" s="1"/>
  <c r="D372" i="63"/>
  <c r="D341" i="63"/>
  <c r="D310" i="63"/>
  <c r="D279" i="63"/>
  <c r="D155" i="63"/>
  <c r="D403" i="63"/>
  <c r="A373" i="63"/>
  <c r="A342" i="63"/>
  <c r="A311" i="63"/>
  <c r="A280" i="63"/>
  <c r="A404" i="63"/>
  <c r="D217" i="63"/>
  <c r="D247" i="63"/>
  <c r="A219" i="63"/>
  <c r="A249" i="63"/>
  <c r="A156" i="63"/>
  <c r="A61" i="38"/>
  <c r="C63" i="60"/>
  <c r="D63" i="60" s="1"/>
  <c r="C62" i="60"/>
  <c r="D62" i="60" s="1"/>
  <c r="C61" i="60"/>
  <c r="D61" i="60" s="1"/>
  <c r="C218" i="63"/>
  <c r="C248" i="63"/>
  <c r="C373" i="63"/>
  <c r="C280" i="63"/>
  <c r="C156" i="63"/>
  <c r="C311" i="63"/>
  <c r="C404" i="63"/>
  <c r="C184" i="63"/>
  <c r="C342" i="63"/>
  <c r="D184" i="63" l="1"/>
  <c r="A186" i="63"/>
  <c r="A68" i="39"/>
  <c r="Z60" i="39"/>
  <c r="AC60" i="39"/>
  <c r="Y60" i="39"/>
  <c r="AB60" i="39"/>
  <c r="D342" i="63"/>
  <c r="D373" i="63"/>
  <c r="D311" i="63"/>
  <c r="D156" i="63"/>
  <c r="D404" i="63"/>
  <c r="D280" i="63"/>
  <c r="A343" i="63"/>
  <c r="A374" i="63"/>
  <c r="A312" i="63"/>
  <c r="A405" i="63"/>
  <c r="A281" i="63"/>
  <c r="D248" i="63"/>
  <c r="D218" i="63"/>
  <c r="A250" i="63"/>
  <c r="A220" i="63"/>
  <c r="A157" i="63"/>
  <c r="A62" i="38"/>
  <c r="C157" i="63"/>
  <c r="C185" i="63"/>
  <c r="C312" i="63"/>
  <c r="C219" i="63"/>
  <c r="C405" i="63"/>
  <c r="C343" i="63"/>
  <c r="C374" i="63"/>
  <c r="C249" i="63"/>
  <c r="C281" i="63"/>
  <c r="D185" i="63" l="1"/>
  <c r="A187" i="63"/>
  <c r="D281" i="63"/>
  <c r="D405" i="63"/>
  <c r="D374" i="63"/>
  <c r="D343" i="63"/>
  <c r="D157" i="63"/>
  <c r="D312" i="63"/>
  <c r="A282" i="63"/>
  <c r="A406" i="63"/>
  <c r="A375" i="63"/>
  <c r="A344" i="63"/>
  <c r="A313" i="63"/>
  <c r="D219" i="63"/>
  <c r="D249" i="63"/>
  <c r="A221" i="63"/>
  <c r="A251" i="63"/>
  <c r="A158" i="63"/>
  <c r="A64" i="38"/>
  <c r="A63" i="38"/>
  <c r="C313" i="63"/>
  <c r="C220" i="63"/>
  <c r="C158" i="63"/>
  <c r="C186" i="63"/>
  <c r="C406" i="63"/>
  <c r="C282" i="63"/>
  <c r="C375" i="63"/>
  <c r="C344" i="63"/>
  <c r="C250" i="63"/>
  <c r="D186" i="63" l="1"/>
  <c r="A188" i="63"/>
  <c r="D406" i="63"/>
  <c r="D313" i="63"/>
  <c r="D344" i="63"/>
  <c r="D282" i="63"/>
  <c r="D158" i="63"/>
  <c r="D375" i="63"/>
  <c r="A407" i="63"/>
  <c r="A314" i="63"/>
  <c r="A345" i="63"/>
  <c r="A283" i="63"/>
  <c r="A376" i="63"/>
  <c r="D220" i="63"/>
  <c r="D250" i="63"/>
  <c r="A222" i="63"/>
  <c r="A252" i="63"/>
  <c r="A159" i="63"/>
  <c r="C407" i="63"/>
  <c r="C376" i="63"/>
  <c r="C251" i="63"/>
  <c r="C221" i="63"/>
  <c r="C187" i="63"/>
  <c r="C159" i="63"/>
  <c r="C283" i="63"/>
  <c r="C314" i="63"/>
  <c r="C345" i="63"/>
  <c r="D187" i="63" l="1"/>
  <c r="A189" i="63"/>
  <c r="D407" i="63"/>
  <c r="D314" i="63"/>
  <c r="D159" i="63"/>
  <c r="D376" i="63"/>
  <c r="D283" i="63"/>
  <c r="D345" i="63"/>
  <c r="A408" i="63"/>
  <c r="A315" i="63"/>
  <c r="A377" i="63"/>
  <c r="A284" i="63"/>
  <c r="A346" i="63"/>
  <c r="D221" i="63"/>
  <c r="D251" i="63"/>
  <c r="A253" i="63"/>
  <c r="A223" i="63"/>
  <c r="A160" i="63"/>
  <c r="C188" i="63"/>
  <c r="C408" i="63"/>
  <c r="C377" i="63"/>
  <c r="C346" i="63"/>
  <c r="C252" i="63"/>
  <c r="C160" i="63"/>
  <c r="C315" i="63"/>
  <c r="C222" i="63"/>
  <c r="C284" i="63"/>
  <c r="D188" i="63" l="1"/>
  <c r="A190" i="63"/>
  <c r="D346" i="63"/>
  <c r="D284" i="63"/>
  <c r="D315" i="63"/>
  <c r="D408" i="63"/>
  <c r="D160" i="63"/>
  <c r="D377" i="63"/>
  <c r="A347" i="63"/>
  <c r="A285" i="63"/>
  <c r="A316" i="63"/>
  <c r="A409" i="63"/>
  <c r="A378" i="63"/>
  <c r="D252" i="63"/>
  <c r="D222" i="63"/>
  <c r="A254" i="63"/>
  <c r="A224" i="63"/>
  <c r="A161" i="63"/>
  <c r="C378" i="63"/>
  <c r="C316" i="63"/>
  <c r="C223" i="63"/>
  <c r="C161" i="63"/>
  <c r="C285" i="63"/>
  <c r="C347" i="63"/>
  <c r="C189" i="63"/>
  <c r="C253" i="63"/>
  <c r="C409" i="63"/>
  <c r="D189" i="63" l="1"/>
  <c r="A191" i="63"/>
  <c r="D347" i="63"/>
  <c r="D285" i="63"/>
  <c r="D316" i="63"/>
  <c r="D161" i="63"/>
  <c r="D378" i="63"/>
  <c r="D409" i="63"/>
  <c r="A348" i="63"/>
  <c r="A286" i="63"/>
  <c r="A317" i="63"/>
  <c r="A379" i="63"/>
  <c r="A410" i="63"/>
  <c r="D253" i="63"/>
  <c r="D223" i="63"/>
  <c r="A225" i="63"/>
  <c r="A255" i="63"/>
  <c r="A162" i="63"/>
  <c r="C379" i="63"/>
  <c r="C410" i="63"/>
  <c r="C317" i="63"/>
  <c r="C348" i="63"/>
  <c r="C224" i="63"/>
  <c r="C190" i="63"/>
  <c r="C286" i="63"/>
  <c r="C162" i="63"/>
  <c r="C254" i="63"/>
  <c r="D190" i="63" l="1"/>
  <c r="A192" i="63"/>
  <c r="D286" i="63"/>
  <c r="D162" i="63"/>
  <c r="D379" i="63"/>
  <c r="D348" i="63"/>
  <c r="D410" i="63"/>
  <c r="D317" i="63"/>
  <c r="A287" i="63"/>
  <c r="A380" i="63"/>
  <c r="A349" i="63"/>
  <c r="A411" i="63"/>
  <c r="A318" i="63"/>
  <c r="D224" i="63"/>
  <c r="D254" i="63"/>
  <c r="A256" i="63"/>
  <c r="A226" i="63"/>
  <c r="A163" i="63"/>
  <c r="A7" i="61"/>
  <c r="A8" i="61" s="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51" i="61" s="1"/>
  <c r="A52" i="61" s="1"/>
  <c r="A53" i="61" s="1"/>
  <c r="A54" i="61" s="1"/>
  <c r="A55" i="61" s="1"/>
  <c r="A56" i="61" s="1"/>
  <c r="A57" i="61" s="1"/>
  <c r="A58" i="61" s="1"/>
  <c r="A59" i="61" s="1"/>
  <c r="A60" i="61" s="1"/>
  <c r="A61" i="61" s="1"/>
  <c r="A62" i="61" s="1"/>
  <c r="A63" i="61" s="1"/>
  <c r="A64" i="61" s="1"/>
  <c r="A65" i="61" s="1"/>
  <c r="A66" i="61" s="1"/>
  <c r="A67" i="61" s="1"/>
  <c r="A68" i="61" s="1"/>
  <c r="A69" i="61" s="1"/>
  <c r="A70" i="61" s="1"/>
  <c r="A71" i="61" s="1"/>
  <c r="A72" i="61" s="1"/>
  <c r="A73" i="61" s="1"/>
  <c r="A74" i="61" s="1"/>
  <c r="A75" i="61" s="1"/>
  <c r="A76" i="61" s="1"/>
  <c r="A77" i="61" s="1"/>
  <c r="A78" i="61" s="1"/>
  <c r="A79" i="61" s="1"/>
  <c r="A80" i="61" s="1"/>
  <c r="A81" i="61" s="1"/>
  <c r="A82" i="61" s="1"/>
  <c r="A83" i="61" s="1"/>
  <c r="A84" i="61" s="1"/>
  <c r="A85" i="61" s="1"/>
  <c r="A86" i="61" s="1"/>
  <c r="A87" i="61" s="1"/>
  <c r="A88" i="61" s="1"/>
  <c r="A89" i="61" s="1"/>
  <c r="A90" i="61" s="1"/>
  <c r="A91" i="61" s="1"/>
  <c r="A92" i="61" s="1"/>
  <c r="A93" i="61" s="1"/>
  <c r="A94" i="61" s="1"/>
  <c r="A95" i="61" s="1"/>
  <c r="A96" i="61" s="1"/>
  <c r="A97" i="61" s="1"/>
  <c r="A98" i="61" s="1"/>
  <c r="A99" i="61" s="1"/>
  <c r="A100" i="61" s="1"/>
  <c r="A101" i="61" s="1"/>
  <c r="A102" i="61" s="1"/>
  <c r="A103" i="61" s="1"/>
  <c r="A104" i="61" s="1"/>
  <c r="A105" i="61" s="1"/>
  <c r="A106" i="61" s="1"/>
  <c r="A107" i="61" s="1"/>
  <c r="A108" i="61" s="1"/>
  <c r="A109" i="61" s="1"/>
  <c r="A110" i="61" s="1"/>
  <c r="A111" i="61" s="1"/>
  <c r="A112" i="61" s="1"/>
  <c r="A113" i="61" s="1"/>
  <c r="A114" i="61" s="1"/>
  <c r="A115" i="61" s="1"/>
  <c r="A116" i="61" s="1"/>
  <c r="A117" i="61" s="1"/>
  <c r="A118" i="61" s="1"/>
  <c r="A119" i="61" s="1"/>
  <c r="A120" i="61" s="1"/>
  <c r="A121" i="61" s="1"/>
  <c r="A122" i="61" s="1"/>
  <c r="A123" i="61" s="1"/>
  <c r="A124" i="61" s="1"/>
  <c r="A125" i="61" s="1"/>
  <c r="A126" i="61" s="1"/>
  <c r="A127" i="61" s="1"/>
  <c r="A128" i="61" s="1"/>
  <c r="A129" i="61" s="1"/>
  <c r="A130" i="61" s="1"/>
  <c r="A131" i="61" s="1"/>
  <c r="A132" i="61" s="1"/>
  <c r="A133" i="61" s="1"/>
  <c r="A134" i="61" s="1"/>
  <c r="A135" i="61" s="1"/>
  <c r="A136" i="61" s="1"/>
  <c r="A137" i="61" s="1"/>
  <c r="A138" i="61" s="1"/>
  <c r="A139" i="61" s="1"/>
  <c r="A140" i="61" s="1"/>
  <c r="A141" i="61" s="1"/>
  <c r="A142" i="61" s="1"/>
  <c r="A143" i="61" s="1"/>
  <c r="A144" i="61" s="1"/>
  <c r="A145" i="61" s="1"/>
  <c r="A146" i="61" s="1"/>
  <c r="A147" i="61" s="1"/>
  <c r="A148" i="61" s="1"/>
  <c r="A149" i="61" s="1"/>
  <c r="C191" i="63"/>
  <c r="C163" i="63"/>
  <c r="C411" i="63"/>
  <c r="C380" i="63"/>
  <c r="C255" i="63"/>
  <c r="C225" i="63"/>
  <c r="C349" i="63"/>
  <c r="C287" i="63"/>
  <c r="C318" i="63"/>
  <c r="D191" i="63" l="1"/>
  <c r="A193" i="63"/>
  <c r="A150" i="61"/>
  <c r="A151" i="61" s="1"/>
  <c r="A152" i="61" s="1"/>
  <c r="A153" i="61" s="1"/>
  <c r="A154" i="61" s="1"/>
  <c r="A155" i="61" s="1"/>
  <c r="A156" i="61" s="1"/>
  <c r="A157" i="61" s="1"/>
  <c r="A158" i="61" s="1"/>
  <c r="A159" i="61" s="1"/>
  <c r="A160" i="61" s="1"/>
  <c r="A161" i="61" s="1"/>
  <c r="A162" i="61" s="1"/>
  <c r="A163" i="61" s="1"/>
  <c r="A164" i="61" s="1"/>
  <c r="A165" i="61" s="1"/>
  <c r="A166" i="61" s="1"/>
  <c r="A167" i="61" s="1"/>
  <c r="A168" i="61" s="1"/>
  <c r="A169" i="61" s="1"/>
  <c r="A170" i="61" s="1"/>
  <c r="A171" i="61" s="1"/>
  <c r="A172" i="61" s="1"/>
  <c r="A173" i="61" s="1"/>
  <c r="A174" i="61" s="1"/>
  <c r="A175" i="61" s="1"/>
  <c r="A176" i="61" s="1"/>
  <c r="A177" i="61" s="1"/>
  <c r="A178" i="61" s="1"/>
  <c r="A179" i="61" s="1"/>
  <c r="A180" i="61" s="1"/>
  <c r="A181" i="61" s="1"/>
  <c r="A182" i="61" s="1"/>
  <c r="A183" i="61" s="1"/>
  <c r="A184" i="61" s="1"/>
  <c r="A185" i="61" s="1"/>
  <c r="A186" i="61" s="1"/>
  <c r="A187" i="61" s="1"/>
  <c r="A188" i="61" s="1"/>
  <c r="A189" i="61" s="1"/>
  <c r="A190" i="61" s="1"/>
  <c r="A191" i="61" s="1"/>
  <c r="A192" i="61" s="1"/>
  <c r="A193" i="61" s="1"/>
  <c r="A194" i="61" s="1"/>
  <c r="A195" i="61" s="1"/>
  <c r="A196" i="61" s="1"/>
  <c r="A197" i="61" s="1"/>
  <c r="A198" i="61" s="1"/>
  <c r="A199" i="61" s="1"/>
  <c r="A200" i="61" s="1"/>
  <c r="A201" i="61" s="1"/>
  <c r="A202" i="61" s="1"/>
  <c r="A203" i="61" s="1"/>
  <c r="A204" i="61" s="1"/>
  <c r="A205" i="61" s="1"/>
  <c r="A206" i="61" s="1"/>
  <c r="A207" i="61" s="1"/>
  <c r="A208" i="61" s="1"/>
  <c r="A209" i="61" s="1"/>
  <c r="A210" i="61" s="1"/>
  <c r="A211" i="61" s="1"/>
  <c r="A212" i="61" s="1"/>
  <c r="A213" i="61" s="1"/>
  <c r="A214" i="61" s="1"/>
  <c r="A215" i="61" s="1"/>
  <c r="A216" i="61" s="1"/>
  <c r="A217" i="61" s="1"/>
  <c r="A218" i="61" s="1"/>
  <c r="A219" i="61" s="1"/>
  <c r="A220" i="61" s="1"/>
  <c r="A221" i="61" s="1"/>
  <c r="A222" i="61" s="1"/>
  <c r="A223" i="61" s="1"/>
  <c r="A224" i="61" s="1"/>
  <c r="A225" i="61" s="1"/>
  <c r="A226" i="61" s="1"/>
  <c r="A227" i="61" s="1"/>
  <c r="A228" i="61" s="1"/>
  <c r="A229" i="61" s="1"/>
  <c r="A230" i="61" s="1"/>
  <c r="A231" i="61" s="1"/>
  <c r="A232" i="61" s="1"/>
  <c r="A233" i="61" s="1"/>
  <c r="A234" i="61" s="1"/>
  <c r="A235" i="61" s="1"/>
  <c r="A236" i="61" s="1"/>
  <c r="A237" i="61" s="1"/>
  <c r="A238" i="61" s="1"/>
  <c r="A239" i="61" s="1"/>
  <c r="A240" i="61" s="1"/>
  <c r="A241" i="61" s="1"/>
  <c r="A242" i="61" s="1"/>
  <c r="A243" i="61" s="1"/>
  <c r="A244" i="61" s="1"/>
  <c r="A245" i="61" s="1"/>
  <c r="A246" i="61" s="1"/>
  <c r="A247" i="61" s="1"/>
  <c r="A248" i="61" s="1"/>
  <c r="A249" i="61" s="1"/>
  <c r="A250" i="61" s="1"/>
  <c r="A251" i="61" s="1"/>
  <c r="A252" i="61" s="1"/>
  <c r="D163" i="63"/>
  <c r="D318" i="63"/>
  <c r="D411" i="63"/>
  <c r="D287" i="63"/>
  <c r="D349" i="63"/>
  <c r="D380" i="63"/>
  <c r="A319" i="63"/>
  <c r="A412" i="63"/>
  <c r="A288" i="63"/>
  <c r="A350" i="63"/>
  <c r="A381" i="63"/>
  <c r="D255" i="63"/>
  <c r="D225" i="63"/>
  <c r="A257" i="63"/>
  <c r="A227" i="63"/>
  <c r="C226" i="63"/>
  <c r="C227" i="63"/>
  <c r="C288" i="63"/>
  <c r="C256" i="63"/>
  <c r="C192" i="63"/>
  <c r="C350" i="63"/>
  <c r="C412" i="63"/>
  <c r="C319" i="63"/>
  <c r="C381" i="63"/>
  <c r="D192" i="63" l="1"/>
  <c r="A194" i="63"/>
  <c r="D350" i="63"/>
  <c r="D381" i="63"/>
  <c r="D288" i="63"/>
  <c r="D319" i="63"/>
  <c r="D412" i="63"/>
  <c r="A351" i="63"/>
  <c r="A382" i="63"/>
  <c r="A289" i="63"/>
  <c r="A320" i="63"/>
  <c r="A413" i="63"/>
  <c r="D226" i="63"/>
  <c r="D227" i="63"/>
  <c r="D256" i="63"/>
  <c r="A258" i="63"/>
  <c r="Z63" i="46"/>
  <c r="Z93" i="46" s="1"/>
  <c r="Z58" i="46"/>
  <c r="D44" i="46"/>
  <c r="D1" i="46"/>
  <c r="C1" i="46"/>
  <c r="B1" i="46"/>
  <c r="A1" i="46"/>
  <c r="AY171" i="34"/>
  <c r="AY170" i="34"/>
  <c r="AY169" i="34"/>
  <c r="AY168" i="34"/>
  <c r="AY167" i="34"/>
  <c r="AY166" i="34"/>
  <c r="AY165" i="34"/>
  <c r="AY164" i="34"/>
  <c r="AY163" i="34"/>
  <c r="AB74" i="34"/>
  <c r="AB86" i="34" s="1"/>
  <c r="AY162" i="34"/>
  <c r="AY161" i="34"/>
  <c r="AY160" i="34"/>
  <c r="AY159" i="34"/>
  <c r="AY158" i="34"/>
  <c r="AY157" i="34"/>
  <c r="AY156" i="34"/>
  <c r="AY155" i="34"/>
  <c r="AY154" i="34"/>
  <c r="AY153" i="34"/>
  <c r="AY152" i="34"/>
  <c r="D63" i="34"/>
  <c r="AY151" i="34"/>
  <c r="AY150" i="34"/>
  <c r="AY149" i="34"/>
  <c r="AY148" i="34"/>
  <c r="AY147" i="34"/>
  <c r="AY146" i="34"/>
  <c r="AY145" i="34"/>
  <c r="AY144" i="34"/>
  <c r="AY143" i="34"/>
  <c r="AJ58" i="34"/>
  <c r="AY142" i="34"/>
  <c r="AY141" i="34"/>
  <c r="AY140" i="34"/>
  <c r="AJ50" i="34"/>
  <c r="AJ44" i="34"/>
  <c r="AR52" i="34"/>
  <c r="AR47" i="34"/>
  <c r="AR51" i="34"/>
  <c r="AR46" i="34"/>
  <c r="AR50" i="34"/>
  <c r="AR45" i="34"/>
  <c r="AR49" i="34"/>
  <c r="AR44" i="34"/>
  <c r="AN28" i="34"/>
  <c r="AM28" i="34"/>
  <c r="AR42" i="34"/>
  <c r="AR37" i="34"/>
  <c r="AR41" i="34"/>
  <c r="AR36" i="34"/>
  <c r="AN26" i="34"/>
  <c r="AM26" i="34"/>
  <c r="AR40" i="34"/>
  <c r="AR35" i="34"/>
  <c r="AR39" i="34"/>
  <c r="AR34" i="34"/>
  <c r="AN24" i="34"/>
  <c r="AM24" i="34"/>
  <c r="AN22" i="34"/>
  <c r="AM22" i="34"/>
  <c r="AN20" i="34"/>
  <c r="AM20" i="34"/>
  <c r="AR32" i="34"/>
  <c r="AR27" i="34"/>
  <c r="AN18" i="34"/>
  <c r="AM18" i="34"/>
  <c r="AR31" i="34"/>
  <c r="AR26" i="34"/>
  <c r="AR30" i="34"/>
  <c r="AR25" i="34"/>
  <c r="AN16" i="34"/>
  <c r="AM16" i="34"/>
  <c r="AR29" i="34"/>
  <c r="AR24" i="34"/>
  <c r="AN14" i="34"/>
  <c r="AM14" i="34"/>
  <c r="AR22" i="34"/>
  <c r="AR21" i="34"/>
  <c r="AR16" i="34"/>
  <c r="AR20" i="34"/>
  <c r="AR15" i="34"/>
  <c r="AR19" i="34"/>
  <c r="D1" i="34"/>
  <c r="C1" i="34"/>
  <c r="B1" i="34"/>
  <c r="A1" i="34"/>
  <c r="D67" i="38"/>
  <c r="Z54" i="38"/>
  <c r="Y54" i="38"/>
  <c r="S51" i="38"/>
  <c r="S52" i="38" s="1"/>
  <c r="S53" i="38" s="1"/>
  <c r="S54" i="38" s="1"/>
  <c r="S46" i="38"/>
  <c r="S47" i="38" s="1"/>
  <c r="S48" i="38" s="1"/>
  <c r="S49" i="38" s="1"/>
  <c r="Z44" i="38"/>
  <c r="Y44" i="38"/>
  <c r="S41" i="38"/>
  <c r="S42" i="38" s="1"/>
  <c r="S43" i="38" s="1"/>
  <c r="S44" i="38" s="1"/>
  <c r="S36" i="38"/>
  <c r="S37" i="38" s="1"/>
  <c r="S38" i="38" s="1"/>
  <c r="S39" i="38" s="1"/>
  <c r="Z34" i="38"/>
  <c r="Y34" i="38"/>
  <c r="S31" i="38"/>
  <c r="S32" i="38" s="1"/>
  <c r="S33" i="38" s="1"/>
  <c r="S34" i="38" s="1"/>
  <c r="S26" i="38"/>
  <c r="S27" i="38" s="1"/>
  <c r="S28" i="38" s="1"/>
  <c r="S29" i="38" s="1"/>
  <c r="Z24" i="38"/>
  <c r="Y24" i="38"/>
  <c r="Z23" i="38"/>
  <c r="M22" i="38" s="1"/>
  <c r="Y23" i="38"/>
  <c r="F22" i="38" s="1"/>
  <c r="Z21" i="38"/>
  <c r="M20" i="38" s="1"/>
  <c r="Y21" i="38"/>
  <c r="F20" i="38" s="1"/>
  <c r="S21" i="38"/>
  <c r="S22" i="38" s="1"/>
  <c r="S23" i="38" s="1"/>
  <c r="S24" i="38" s="1"/>
  <c r="Z19" i="38"/>
  <c r="M18" i="38" s="1"/>
  <c r="Y19" i="38"/>
  <c r="F18" i="38" s="1"/>
  <c r="Z17" i="38"/>
  <c r="M16" i="38" s="1"/>
  <c r="Y17" i="38"/>
  <c r="F16" i="38" s="1"/>
  <c r="S16" i="38"/>
  <c r="S17" i="38" s="1"/>
  <c r="S18" i="38" s="1"/>
  <c r="S19" i="38" s="1"/>
  <c r="D1" i="38"/>
  <c r="C1" i="38"/>
  <c r="B1" i="38"/>
  <c r="A1" i="38"/>
  <c r="AA84" i="39"/>
  <c r="AA87" i="39" s="1"/>
  <c r="D72" i="39"/>
  <c r="P60" i="39"/>
  <c r="F60" i="39"/>
  <c r="AD59" i="39"/>
  <c r="AA59" i="39"/>
  <c r="P59" i="39"/>
  <c r="AQ69" i="39"/>
  <c r="F59" i="39"/>
  <c r="AD58" i="39"/>
  <c r="P58" i="39"/>
  <c r="F58" i="39"/>
  <c r="AA57" i="39"/>
  <c r="P57" i="39"/>
  <c r="AQ68" i="39"/>
  <c r="AR68" i="39"/>
  <c r="F57" i="39"/>
  <c r="P56" i="39"/>
  <c r="F56" i="39"/>
  <c r="P55" i="39"/>
  <c r="F55" i="39"/>
  <c r="Z50" i="39"/>
  <c r="P50" i="39"/>
  <c r="Y50" i="39"/>
  <c r="F50" i="39"/>
  <c r="P49" i="39"/>
  <c r="Z49" i="39"/>
  <c r="Y49" i="39"/>
  <c r="F49" i="39"/>
  <c r="Y48" i="39"/>
  <c r="P48" i="39"/>
  <c r="F48" i="39"/>
  <c r="Z47" i="39"/>
  <c r="AC47" i="39"/>
  <c r="P47" i="39"/>
  <c r="Y47" i="39"/>
  <c r="F47" i="39"/>
  <c r="Y46" i="39"/>
  <c r="P46" i="39"/>
  <c r="Z46" i="39"/>
  <c r="F46" i="39"/>
  <c r="Z45" i="39"/>
  <c r="Y45" i="39"/>
  <c r="AB45" i="39"/>
  <c r="P45" i="39"/>
  <c r="F45" i="39"/>
  <c r="AR40" i="39"/>
  <c r="P40" i="39"/>
  <c r="Z40" i="39"/>
  <c r="Y40" i="39"/>
  <c r="AA40" i="39" s="1"/>
  <c r="F40" i="39"/>
  <c r="Z39" i="39"/>
  <c r="AC39" i="39"/>
  <c r="AB39" i="39"/>
  <c r="P39" i="39"/>
  <c r="Y39" i="39"/>
  <c r="F39" i="39"/>
  <c r="AB38" i="39"/>
  <c r="Z38" i="39"/>
  <c r="Y38" i="39"/>
  <c r="AA38" i="39" s="1"/>
  <c r="AC38" i="39"/>
  <c r="P38" i="39"/>
  <c r="F38" i="39"/>
  <c r="AC37" i="39"/>
  <c r="AB37" i="39"/>
  <c r="Z37" i="39"/>
  <c r="P37" i="39"/>
  <c r="Y37" i="39"/>
  <c r="F37" i="39"/>
  <c r="Z36" i="39"/>
  <c r="Y36" i="39"/>
  <c r="AC36" i="39"/>
  <c r="P36" i="39"/>
  <c r="F36" i="39"/>
  <c r="AB35" i="39"/>
  <c r="Y35" i="39"/>
  <c r="P35" i="39"/>
  <c r="Z35" i="39"/>
  <c r="F35" i="39"/>
  <c r="AQ33" i="39"/>
  <c r="AQ32" i="39"/>
  <c r="AR30" i="39"/>
  <c r="AR31" i="39"/>
  <c r="AQ31" i="39"/>
  <c r="AQ30" i="39"/>
  <c r="AR33" i="39"/>
  <c r="AR32" i="39"/>
  <c r="Y30" i="39"/>
  <c r="AC30" i="39"/>
  <c r="AB30" i="39"/>
  <c r="AD30" i="39" s="1"/>
  <c r="Z30" i="39"/>
  <c r="Y29" i="39"/>
  <c r="AC29" i="39"/>
  <c r="AB29" i="39"/>
  <c r="Z29" i="39"/>
  <c r="Z28" i="39"/>
  <c r="AC28" i="39"/>
  <c r="AB28" i="39"/>
  <c r="AC27" i="39"/>
  <c r="AB27" i="39"/>
  <c r="Z27" i="39"/>
  <c r="Y27" i="39"/>
  <c r="AC26" i="39"/>
  <c r="Z26" i="39"/>
  <c r="Y26" i="39"/>
  <c r="AA26" i="39" s="1"/>
  <c r="AG12" i="39" s="1"/>
  <c r="AB26" i="39"/>
  <c r="AD26" i="39" s="1"/>
  <c r="AN15" i="39"/>
  <c r="AB25" i="39"/>
  <c r="Y25" i="39"/>
  <c r="AC25" i="39"/>
  <c r="Z25" i="39"/>
  <c r="AL24" i="39"/>
  <c r="AL15" i="39"/>
  <c r="AO14" i="39"/>
  <c r="AM14" i="39"/>
  <c r="AN13" i="39"/>
  <c r="AM12" i="39"/>
  <c r="D1" i="39"/>
  <c r="C1" i="39"/>
  <c r="B1" i="39"/>
  <c r="A1" i="39"/>
  <c r="B118" i="29"/>
  <c r="B119" i="29" s="1"/>
  <c r="B120" i="29" s="1"/>
  <c r="B121" i="29" s="1"/>
  <c r="B122" i="29" s="1"/>
  <c r="B123" i="29" s="1"/>
  <c r="B124" i="29" s="1"/>
  <c r="B125" i="29" s="1"/>
  <c r="B126" i="29" s="1"/>
  <c r="B127" i="29" s="1"/>
  <c r="B128" i="29" s="1"/>
  <c r="B129" i="29" s="1"/>
  <c r="B130" i="29" s="1"/>
  <c r="B131" i="29" s="1"/>
  <c r="B132" i="29" s="1"/>
  <c r="L106" i="29"/>
  <c r="T66" i="29"/>
  <c r="U65" i="29"/>
  <c r="T65" i="29"/>
  <c r="T64" i="29"/>
  <c r="T62" i="29"/>
  <c r="T60" i="29"/>
  <c r="U59" i="29"/>
  <c r="T59" i="29"/>
  <c r="T58" i="29"/>
  <c r="T57" i="29"/>
  <c r="T56" i="29"/>
  <c r="T54" i="29"/>
  <c r="T52" i="29"/>
  <c r="U51" i="29"/>
  <c r="T51" i="29"/>
  <c r="T50" i="29"/>
  <c r="T47" i="29"/>
  <c r="U46" i="29"/>
  <c r="T46" i="29"/>
  <c r="T42" i="29"/>
  <c r="U41" i="29"/>
  <c r="T41" i="29"/>
  <c r="T40" i="29"/>
  <c r="T39" i="29"/>
  <c r="T38" i="29"/>
  <c r="T37" i="29"/>
  <c r="U35" i="29"/>
  <c r="T35" i="29"/>
  <c r="A31" i="29"/>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30" i="29"/>
  <c r="U29" i="29"/>
  <c r="T29" i="29"/>
  <c r="T27" i="29"/>
  <c r="D1" i="29"/>
  <c r="C1" i="29"/>
  <c r="B1" i="29"/>
  <c r="A1" i="29"/>
  <c r="L98" i="25"/>
  <c r="L86" i="25"/>
  <c r="C86" i="25"/>
  <c r="C87" i="25" s="1"/>
  <c r="P71" i="25"/>
  <c r="P70" i="25"/>
  <c r="P69" i="25"/>
  <c r="P68" i="25"/>
  <c r="AG65" i="25"/>
  <c r="AC65" i="25"/>
  <c r="AF65" i="25" s="1"/>
  <c r="AB65" i="25"/>
  <c r="AE65" i="25" s="1"/>
  <c r="AA65" i="25"/>
  <c r="AD65" i="25" s="1"/>
  <c r="J45" i="25"/>
  <c r="M45" i="25" s="1"/>
  <c r="A6" i="60"/>
  <c r="A7" i="60" s="1"/>
  <c r="A8" i="60" s="1"/>
  <c r="A9" i="60" s="1"/>
  <c r="A10" i="60" s="1"/>
  <c r="A11" i="60" s="1"/>
  <c r="A12" i="60" s="1"/>
  <c r="A13" i="60" s="1"/>
  <c r="A14" i="60" s="1"/>
  <c r="A15" i="60" s="1"/>
  <c r="A16" i="60" s="1"/>
  <c r="A17" i="60" s="1"/>
  <c r="A18" i="60" s="1"/>
  <c r="A19" i="60" s="1"/>
  <c r="A20" i="60" s="1"/>
  <c r="A21" i="60" s="1"/>
  <c r="A22" i="60" s="1"/>
  <c r="A23" i="60" s="1"/>
  <c r="A24" i="60" s="1"/>
  <c r="A25" i="60" s="1"/>
  <c r="A26" i="60" s="1"/>
  <c r="A27" i="60" s="1"/>
  <c r="A28" i="60" s="1"/>
  <c r="A29" i="60" s="1"/>
  <c r="A30" i="60" s="1"/>
  <c r="A31" i="60" s="1"/>
  <c r="A32" i="60" s="1"/>
  <c r="A33" i="60" s="1"/>
  <c r="A34" i="60" s="1"/>
  <c r="A35" i="60" s="1"/>
  <c r="A36" i="60" s="1"/>
  <c r="A37" i="60" s="1"/>
  <c r="A38" i="60" s="1"/>
  <c r="A39" i="60" s="1"/>
  <c r="A40" i="60" s="1"/>
  <c r="A41" i="60" s="1"/>
  <c r="A42" i="60" s="1"/>
  <c r="A43" i="60" s="1"/>
  <c r="A44" i="60" s="1"/>
  <c r="A45" i="60" s="1"/>
  <c r="A46" i="60" s="1"/>
  <c r="A47" i="60" s="1"/>
  <c r="A48" i="60" s="1"/>
  <c r="A49" i="60" s="1"/>
  <c r="A50" i="60" s="1"/>
  <c r="A51" i="60" s="1"/>
  <c r="A52" i="60" s="1"/>
  <c r="A53" i="60" s="1"/>
  <c r="A54" i="60" s="1"/>
  <c r="A55" i="60" s="1"/>
  <c r="A56" i="60" s="1"/>
  <c r="A57" i="60" s="1"/>
  <c r="A58" i="60" s="1"/>
  <c r="A59" i="60" s="1"/>
  <c r="A60" i="60" s="1"/>
  <c r="A61" i="60" s="1"/>
  <c r="A62" i="60" s="1"/>
  <c r="A63" i="60" s="1"/>
  <c r="A64" i="60" s="1"/>
  <c r="A65" i="60" s="1"/>
  <c r="A66" i="60" s="1"/>
  <c r="A67" i="60" s="1"/>
  <c r="A68" i="60" s="1"/>
  <c r="A69" i="60" s="1"/>
  <c r="A70" i="60" s="1"/>
  <c r="A71" i="60" s="1"/>
  <c r="A72" i="60" s="1"/>
  <c r="A73" i="60" s="1"/>
  <c r="A74" i="60" s="1"/>
  <c r="A75" i="60" s="1"/>
  <c r="A76" i="60" s="1"/>
  <c r="A77" i="60" s="1"/>
  <c r="A78" i="60" s="1"/>
  <c r="A79" i="60" s="1"/>
  <c r="A80" i="60" s="1"/>
  <c r="A81" i="60" s="1"/>
  <c r="A82" i="60" s="1"/>
  <c r="A83" i="60" s="1"/>
  <c r="A84" i="60" s="1"/>
  <c r="A85" i="60" s="1"/>
  <c r="A86" i="60" s="1"/>
  <c r="A87" i="60" s="1"/>
  <c r="A88" i="60" s="1"/>
  <c r="A89" i="60" s="1"/>
  <c r="A90" i="60" s="1"/>
  <c r="A91" i="60" s="1"/>
  <c r="A92" i="60" s="1"/>
  <c r="A93" i="60" s="1"/>
  <c r="A94" i="60" s="1"/>
  <c r="A95" i="60" s="1"/>
  <c r="A96" i="60" s="1"/>
  <c r="A97" i="60" s="1"/>
  <c r="A98" i="60" s="1"/>
  <c r="A99" i="60" s="1"/>
  <c r="A100" i="60" s="1"/>
  <c r="A101" i="60" s="1"/>
  <c r="A102" i="60" s="1"/>
  <c r="A103" i="60" s="1"/>
  <c r="A104" i="60" s="1"/>
  <c r="A105" i="60" s="1"/>
  <c r="A106" i="60" s="1"/>
  <c r="A107" i="60" s="1"/>
  <c r="A108" i="60" s="1"/>
  <c r="A109" i="60" s="1"/>
  <c r="A110" i="60" s="1"/>
  <c r="A111" i="60" s="1"/>
  <c r="A112" i="60" s="1"/>
  <c r="A113" i="60" s="1"/>
  <c r="A114" i="60" s="1"/>
  <c r="A115" i="60" s="1"/>
  <c r="A116" i="60" s="1"/>
  <c r="A117" i="60" s="1"/>
  <c r="A118" i="60" s="1"/>
  <c r="A119" i="60" s="1"/>
  <c r="A120" i="60" s="1"/>
  <c r="A121" i="60" s="1"/>
  <c r="A122" i="60" s="1"/>
  <c r="A123" i="60" s="1"/>
  <c r="A124" i="60" s="1"/>
  <c r="A125" i="60" s="1"/>
  <c r="A126" i="60" s="1"/>
  <c r="A127" i="60" s="1"/>
  <c r="A128" i="60" s="1"/>
  <c r="A129" i="60" s="1"/>
  <c r="A130" i="60" s="1"/>
  <c r="A131" i="60" s="1"/>
  <c r="A132" i="60" s="1"/>
  <c r="A133" i="60" s="1"/>
  <c r="A134" i="60" s="1"/>
  <c r="A135" i="60" s="1"/>
  <c r="A136" i="60" s="1"/>
  <c r="A137" i="60" s="1"/>
  <c r="A138" i="60" s="1"/>
  <c r="A139" i="60" s="1"/>
  <c r="A140" i="60" s="1"/>
  <c r="A141" i="60" s="1"/>
  <c r="A142" i="60" s="1"/>
  <c r="A143" i="60" s="1"/>
  <c r="A144" i="60" s="1"/>
  <c r="A145" i="60" s="1"/>
  <c r="A146" i="60" s="1"/>
  <c r="A147" i="60" s="1"/>
  <c r="A148" i="60" s="1"/>
  <c r="A149" i="60" s="1"/>
  <c r="A150" i="60" s="1"/>
  <c r="A151" i="60" s="1"/>
  <c r="A152" i="60" s="1"/>
  <c r="A153" i="60" s="1"/>
  <c r="A154" i="60" s="1"/>
  <c r="A155" i="60" s="1"/>
  <c r="A156" i="60" s="1"/>
  <c r="A157" i="60" s="1"/>
  <c r="A158" i="60" s="1"/>
  <c r="A159" i="60" s="1"/>
  <c r="A160" i="60" s="1"/>
  <c r="A161" i="60" s="1"/>
  <c r="A162" i="60" s="1"/>
  <c r="A163" i="60" s="1"/>
  <c r="A164" i="60" s="1"/>
  <c r="A165" i="60" s="1"/>
  <c r="A166" i="60" s="1"/>
  <c r="A167" i="60" s="1"/>
  <c r="A168" i="60" s="1"/>
  <c r="A169" i="60" s="1"/>
  <c r="A170" i="60" s="1"/>
  <c r="A171" i="60" s="1"/>
  <c r="A172" i="60" s="1"/>
  <c r="A173" i="60" s="1"/>
  <c r="A174" i="60" s="1"/>
  <c r="A175" i="60" s="1"/>
  <c r="A176" i="60" s="1"/>
  <c r="A177" i="60" s="1"/>
  <c r="A178" i="60" s="1"/>
  <c r="A179" i="60" s="1"/>
  <c r="A180" i="60" s="1"/>
  <c r="A181" i="60" s="1"/>
  <c r="A182" i="60" s="1"/>
  <c r="A183" i="60" s="1"/>
  <c r="A184" i="60" s="1"/>
  <c r="A185" i="60" s="1"/>
  <c r="A186" i="60" s="1"/>
  <c r="A187" i="60" s="1"/>
  <c r="A188" i="60" s="1"/>
  <c r="A189" i="60" s="1"/>
  <c r="A190" i="60" s="1"/>
  <c r="A191" i="60" s="1"/>
  <c r="A192" i="60" s="1"/>
  <c r="A193" i="60" s="1"/>
  <c r="A194" i="60" s="1"/>
  <c r="A195" i="60" s="1"/>
  <c r="A196" i="60" s="1"/>
  <c r="A197" i="60" s="1"/>
  <c r="A198" i="60" s="1"/>
  <c r="A199" i="60" s="1"/>
  <c r="A200" i="60" s="1"/>
  <c r="A201" i="60" s="1"/>
  <c r="A202" i="60" s="1"/>
  <c r="A203" i="60" s="1"/>
  <c r="A204" i="60" s="1"/>
  <c r="A205" i="60" s="1"/>
  <c r="A206" i="60" s="1"/>
  <c r="A207" i="60" s="1"/>
  <c r="A208" i="60" s="1"/>
  <c r="A209" i="60" s="1"/>
  <c r="A210" i="60" s="1"/>
  <c r="A211" i="60" s="1"/>
  <c r="A212" i="60" s="1"/>
  <c r="A213" i="60" s="1"/>
  <c r="A214" i="60" s="1"/>
  <c r="A215" i="60" s="1"/>
  <c r="A216" i="60" s="1"/>
  <c r="A217" i="60" s="1"/>
  <c r="A218" i="60" s="1"/>
  <c r="A219" i="60" s="1"/>
  <c r="A220" i="60" s="1"/>
  <c r="A221" i="60" s="1"/>
  <c r="A222" i="60" s="1"/>
  <c r="A223" i="60" s="1"/>
  <c r="A224" i="60" s="1"/>
  <c r="A225" i="60" s="1"/>
  <c r="A226" i="60" s="1"/>
  <c r="A227" i="60" s="1"/>
  <c r="A228" i="60" s="1"/>
  <c r="A229" i="60" s="1"/>
  <c r="A230" i="60" s="1"/>
  <c r="A231" i="60" s="1"/>
  <c r="A232" i="60" s="1"/>
  <c r="A233" i="60" s="1"/>
  <c r="A234" i="60" s="1"/>
  <c r="A235" i="60" s="1"/>
  <c r="A236" i="60" s="1"/>
  <c r="A237" i="60" s="1"/>
  <c r="A238" i="60" s="1"/>
  <c r="A239" i="60" s="1"/>
  <c r="A240" i="60" s="1"/>
  <c r="A241" i="60" s="1"/>
  <c r="A242" i="60" s="1"/>
  <c r="A243" i="60" s="1"/>
  <c r="A244" i="60" s="1"/>
  <c r="A245" i="60" s="1"/>
  <c r="A246" i="60" s="1"/>
  <c r="A247" i="60" s="1"/>
  <c r="A248" i="60" s="1"/>
  <c r="A249" i="60" s="1"/>
  <c r="A250" i="60" s="1"/>
  <c r="C193" i="63"/>
  <c r="C289" i="63"/>
  <c r="C320" i="63"/>
  <c r="C382" i="63"/>
  <c r="C413" i="63"/>
  <c r="C257" i="63"/>
  <c r="C351" i="63"/>
  <c r="D193" i="63" l="1"/>
  <c r="Z73" i="46"/>
  <c r="A195" i="63"/>
  <c r="Z99" i="46"/>
  <c r="AA88" i="39"/>
  <c r="AA86" i="39"/>
  <c r="AB86" i="39"/>
  <c r="AC86" i="39"/>
  <c r="AC87" i="39" s="1"/>
  <c r="AD87" i="39" s="1"/>
  <c r="AD37" i="39"/>
  <c r="AD39" i="39"/>
  <c r="AA50" i="39"/>
  <c r="AA39" i="39"/>
  <c r="AA37" i="39"/>
  <c r="AA30" i="39"/>
  <c r="AA29" i="39"/>
  <c r="AA45" i="39"/>
  <c r="AH57" i="34"/>
  <c r="AJ57" i="34"/>
  <c r="AJ47" i="34"/>
  <c r="AH49" i="34"/>
  <c r="AH47" i="34"/>
  <c r="AJ49" i="34"/>
  <c r="D38" i="34"/>
  <c r="D382" i="63"/>
  <c r="D351" i="63"/>
  <c r="D413" i="63"/>
  <c r="D320" i="63"/>
  <c r="D289" i="63"/>
  <c r="A383" i="63"/>
  <c r="A352" i="63"/>
  <c r="A414" i="63"/>
  <c r="A321" i="63"/>
  <c r="A290" i="63"/>
  <c r="D257" i="63"/>
  <c r="A259" i="63"/>
  <c r="AM36" i="34"/>
  <c r="AN36" i="34"/>
  <c r="AA56" i="39"/>
  <c r="AA58" i="39"/>
  <c r="AA47" i="39"/>
  <c r="AA36" i="39"/>
  <c r="AP30" i="39" s="1"/>
  <c r="AR13" i="39"/>
  <c r="AR76" i="39"/>
  <c r="AQ78" i="39"/>
  <c r="AR77" i="39"/>
  <c r="AR75" i="39"/>
  <c r="AQ76" i="39"/>
  <c r="AQ77" i="39"/>
  <c r="AD55" i="39"/>
  <c r="AR78" i="39"/>
  <c r="AD56" i="39"/>
  <c r="AD60" i="39"/>
  <c r="AD57" i="39"/>
  <c r="AR66" i="39"/>
  <c r="AQ67" i="39"/>
  <c r="AR67" i="39"/>
  <c r="AA60" i="39"/>
  <c r="AC45" i="39"/>
  <c r="AC46" i="39"/>
  <c r="AB47" i="39"/>
  <c r="AD47" i="39" s="1"/>
  <c r="AB48" i="39"/>
  <c r="AC50" i="39"/>
  <c r="AC48" i="39"/>
  <c r="AQ60" i="39"/>
  <c r="AQ59" i="39"/>
  <c r="AD45" i="39"/>
  <c r="AR57" i="39"/>
  <c r="AR59" i="39"/>
  <c r="AB49" i="39"/>
  <c r="AC49" i="39"/>
  <c r="AB46" i="39"/>
  <c r="AB50" i="39"/>
  <c r="AR60" i="39"/>
  <c r="AQ50" i="39"/>
  <c r="AA46" i="39"/>
  <c r="AQ48" i="39"/>
  <c r="AA49" i="39"/>
  <c r="AR49" i="39"/>
  <c r="AR51" i="39"/>
  <c r="AQ51" i="39"/>
  <c r="Z48" i="39"/>
  <c r="AK52" i="39" s="1"/>
  <c r="AD67" i="39" s="1"/>
  <c r="AR39" i="39"/>
  <c r="AQ40" i="39"/>
  <c r="AQ41" i="39"/>
  <c r="AD38" i="39"/>
  <c r="AR42" i="39"/>
  <c r="AC35" i="39"/>
  <c r="AB40" i="39"/>
  <c r="AC40" i="39"/>
  <c r="AR41" i="39"/>
  <c r="AB36" i="39"/>
  <c r="AD36" i="39" s="1"/>
  <c r="AA35" i="39"/>
  <c r="AP33" i="39" s="1"/>
  <c r="AK34" i="39"/>
  <c r="AB67" i="39" s="1"/>
  <c r="AD25" i="39"/>
  <c r="AK25" i="39"/>
  <c r="AA67" i="39" s="1"/>
  <c r="AD28" i="39"/>
  <c r="AD27" i="39"/>
  <c r="AD29" i="39"/>
  <c r="AR23" i="39"/>
  <c r="AR24" i="39"/>
  <c r="AQ23" i="39"/>
  <c r="AQ24" i="39"/>
  <c r="AA27" i="39"/>
  <c r="AP15" i="39" s="1"/>
  <c r="AQ15" i="39"/>
  <c r="AA25" i="39"/>
  <c r="AK16" i="39"/>
  <c r="Z67" i="39" s="1"/>
  <c r="Y28" i="39"/>
  <c r="AA28" i="39" s="1"/>
  <c r="AN12" i="39"/>
  <c r="AO12" i="39"/>
  <c r="AR15" i="39" s="1"/>
  <c r="AQ13" i="39"/>
  <c r="AL14" i="39"/>
  <c r="AQ14" i="39" s="1"/>
  <c r="AQ66" i="39"/>
  <c r="AA55" i="39"/>
  <c r="C414" i="63"/>
  <c r="C383" i="63"/>
  <c r="C258" i="63"/>
  <c r="C195" i="63"/>
  <c r="C321" i="63"/>
  <c r="C290" i="63"/>
  <c r="C352" i="63"/>
  <c r="C194" i="63"/>
  <c r="D195" i="63" l="1"/>
  <c r="D194" i="63"/>
  <c r="AP22" i="39"/>
  <c r="AD86" i="39"/>
  <c r="AD46" i="39"/>
  <c r="AD49" i="39"/>
  <c r="AP59" i="39" s="1"/>
  <c r="AD48" i="39"/>
  <c r="AD40" i="39"/>
  <c r="AP39" i="39" s="1"/>
  <c r="AP51" i="39"/>
  <c r="AP24" i="39"/>
  <c r="AP68" i="39"/>
  <c r="AN38" i="34"/>
  <c r="AM38" i="34"/>
  <c r="AP69" i="39"/>
  <c r="AV68" i="39" s="1"/>
  <c r="R71" i="29"/>
  <c r="Q86" i="29" s="1"/>
  <c r="AB97" i="34"/>
  <c r="D40" i="34"/>
  <c r="D414" i="63"/>
  <c r="D352" i="63"/>
  <c r="D383" i="63"/>
  <c r="D290" i="63"/>
  <c r="D321" i="63"/>
  <c r="A415" i="63"/>
  <c r="A353" i="63"/>
  <c r="A384" i="63"/>
  <c r="A291" i="63"/>
  <c r="A322" i="63"/>
  <c r="D258" i="63"/>
  <c r="AP78" i="39"/>
  <c r="AD50" i="39"/>
  <c r="AP60" i="39" s="1"/>
  <c r="AA48" i="39"/>
  <c r="AP50" i="39" s="1"/>
  <c r="AP31" i="39"/>
  <c r="AS31" i="39" s="1"/>
  <c r="AP23" i="39"/>
  <c r="AU22" i="39" s="1"/>
  <c r="AP14" i="39"/>
  <c r="AV14" i="39" s="1"/>
  <c r="AP77" i="39"/>
  <c r="AP75" i="39"/>
  <c r="AP76" i="39"/>
  <c r="AQ75" i="39"/>
  <c r="AK70" i="39"/>
  <c r="AF67" i="39" s="1"/>
  <c r="AR69" i="39"/>
  <c r="AQ58" i="39"/>
  <c r="AK61" i="39"/>
  <c r="AE67" i="39" s="1"/>
  <c r="AQ57" i="39"/>
  <c r="AR58" i="39"/>
  <c r="AP49" i="39"/>
  <c r="AR50" i="39"/>
  <c r="AQ49" i="39"/>
  <c r="AR48" i="39"/>
  <c r="AK43" i="39"/>
  <c r="AC67" i="39" s="1"/>
  <c r="AD35" i="39"/>
  <c r="AA19" i="39" s="1"/>
  <c r="AQ42" i="39"/>
  <c r="AP40" i="39"/>
  <c r="AQ39" i="39"/>
  <c r="AS33" i="39"/>
  <c r="AP32" i="39"/>
  <c r="AV30" i="39"/>
  <c r="AV22" i="39"/>
  <c r="AT24" i="39"/>
  <c r="AQ22" i="39"/>
  <c r="AR21" i="39"/>
  <c r="AP21" i="39"/>
  <c r="AS24" i="39" s="1"/>
  <c r="AQ21" i="39"/>
  <c r="AR22" i="39"/>
  <c r="AR12" i="39"/>
  <c r="Z20" i="39"/>
  <c r="AP12" i="39"/>
  <c r="AG11" i="39"/>
  <c r="Z19" i="39"/>
  <c r="AP13" i="39"/>
  <c r="AQ12" i="39"/>
  <c r="AR14" i="39"/>
  <c r="AP66" i="39"/>
  <c r="AC19" i="39"/>
  <c r="AP67" i="39"/>
  <c r="AC20" i="39"/>
  <c r="E38" i="34"/>
  <c r="C259" i="63"/>
  <c r="C415" i="63"/>
  <c r="C353" i="63"/>
  <c r="C291" i="63"/>
  <c r="C384" i="63"/>
  <c r="C322" i="63"/>
  <c r="AP58" i="39" l="1"/>
  <c r="AV50" i="39"/>
  <c r="AV31" i="39"/>
  <c r="AP57" i="39"/>
  <c r="AV59" i="39"/>
  <c r="AU51" i="39"/>
  <c r="AB19" i="39"/>
  <c r="AD19" i="39" s="1"/>
  <c r="AB20" i="39"/>
  <c r="AP48" i="39"/>
  <c r="AS51" i="39" s="1"/>
  <c r="AU69" i="39"/>
  <c r="D42" i="34"/>
  <c r="AB98" i="34"/>
  <c r="AM40" i="34"/>
  <c r="AN40" i="34"/>
  <c r="D291" i="63"/>
  <c r="D353" i="63"/>
  <c r="D415" i="63"/>
  <c r="D384" i="63"/>
  <c r="D322" i="63"/>
  <c r="A354" i="63"/>
  <c r="A416" i="63"/>
  <c r="A385" i="63"/>
  <c r="A323" i="63"/>
  <c r="D259" i="63"/>
  <c r="AS60" i="39"/>
  <c r="AS78" i="39"/>
  <c r="AU78" i="39"/>
  <c r="AT60" i="39"/>
  <c r="AT33" i="39"/>
  <c r="AT30" i="39"/>
  <c r="AA20" i="39"/>
  <c r="AT23" i="39"/>
  <c r="AU24" i="39"/>
  <c r="AX24" i="39" s="1"/>
  <c r="AV23" i="39"/>
  <c r="AU15" i="39"/>
  <c r="AS22" i="39"/>
  <c r="AS23" i="39"/>
  <c r="AV76" i="39"/>
  <c r="AU76" i="39"/>
  <c r="AS76" i="39"/>
  <c r="AV75" i="39"/>
  <c r="AU75" i="39"/>
  <c r="AG71" i="39"/>
  <c r="AT75" i="39"/>
  <c r="AG70" i="39"/>
  <c r="AG69" i="39"/>
  <c r="AG68" i="39"/>
  <c r="AT77" i="39"/>
  <c r="AV77" i="39"/>
  <c r="AS77" i="39"/>
  <c r="AT78" i="39"/>
  <c r="AU60" i="39"/>
  <c r="AT57" i="39"/>
  <c r="AU57" i="39"/>
  <c r="AE71" i="39"/>
  <c r="AE70" i="39"/>
  <c r="AE68" i="39"/>
  <c r="AE69" i="39"/>
  <c r="AV57" i="39"/>
  <c r="AV58" i="39"/>
  <c r="AU58" i="39"/>
  <c r="AS58" i="39"/>
  <c r="AS59" i="39"/>
  <c r="AT59" i="39"/>
  <c r="AV49" i="39"/>
  <c r="AU49" i="39"/>
  <c r="AT51" i="39"/>
  <c r="AT50" i="39"/>
  <c r="AP42" i="39"/>
  <c r="AV40" i="39" s="1"/>
  <c r="AP41" i="39"/>
  <c r="AS40" i="39"/>
  <c r="AT39" i="39"/>
  <c r="AV32" i="39"/>
  <c r="AT32" i="39"/>
  <c r="AS32" i="39"/>
  <c r="AB69" i="39"/>
  <c r="AB71" i="39"/>
  <c r="AB68" i="39"/>
  <c r="AU33" i="39"/>
  <c r="AU30" i="39"/>
  <c r="AB70" i="39"/>
  <c r="AU31" i="39"/>
  <c r="AA70" i="39"/>
  <c r="AT21" i="39"/>
  <c r="AA71" i="39"/>
  <c r="AA68" i="39"/>
  <c r="AV21" i="39"/>
  <c r="AY24" i="39" s="1"/>
  <c r="AA69" i="39"/>
  <c r="AU21" i="39"/>
  <c r="AU13" i="39"/>
  <c r="AS13" i="39"/>
  <c r="AV13" i="39"/>
  <c r="Z71" i="39"/>
  <c r="AV12" i="39"/>
  <c r="Z68" i="39"/>
  <c r="Z69" i="39"/>
  <c r="AU12" i="39"/>
  <c r="Z70" i="39"/>
  <c r="AT12" i="39"/>
  <c r="AS15" i="39"/>
  <c r="AT15" i="39"/>
  <c r="AT14" i="39"/>
  <c r="AS14" i="39"/>
  <c r="AS67" i="39"/>
  <c r="AT68" i="39"/>
  <c r="AU67" i="39"/>
  <c r="AT69" i="39"/>
  <c r="AV67" i="39"/>
  <c r="AS68" i="39"/>
  <c r="AF68" i="39"/>
  <c r="AV66" i="39"/>
  <c r="AS69" i="39"/>
  <c r="AF69" i="39"/>
  <c r="AU66" i="39"/>
  <c r="AF71" i="39"/>
  <c r="AT66" i="39"/>
  <c r="AF70" i="39"/>
  <c r="F38" i="34"/>
  <c r="E42" i="34"/>
  <c r="E36" i="34"/>
  <c r="M71" i="29"/>
  <c r="AF75" i="25"/>
  <c r="AF72" i="25"/>
  <c r="AF69" i="25"/>
  <c r="AF84" i="25"/>
  <c r="AF70" i="25"/>
  <c r="AF86" i="25"/>
  <c r="AF73" i="25"/>
  <c r="AF82" i="25"/>
  <c r="AF95" i="25"/>
  <c r="AF87" i="25"/>
  <c r="AF92" i="25"/>
  <c r="C323" i="63"/>
  <c r="C385" i="63"/>
  <c r="C416" i="63"/>
  <c r="C354" i="63"/>
  <c r="AX31" i="39" l="1"/>
  <c r="AY33" i="39"/>
  <c r="AV48" i="39"/>
  <c r="AS49" i="39"/>
  <c r="AU48" i="39"/>
  <c r="AD69" i="39"/>
  <c r="AD70" i="39"/>
  <c r="AD68" i="39"/>
  <c r="AS50" i="39"/>
  <c r="AT48" i="39"/>
  <c r="AY49" i="39" s="1"/>
  <c r="AD71" i="39"/>
  <c r="AY21" i="39"/>
  <c r="AX60" i="39"/>
  <c r="AX30" i="39"/>
  <c r="AX23" i="39"/>
  <c r="AY23" i="39"/>
  <c r="AD20" i="39"/>
  <c r="AY51" i="39"/>
  <c r="AX33" i="39"/>
  <c r="AC68" i="39"/>
  <c r="P67" i="38"/>
  <c r="AN42" i="34"/>
  <c r="AM42" i="34"/>
  <c r="D46" i="34"/>
  <c r="D48" i="34" s="1"/>
  <c r="AB99" i="34"/>
  <c r="D385" i="63"/>
  <c r="D416" i="63"/>
  <c r="D354" i="63"/>
  <c r="D323" i="63"/>
  <c r="A386" i="63"/>
  <c r="A417" i="63"/>
  <c r="A355" i="63"/>
  <c r="AX78" i="39"/>
  <c r="AY77" i="39"/>
  <c r="AY60" i="39"/>
  <c r="AY50" i="39"/>
  <c r="AC70" i="39"/>
  <c r="AU39" i="39"/>
  <c r="AW31" i="39"/>
  <c r="AW30" i="39"/>
  <c r="AY31" i="39"/>
  <c r="AX22" i="39"/>
  <c r="AW22" i="39"/>
  <c r="AY15" i="39"/>
  <c r="AX77" i="39"/>
  <c r="AW77" i="39"/>
  <c r="AY78" i="39"/>
  <c r="AX76" i="39"/>
  <c r="AW76" i="39"/>
  <c r="AY75" i="39"/>
  <c r="AX75" i="39"/>
  <c r="AY76" i="39"/>
  <c r="AW75" i="39"/>
  <c r="AW78" i="39"/>
  <c r="AY59" i="39"/>
  <c r="AW60" i="39"/>
  <c r="AX59" i="39"/>
  <c r="AW59" i="39"/>
  <c r="AX58" i="39"/>
  <c r="AW58" i="39"/>
  <c r="AY57" i="39"/>
  <c r="AY58" i="39"/>
  <c r="AX57" i="39"/>
  <c r="AW57" i="39"/>
  <c r="AX50" i="39"/>
  <c r="AW50" i="39"/>
  <c r="AX51" i="39"/>
  <c r="AW51" i="39"/>
  <c r="AX49" i="39"/>
  <c r="AY48" i="39"/>
  <c r="AV39" i="39"/>
  <c r="AC69" i="39"/>
  <c r="AC71" i="39"/>
  <c r="AU40" i="39"/>
  <c r="AX40" i="39" s="1"/>
  <c r="AV41" i="39"/>
  <c r="AT41" i="39"/>
  <c r="AS41" i="39"/>
  <c r="AU42" i="39"/>
  <c r="AT42" i="39"/>
  <c r="AS42" i="39"/>
  <c r="AW33" i="39"/>
  <c r="AX32" i="39"/>
  <c r="AW32" i="39"/>
  <c r="AY30" i="39"/>
  <c r="AY32" i="39"/>
  <c r="AX21" i="39"/>
  <c r="AY22" i="39"/>
  <c r="AW21" i="39"/>
  <c r="AW23" i="39"/>
  <c r="AW24" i="39"/>
  <c r="AX15" i="39"/>
  <c r="AW15" i="39"/>
  <c r="AX12" i="39"/>
  <c r="AY13" i="39"/>
  <c r="AW12" i="39"/>
  <c r="AY14" i="39"/>
  <c r="AW14" i="39"/>
  <c r="AX14" i="39"/>
  <c r="AY12" i="39"/>
  <c r="AX13" i="39"/>
  <c r="AW13" i="39"/>
  <c r="AW68" i="39"/>
  <c r="AX68" i="39"/>
  <c r="AX66" i="39"/>
  <c r="AW66" i="39"/>
  <c r="AY67" i="39"/>
  <c r="AY68" i="39"/>
  <c r="AX69" i="39"/>
  <c r="AW69" i="39"/>
  <c r="AY69" i="39"/>
  <c r="AY66" i="39"/>
  <c r="AX67" i="39"/>
  <c r="AW67" i="39"/>
  <c r="F42" i="34"/>
  <c r="E46" i="34"/>
  <c r="F36" i="34"/>
  <c r="E40" i="34"/>
  <c r="F40" i="34" s="1"/>
  <c r="Y63" i="34"/>
  <c r="O44" i="46"/>
  <c r="H48" i="46" s="1"/>
  <c r="R62" i="25"/>
  <c r="S65" i="25" s="1"/>
  <c r="V72" i="39"/>
  <c r="AF79" i="25"/>
  <c r="AF88" i="25"/>
  <c r="AF68" i="25"/>
  <c r="AF71" i="25"/>
  <c r="AF80" i="25"/>
  <c r="AF76" i="25"/>
  <c r="AF78" i="25"/>
  <c r="AF81" i="25"/>
  <c r="AF90" i="25"/>
  <c r="AF77" i="25"/>
  <c r="AF93" i="25"/>
  <c r="AF94" i="25"/>
  <c r="AF85" i="25"/>
  <c r="AF74" i="25"/>
  <c r="AF96" i="25"/>
  <c r="AF91" i="25"/>
  <c r="AF83" i="25"/>
  <c r="AF97" i="25"/>
  <c r="AF89" i="25"/>
  <c r="AF98" i="25"/>
  <c r="C417" i="63"/>
  <c r="C386" i="63"/>
  <c r="C355" i="63"/>
  <c r="AW49" i="39" l="1"/>
  <c r="AW48" i="39"/>
  <c r="AX48" i="39"/>
  <c r="C94" i="25"/>
  <c r="D62" i="25"/>
  <c r="AX39" i="39"/>
  <c r="AC71" i="34"/>
  <c r="AG71" i="34" s="1"/>
  <c r="AF129" i="34" s="1"/>
  <c r="D56" i="34"/>
  <c r="AB109" i="34" s="1"/>
  <c r="AB103" i="34"/>
  <c r="AN48" i="34"/>
  <c r="AM48" i="34"/>
  <c r="AM46" i="34"/>
  <c r="AN46" i="34"/>
  <c r="AB102" i="34"/>
  <c r="D355" i="63"/>
  <c r="D386" i="63"/>
  <c r="D417" i="63"/>
  <c r="A387" i="63"/>
  <c r="A418" i="63"/>
  <c r="D52" i="34"/>
  <c r="AB106" i="34" s="1"/>
  <c r="AW39" i="39"/>
  <c r="AY41" i="39"/>
  <c r="AY40" i="39"/>
  <c r="AX41" i="39"/>
  <c r="AW41" i="39"/>
  <c r="AY39" i="39"/>
  <c r="AW40" i="39"/>
  <c r="AX42" i="39"/>
  <c r="AW42" i="39"/>
  <c r="AY42" i="39"/>
  <c r="N52" i="34"/>
  <c r="AB7" i="38"/>
  <c r="AC7" i="38" s="1"/>
  <c r="AH8" i="38" s="1"/>
  <c r="AA4" i="39"/>
  <c r="V123" i="46"/>
  <c r="G55" i="46"/>
  <c r="H55" i="46" s="1"/>
  <c r="N55" i="46" s="1"/>
  <c r="F46" i="34"/>
  <c r="E48" i="34"/>
  <c r="E52" i="34" s="1"/>
  <c r="E56" i="34" s="1"/>
  <c r="AC67" i="34"/>
  <c r="AG67" i="34" s="1"/>
  <c r="AC69" i="34"/>
  <c r="AG69" i="34" s="1"/>
  <c r="AB11" i="38"/>
  <c r="AC11" i="38" s="1"/>
  <c r="C93" i="25"/>
  <c r="C88" i="25"/>
  <c r="P65" i="25"/>
  <c r="C89" i="25"/>
  <c r="H69" i="25"/>
  <c r="C92" i="25"/>
  <c r="H71" i="25"/>
  <c r="C90" i="25"/>
  <c r="H70" i="25"/>
  <c r="C91" i="25"/>
  <c r="C95" i="25"/>
  <c r="H53" i="46"/>
  <c r="H52" i="46"/>
  <c r="H49" i="46"/>
  <c r="H51" i="46"/>
  <c r="H54" i="46"/>
  <c r="H50" i="46"/>
  <c r="C418" i="63"/>
  <c r="C387" i="63"/>
  <c r="AC134" i="34" l="1"/>
  <c r="AC131" i="34"/>
  <c r="AC130" i="34"/>
  <c r="AC135" i="34"/>
  <c r="AC133" i="34"/>
  <c r="AC132" i="34"/>
  <c r="AA7" i="39"/>
  <c r="AC5" i="39" s="1"/>
  <c r="D418" i="63"/>
  <c r="D387" i="63"/>
  <c r="A419" i="63"/>
  <c r="AF9" i="38"/>
  <c r="AF7" i="38"/>
  <c r="AH7" i="38"/>
  <c r="AH6" i="38"/>
  <c r="AF8" i="38"/>
  <c r="AF6" i="38"/>
  <c r="F48" i="34"/>
  <c r="N51" i="46"/>
  <c r="N49" i="46"/>
  <c r="G110" i="46" s="1"/>
  <c r="N50" i="46"/>
  <c r="AA5" i="39"/>
  <c r="AA6" i="39" s="1"/>
  <c r="C419" i="63"/>
  <c r="G112" i="46" l="1"/>
  <c r="AO52" i="34"/>
  <c r="D419" i="63"/>
  <c r="AN56" i="34"/>
  <c r="AM56" i="34"/>
  <c r="F56" i="34"/>
  <c r="F52" i="34"/>
  <c r="T59" i="46"/>
  <c r="AD58" i="46"/>
  <c r="AD60" i="46" s="1"/>
  <c r="AE61" i="46" s="1"/>
  <c r="T58" i="46"/>
  <c r="AD5" i="39"/>
  <c r="AE5" i="39" s="1"/>
  <c r="AC42" i="34" l="1"/>
  <c r="AD42" i="34" s="1"/>
  <c r="AE28" i="34"/>
  <c r="AF28" i="34" s="1"/>
  <c r="AC28" i="34"/>
  <c r="AD28" i="34" s="1"/>
  <c r="AE42" i="34"/>
  <c r="AF42" i="34" s="1"/>
  <c r="AE18" i="34"/>
  <c r="AF18" i="34" s="1"/>
  <c r="AE20" i="34"/>
  <c r="AF20" i="34" s="1"/>
  <c r="AE59" i="34"/>
  <c r="AF59" i="34" s="1"/>
  <c r="AL59" i="34" s="1"/>
  <c r="AP52" i="34"/>
  <c r="AR149" i="34" s="1"/>
  <c r="AC18" i="34"/>
  <c r="AD18" i="34" s="1"/>
  <c r="AE16" i="34"/>
  <c r="AF16" i="34" s="1"/>
  <c r="AD61" i="46"/>
  <c r="T60" i="46"/>
  <c r="AF156" i="34" l="1"/>
  <c r="AF159" i="34" s="1"/>
  <c r="AJ39" i="34"/>
  <c r="AJ41" i="34"/>
  <c r="AJ37" i="34"/>
  <c r="AH43" i="34"/>
  <c r="AH41" i="34"/>
  <c r="AH37" i="34"/>
  <c r="AH39" i="34"/>
  <c r="AJ43" i="34"/>
  <c r="AR147" i="34"/>
  <c r="AH15" i="34"/>
  <c r="AH29" i="34"/>
  <c r="AJ29" i="34"/>
  <c r="AH27" i="34"/>
  <c r="AJ27" i="34"/>
  <c r="AH25" i="34"/>
  <c r="AJ25" i="34"/>
  <c r="AH23" i="34"/>
  <c r="AJ23" i="34"/>
  <c r="AH21" i="34"/>
  <c r="AJ21" i="34"/>
  <c r="AJ19" i="34"/>
  <c r="AH17" i="34"/>
  <c r="AH19" i="34"/>
  <c r="AJ15" i="34"/>
  <c r="AJ17" i="34"/>
  <c r="U61" i="46"/>
  <c r="T61" i="46"/>
  <c r="T62" i="46" s="1"/>
  <c r="AF157" i="34" l="1"/>
  <c r="AF158" i="34"/>
  <c r="AF160" i="34"/>
  <c r="AF64" i="46"/>
  <c r="V6" i="25" l="1"/>
  <c r="W67" i="25"/>
  <c r="W68" i="25"/>
  <c r="W66" i="25" s="1"/>
  <c r="C1" i="60" l="1"/>
  <c r="C2" i="60" s="1"/>
  <c r="K44" i="38"/>
  <c r="D44" i="38"/>
  <c r="B50" i="60"/>
  <c r="C1" i="62" l="1"/>
  <c r="C2" i="62" s="1"/>
  <c r="C1" i="63"/>
  <c r="C2" i="63" s="1"/>
  <c r="C1" i="61"/>
  <c r="B139" i="62"/>
  <c r="B15" i="60"/>
  <c r="B30" i="60"/>
  <c r="B206" i="62"/>
  <c r="B227" i="62"/>
  <c r="B76" i="62"/>
  <c r="B222" i="62"/>
  <c r="B229" i="62"/>
  <c r="B22" i="62"/>
  <c r="B52" i="62"/>
  <c r="B71" i="63"/>
  <c r="B16" i="63"/>
  <c r="B89" i="62"/>
  <c r="B117" i="62"/>
  <c r="B42" i="62"/>
  <c r="B211" i="62"/>
  <c r="B58" i="63"/>
  <c r="B209" i="62"/>
  <c r="B169" i="62"/>
  <c r="B119" i="62"/>
  <c r="B59" i="63"/>
  <c r="B15" i="63"/>
  <c r="B42" i="63"/>
  <c r="B230" i="62"/>
  <c r="B31" i="63"/>
  <c r="B63" i="63"/>
  <c r="B14" i="63"/>
  <c r="B21" i="63"/>
  <c r="B37" i="63"/>
  <c r="B34" i="62"/>
  <c r="B15" i="62"/>
  <c r="B108" i="62"/>
  <c r="B132" i="62"/>
  <c r="B17" i="62"/>
  <c r="B53" i="60"/>
  <c r="B157" i="62"/>
  <c r="B26" i="60"/>
  <c r="B225" i="62"/>
  <c r="B24" i="62"/>
  <c r="B40" i="63"/>
  <c r="B65" i="63"/>
  <c r="B120" i="62"/>
  <c r="B23" i="62"/>
  <c r="B32" i="63"/>
  <c r="B20" i="60"/>
  <c r="B198" i="62"/>
  <c r="B39" i="60"/>
  <c r="B170" i="62"/>
  <c r="B78" i="62"/>
  <c r="B218" i="62"/>
  <c r="B149" i="62"/>
  <c r="B213" i="62"/>
  <c r="B29" i="63"/>
  <c r="B70" i="62"/>
  <c r="B210" i="62"/>
  <c r="B21" i="62"/>
  <c r="B137" i="62"/>
  <c r="B94" i="62"/>
  <c r="B7" i="62"/>
  <c r="B97" i="62"/>
  <c r="B135" i="62"/>
  <c r="B6" i="60"/>
  <c r="B184" i="62"/>
  <c r="B69" i="63"/>
  <c r="B160" i="62"/>
  <c r="B166" i="62"/>
  <c r="B41" i="63"/>
  <c r="B88" i="62"/>
  <c r="B191" i="62"/>
  <c r="B45" i="62"/>
  <c r="B10" i="63"/>
  <c r="B124" i="62"/>
  <c r="B66" i="63"/>
  <c r="B217" i="62"/>
  <c r="B87" i="62"/>
  <c r="B31" i="62"/>
  <c r="B207" i="62"/>
  <c r="B189" i="62"/>
  <c r="B28" i="60"/>
  <c r="B11" i="62"/>
  <c r="B8" i="62"/>
  <c r="B165" i="62"/>
  <c r="B62" i="63"/>
  <c r="B30" i="62"/>
  <c r="B68" i="63"/>
  <c r="B42" i="60"/>
  <c r="B43" i="62"/>
  <c r="B17" i="63"/>
  <c r="B45" i="60"/>
  <c r="B84" i="62"/>
  <c r="B82" i="63"/>
  <c r="B221" i="62"/>
  <c r="B41" i="62"/>
  <c r="B72" i="63"/>
  <c r="B167" i="62"/>
  <c r="B10" i="62"/>
  <c r="B53" i="63"/>
  <c r="B30" i="63"/>
  <c r="B146" i="62"/>
  <c r="B44" i="60"/>
  <c r="B82" i="62"/>
  <c r="B185" i="62"/>
  <c r="B106" i="62"/>
  <c r="B173" i="62"/>
  <c r="B33" i="63"/>
  <c r="B6" i="63"/>
  <c r="B154" i="62"/>
  <c r="B22" i="63"/>
  <c r="B223" i="62"/>
  <c r="B134" i="62"/>
  <c r="B9" i="62"/>
  <c r="B69" i="62"/>
  <c r="B127" i="62"/>
  <c r="B7" i="63"/>
  <c r="B27" i="60"/>
  <c r="B44" i="63"/>
  <c r="B183" i="62"/>
  <c r="B105" i="62"/>
  <c r="B25" i="60"/>
  <c r="B54" i="63"/>
  <c r="B79" i="63"/>
  <c r="B101" i="62"/>
  <c r="B200" i="62"/>
  <c r="B126" i="62"/>
  <c r="B49" i="62"/>
  <c r="B26" i="63"/>
  <c r="B95" i="62"/>
  <c r="B80" i="62"/>
  <c r="B54" i="60"/>
  <c r="B93" i="62"/>
  <c r="B38" i="60"/>
  <c r="B32" i="60"/>
  <c r="B20" i="62"/>
  <c r="B73" i="63"/>
  <c r="B36" i="63"/>
  <c r="B196" i="62"/>
  <c r="B22" i="60"/>
  <c r="B46" i="62"/>
  <c r="B130" i="62"/>
  <c r="B43" i="60"/>
  <c r="B51" i="62"/>
  <c r="B36" i="62"/>
  <c r="B77" i="62"/>
  <c r="B11" i="63"/>
  <c r="B136" i="62"/>
  <c r="B179" i="62"/>
  <c r="B17" i="60"/>
  <c r="B103" i="62"/>
  <c r="B60" i="62"/>
  <c r="B114" i="62"/>
  <c r="B219" i="62"/>
  <c r="B102" i="62"/>
  <c r="B6" i="62"/>
  <c r="B138" i="62"/>
  <c r="B215" i="62"/>
  <c r="B181" i="62"/>
  <c r="B110" i="62"/>
  <c r="B48" i="60"/>
  <c r="B66" i="62"/>
  <c r="B73" i="62"/>
  <c r="B19" i="60"/>
  <c r="B92" i="62"/>
  <c r="B64" i="62"/>
  <c r="B14" i="62"/>
  <c r="B48" i="62"/>
  <c r="B26" i="62"/>
  <c r="B72" i="62"/>
  <c r="B78" i="63"/>
  <c r="B47" i="60"/>
  <c r="B98" i="62"/>
  <c r="B9" i="60"/>
  <c r="B125" i="62"/>
  <c r="B47" i="62"/>
  <c r="B51" i="63"/>
  <c r="B228" i="62"/>
  <c r="B49" i="60"/>
  <c r="B28" i="63"/>
  <c r="B8" i="60"/>
  <c r="B67" i="63"/>
  <c r="B20" i="63"/>
  <c r="B55" i="62"/>
  <c r="B203" i="62"/>
  <c r="B162" i="62"/>
  <c r="B100" i="62"/>
  <c r="B199" i="62"/>
  <c r="B212" i="62"/>
  <c r="B193" i="62"/>
  <c r="B220" i="62"/>
  <c r="B56" i="63"/>
  <c r="B128" i="62"/>
  <c r="B187" i="62"/>
  <c r="B18" i="60"/>
  <c r="B68" i="62"/>
  <c r="B48" i="63"/>
  <c r="B113" i="62"/>
  <c r="B70" i="63"/>
  <c r="B13" i="63"/>
  <c r="B111" i="62"/>
  <c r="B226" i="62"/>
  <c r="B46" i="60"/>
  <c r="B202" i="62"/>
  <c r="B31" i="60"/>
  <c r="B60" i="63"/>
  <c r="B116" i="62"/>
  <c r="B188" i="62"/>
  <c r="B224" i="62"/>
  <c r="B16" i="60"/>
  <c r="B122" i="62"/>
  <c r="B201" i="62"/>
  <c r="B147" i="62"/>
  <c r="B182" i="62"/>
  <c r="B131" i="62"/>
  <c r="B61" i="63"/>
  <c r="B129" i="62"/>
  <c r="B178" i="62"/>
  <c r="B192" i="62"/>
  <c r="B143" i="62"/>
  <c r="B34" i="63"/>
  <c r="B172" i="62"/>
  <c r="B52" i="63"/>
  <c r="B21" i="60"/>
  <c r="B37" i="60"/>
  <c r="B39" i="63"/>
  <c r="B204" i="62"/>
  <c r="B27" i="63"/>
  <c r="B141" i="62"/>
  <c r="B56" i="62"/>
  <c r="B118" i="62"/>
  <c r="B152" i="62"/>
  <c r="B7" i="60"/>
  <c r="B54" i="62"/>
  <c r="B214" i="62"/>
  <c r="B107" i="62"/>
  <c r="B25" i="62"/>
  <c r="B29" i="62"/>
  <c r="B175" i="62"/>
  <c r="B158" i="62"/>
  <c r="B90" i="62"/>
  <c r="B45" i="63"/>
  <c r="B57" i="62"/>
  <c r="B153" i="62"/>
  <c r="B80" i="63"/>
  <c r="B65" i="62"/>
  <c r="B216" i="62"/>
  <c r="B186" i="62"/>
  <c r="B74" i="62"/>
  <c r="B104" i="62"/>
  <c r="B25" i="63"/>
  <c r="B8" i="63"/>
  <c r="B174" i="62"/>
  <c r="B77" i="63"/>
  <c r="B194" i="62"/>
  <c r="B41" i="60"/>
  <c r="B16" i="62"/>
  <c r="B195" i="62"/>
  <c r="B180" i="62"/>
  <c r="B74" i="63"/>
  <c r="B142" i="62"/>
  <c r="B43" i="63"/>
  <c r="B99" i="62"/>
  <c r="B197" i="62"/>
  <c r="B50" i="62"/>
  <c r="B36" i="60"/>
  <c r="B150" i="62"/>
  <c r="B64" i="63"/>
  <c r="B24" i="63"/>
  <c r="B171" i="62"/>
  <c r="B86" i="62"/>
  <c r="B176" i="62"/>
  <c r="B151" i="62"/>
  <c r="B10" i="60"/>
  <c r="B52" i="60"/>
  <c r="B75" i="62"/>
  <c r="B85" i="62"/>
  <c r="B35" i="62"/>
  <c r="B71" i="62"/>
  <c r="B140" i="62"/>
  <c r="B208" i="62"/>
  <c r="B148" i="62"/>
  <c r="B19" i="63"/>
  <c r="B115" i="62"/>
  <c r="B58" i="62"/>
  <c r="B133" i="62"/>
  <c r="B53" i="62"/>
  <c r="B164" i="62"/>
  <c r="B23" i="63"/>
  <c r="B177" i="62"/>
  <c r="B59" i="62"/>
  <c r="B40" i="60"/>
  <c r="B18" i="63"/>
  <c r="B29" i="60"/>
  <c r="B121" i="62"/>
  <c r="B205" i="62"/>
  <c r="B61" i="62"/>
  <c r="B168" i="62"/>
  <c r="B12" i="63"/>
  <c r="B44" i="62"/>
  <c r="B24" i="60"/>
  <c r="B62" i="62"/>
  <c r="B161" i="62"/>
  <c r="B27" i="62"/>
  <c r="B96" i="62"/>
  <c r="B33" i="62"/>
  <c r="B163" i="62"/>
  <c r="B112" i="62"/>
  <c r="B190" i="62"/>
  <c r="B83" i="62"/>
  <c r="B28" i="62"/>
  <c r="B81" i="63"/>
  <c r="B9" i="63"/>
  <c r="B76" i="63"/>
  <c r="B109" i="62"/>
  <c r="B33" i="60"/>
  <c r="B51" i="60"/>
  <c r="B23" i="60"/>
  <c r="B67" i="62"/>
  <c r="B91" i="62"/>
  <c r="B35" i="63"/>
  <c r="B32" i="62"/>
  <c r="AB118" i="46" l="1"/>
  <c r="R119" i="46"/>
  <c r="D103" i="46"/>
  <c r="D102" i="46"/>
  <c r="D101" i="46"/>
  <c r="D100" i="46"/>
  <c r="D96" i="46"/>
  <c r="B114" i="46" s="1"/>
  <c r="D99" i="46"/>
  <c r="D95" i="46"/>
  <c r="D97" i="46"/>
  <c r="D98" i="46"/>
  <c r="D94" i="46"/>
  <c r="D93" i="46"/>
  <c r="D92" i="46"/>
  <c r="D89" i="46"/>
  <c r="D90" i="46"/>
  <c r="B113" i="46" s="1"/>
  <c r="D91" i="46"/>
  <c r="D88" i="46"/>
  <c r="D87" i="46"/>
  <c r="D83" i="46"/>
  <c r="D82" i="46"/>
  <c r="B112" i="46" s="1"/>
  <c r="D86" i="46"/>
  <c r="D85" i="46"/>
  <c r="D84" i="46"/>
  <c r="D81" i="46"/>
  <c r="D74" i="46"/>
  <c r="B111" i="46" s="1"/>
  <c r="D66" i="46"/>
  <c r="B110" i="46" s="1"/>
  <c r="D80" i="46"/>
  <c r="D79" i="46"/>
  <c r="D78" i="46"/>
  <c r="D77" i="46"/>
  <c r="D76" i="46"/>
  <c r="D75" i="46"/>
  <c r="D73" i="46"/>
  <c r="D72" i="46"/>
  <c r="D71" i="46"/>
  <c r="D70" i="46"/>
  <c r="D69" i="46"/>
  <c r="D68" i="46"/>
  <c r="D67" i="46"/>
  <c r="D59" i="46"/>
  <c r="B109" i="46" s="1"/>
  <c r="AB85" i="46"/>
  <c r="AB84" i="46"/>
  <c r="AB81" i="46"/>
  <c r="AB80" i="46"/>
  <c r="AB79" i="46"/>
  <c r="AB78" i="46"/>
  <c r="AB77" i="46"/>
  <c r="AB76" i="46"/>
  <c r="AB73" i="46"/>
  <c r="AB72" i="46"/>
  <c r="AB71" i="46"/>
  <c r="AB70" i="46"/>
  <c r="AB69" i="46"/>
  <c r="AB68" i="46"/>
  <c r="D5" i="46"/>
  <c r="D32" i="46"/>
  <c r="D3" i="46"/>
  <c r="D34" i="46"/>
  <c r="C2" i="61"/>
  <c r="Q72" i="25"/>
  <c r="V51" i="38"/>
  <c r="V52" i="38"/>
  <c r="V54" i="38"/>
  <c r="V53" i="38"/>
  <c r="V48" i="38"/>
  <c r="X45" i="38"/>
  <c r="V49" i="38"/>
  <c r="V47" i="38"/>
  <c r="V46" i="38"/>
  <c r="Y67" i="25"/>
  <c r="B127" i="61"/>
  <c r="B122" i="61"/>
  <c r="B101" i="61"/>
  <c r="B146" i="61"/>
  <c r="B94" i="61"/>
  <c r="B150" i="61"/>
  <c r="B22" i="61"/>
  <c r="B158" i="61"/>
  <c r="B162" i="61"/>
  <c r="B43" i="61"/>
  <c r="B7" i="61"/>
  <c r="B100" i="61"/>
  <c r="B137" i="61"/>
  <c r="B152" i="61"/>
  <c r="B21" i="61"/>
  <c r="B13" i="61"/>
  <c r="B133" i="61"/>
  <c r="B64" i="61"/>
  <c r="B92" i="61"/>
  <c r="B11" i="61"/>
  <c r="B98" i="61"/>
  <c r="B154" i="61"/>
  <c r="B139" i="61"/>
  <c r="B138" i="61"/>
  <c r="B144" i="61"/>
  <c r="B45" i="61"/>
  <c r="B35" i="61"/>
  <c r="B10" i="61"/>
  <c r="B106" i="61"/>
  <c r="B157" i="61"/>
  <c r="B135" i="61"/>
  <c r="B40" i="61"/>
  <c r="B110" i="61"/>
  <c r="B99" i="61"/>
  <c r="B42" i="61"/>
  <c r="B141" i="61"/>
  <c r="B9" i="61"/>
  <c r="B26" i="61"/>
  <c r="B65" i="61"/>
  <c r="B131" i="61"/>
  <c r="B76" i="61"/>
  <c r="B105" i="61"/>
  <c r="B143" i="61"/>
  <c r="B89" i="61"/>
  <c r="B49" i="61"/>
  <c r="B79" i="61"/>
  <c r="B75" i="61"/>
  <c r="B19" i="61"/>
  <c r="B97" i="61"/>
  <c r="B54" i="61"/>
  <c r="B61" i="61"/>
  <c r="B142" i="61"/>
  <c r="B117" i="61"/>
  <c r="B80" i="61"/>
  <c r="B55" i="61"/>
  <c r="B50" i="61"/>
  <c r="B14" i="61"/>
  <c r="B23" i="61"/>
  <c r="B156" i="61"/>
  <c r="B17" i="61"/>
  <c r="B153" i="61"/>
  <c r="B81" i="61"/>
  <c r="B115" i="61"/>
  <c r="B151" i="61"/>
  <c r="B160" i="61"/>
  <c r="B91" i="61"/>
  <c r="B159" i="61"/>
  <c r="B111" i="61"/>
  <c r="B83" i="61"/>
  <c r="B96" i="61"/>
  <c r="B66" i="61"/>
  <c r="B56" i="61"/>
  <c r="B82" i="61"/>
  <c r="B73" i="61"/>
  <c r="B165" i="61"/>
  <c r="B103" i="61"/>
  <c r="B161" i="61"/>
  <c r="B140" i="61"/>
  <c r="B149" i="61"/>
  <c r="B46" i="61"/>
  <c r="B90" i="61"/>
  <c r="B155" i="61"/>
  <c r="B15" i="61"/>
  <c r="B148" i="61"/>
  <c r="B84" i="61"/>
  <c r="B145" i="61"/>
  <c r="B164" i="61"/>
  <c r="B88" i="61"/>
  <c r="B125" i="61"/>
  <c r="B39" i="61"/>
  <c r="B95" i="61"/>
  <c r="B60" i="61"/>
  <c r="B167" i="61"/>
  <c r="B29" i="61"/>
  <c r="B16" i="61"/>
  <c r="B116" i="61"/>
  <c r="B163" i="61"/>
  <c r="B102" i="61"/>
  <c r="B51" i="61"/>
  <c r="B24" i="61"/>
  <c r="B104" i="61"/>
  <c r="B109" i="61"/>
  <c r="B87" i="61"/>
  <c r="B27" i="61"/>
  <c r="B112" i="61"/>
  <c r="B70" i="61"/>
  <c r="B20" i="61"/>
  <c r="B63" i="61"/>
  <c r="B136" i="61"/>
  <c r="B28" i="61"/>
  <c r="B25" i="61"/>
  <c r="B58" i="61"/>
  <c r="B75" i="63"/>
  <c r="B57" i="63"/>
  <c r="B68" i="61"/>
  <c r="B57" i="61"/>
  <c r="B38" i="63"/>
  <c r="B69" i="61"/>
  <c r="B41" i="61"/>
  <c r="B166" i="61"/>
  <c r="B124" i="61"/>
  <c r="B62" i="61"/>
  <c r="B67" i="61"/>
  <c r="B134" i="61"/>
  <c r="B118" i="61"/>
  <c r="B55" i="63"/>
  <c r="B12" i="61"/>
  <c r="B8" i="61"/>
  <c r="B93" i="61"/>
  <c r="B114" i="61"/>
  <c r="B123" i="61"/>
  <c r="B6" i="61"/>
  <c r="B18" i="61"/>
  <c r="B38" i="61"/>
  <c r="B147" i="61"/>
  <c r="B59" i="61"/>
  <c r="B119" i="61"/>
  <c r="B36" i="61"/>
  <c r="B44" i="61"/>
  <c r="B132" i="61"/>
  <c r="B113" i="61"/>
  <c r="B37" i="61"/>
  <c r="B74" i="61"/>
  <c r="T2" i="46" l="1"/>
  <c r="D69" i="29"/>
  <c r="BC2" i="34"/>
  <c r="Y12" i="34"/>
  <c r="D19" i="39"/>
  <c r="C84" i="25"/>
  <c r="E97" i="25" s="1"/>
  <c r="J55" i="25"/>
  <c r="D11" i="39"/>
  <c r="L7" i="39"/>
  <c r="V7" i="39"/>
  <c r="Y86" i="25"/>
  <c r="R106" i="29"/>
  <c r="L81" i="25"/>
  <c r="G9" i="38"/>
  <c r="R108" i="29"/>
  <c r="L80" i="25"/>
  <c r="L97" i="25" s="1"/>
  <c r="Y75" i="25"/>
  <c r="M49" i="25"/>
  <c r="Y98" i="25"/>
  <c r="Y78" i="25"/>
  <c r="L79" i="25"/>
  <c r="L87" i="25" s="1"/>
  <c r="R113" i="29"/>
  <c r="R116" i="29"/>
  <c r="C79" i="25"/>
  <c r="E96" i="25" s="1"/>
  <c r="J49" i="25"/>
  <c r="Y79" i="25"/>
  <c r="D34" i="34"/>
  <c r="Y83" i="25"/>
  <c r="O52" i="34"/>
  <c r="G52" i="34"/>
  <c r="R115" i="29"/>
  <c r="L9" i="34"/>
  <c r="R107" i="29"/>
  <c r="AC7" i="34"/>
  <c r="T10" i="38"/>
  <c r="F126" i="63"/>
  <c r="S126" i="63" s="1"/>
  <c r="F105" i="63"/>
  <c r="K105" i="63" s="1"/>
  <c r="F119" i="63"/>
  <c r="O119" i="63" s="1"/>
  <c r="F110" i="63"/>
  <c r="K110" i="63" s="1"/>
  <c r="AZ82" i="39"/>
  <c r="AA67" i="25"/>
  <c r="AA72" i="25"/>
  <c r="AA94" i="25"/>
  <c r="AA68" i="25"/>
  <c r="F128" i="63"/>
  <c r="I128" i="63" s="1"/>
  <c r="F120" i="63"/>
  <c r="O120" i="63" s="1"/>
  <c r="F111" i="63"/>
  <c r="H111" i="63" s="1"/>
  <c r="F101" i="63"/>
  <c r="R101" i="63" s="1"/>
  <c r="AA98" i="25"/>
  <c r="AA89" i="25"/>
  <c r="AA95" i="25"/>
  <c r="AA78" i="25"/>
  <c r="F127" i="63"/>
  <c r="K127" i="63" s="1"/>
  <c r="F124" i="63"/>
  <c r="J124" i="63" s="1"/>
  <c r="F103" i="63"/>
  <c r="R103" i="63" s="1"/>
  <c r="AA69" i="25"/>
  <c r="AA93" i="25"/>
  <c r="AA91" i="25"/>
  <c r="F130" i="63"/>
  <c r="R130" i="63" s="1"/>
  <c r="F116" i="63"/>
  <c r="R116" i="63" s="1"/>
  <c r="F122" i="63"/>
  <c r="S122" i="63" s="1"/>
  <c r="AA90" i="25"/>
  <c r="AA96" i="25"/>
  <c r="AA75" i="25"/>
  <c r="F108" i="63"/>
  <c r="P108" i="63" s="1"/>
  <c r="F129" i="63"/>
  <c r="O129" i="63" s="1"/>
  <c r="F112" i="63"/>
  <c r="S112" i="63" s="1"/>
  <c r="F118" i="63"/>
  <c r="O118" i="63" s="1"/>
  <c r="AA82" i="25"/>
  <c r="AA88" i="25"/>
  <c r="AA86" i="25"/>
  <c r="F125" i="63"/>
  <c r="S125" i="63" s="1"/>
  <c r="F114" i="63"/>
  <c r="Q114" i="63" s="1"/>
  <c r="F121" i="63"/>
  <c r="R121" i="63" s="1"/>
  <c r="F106" i="63"/>
  <c r="N106" i="63" s="1"/>
  <c r="AA73" i="25"/>
  <c r="AA92" i="25"/>
  <c r="F117" i="63"/>
  <c r="R117" i="63" s="1"/>
  <c r="F100" i="63"/>
  <c r="P100" i="63" s="1"/>
  <c r="AA80" i="25"/>
  <c r="AA84" i="25"/>
  <c r="F104" i="63"/>
  <c r="R104" i="63" s="1"/>
  <c r="AA81" i="25"/>
  <c r="AA85" i="25"/>
  <c r="F113" i="63"/>
  <c r="O113" i="63" s="1"/>
  <c r="AA83" i="25"/>
  <c r="AA76" i="25"/>
  <c r="F109" i="63"/>
  <c r="P109" i="63" s="1"/>
  <c r="AA87" i="25"/>
  <c r="AA74" i="25"/>
  <c r="AA79" i="25"/>
  <c r="AO83" i="34"/>
  <c r="F123" i="63"/>
  <c r="S123" i="63" s="1"/>
  <c r="AA71" i="25"/>
  <c r="F102" i="63"/>
  <c r="F115" i="63"/>
  <c r="S115" i="63" s="1"/>
  <c r="AA70" i="25"/>
  <c r="AA97" i="25"/>
  <c r="AA77" i="25"/>
  <c r="F131" i="63"/>
  <c r="O131" i="63" s="1"/>
  <c r="F107" i="63"/>
  <c r="K107" i="63" s="1"/>
  <c r="AP9" i="38"/>
  <c r="AP56" i="38" s="1"/>
  <c r="D13" i="38"/>
  <c r="M55" i="25"/>
  <c r="S15" i="39"/>
  <c r="Y95" i="25"/>
  <c r="N6" i="39"/>
  <c r="Y87" i="25"/>
  <c r="G55" i="25"/>
  <c r="C81" i="25"/>
  <c r="V2" i="25"/>
  <c r="D24" i="29"/>
  <c r="E32" i="34"/>
  <c r="S16" i="39"/>
  <c r="E98" i="25"/>
  <c r="L83" i="25"/>
  <c r="AQ9" i="38"/>
  <c r="AQ56" i="38" s="1"/>
  <c r="Y94" i="25"/>
  <c r="U27" i="29"/>
  <c r="S27" i="29" s="1"/>
  <c r="AL2" i="38"/>
  <c r="AL9" i="38"/>
  <c r="D17" i="25"/>
  <c r="T9" i="38"/>
  <c r="AC6" i="34"/>
  <c r="S12" i="38"/>
  <c r="AB9" i="34"/>
  <c r="R111" i="29"/>
  <c r="G49" i="25"/>
  <c r="G28" i="34"/>
  <c r="G18" i="34"/>
  <c r="G16" i="34"/>
  <c r="G24" i="34"/>
  <c r="G20" i="34"/>
  <c r="G26" i="34"/>
  <c r="C78" i="25"/>
  <c r="Y82" i="25"/>
  <c r="C83" i="25"/>
  <c r="E95" i="25" s="1"/>
  <c r="D14" i="29"/>
  <c r="S14" i="39"/>
  <c r="Y84" i="25"/>
  <c r="AC8" i="34"/>
  <c r="T11" i="38"/>
  <c r="G54" i="39"/>
  <c r="G44" i="39"/>
  <c r="G24" i="39"/>
  <c r="G13" i="34"/>
  <c r="G51" i="34"/>
  <c r="Q34" i="39"/>
  <c r="Q44" i="39"/>
  <c r="G35" i="34"/>
  <c r="G34" i="39"/>
  <c r="G45" i="34"/>
  <c r="Q24" i="39"/>
  <c r="G55" i="34"/>
  <c r="Q54" i="39"/>
  <c r="R105" i="29"/>
  <c r="P55" i="25"/>
  <c r="L82" i="25"/>
  <c r="L95" i="25" s="1"/>
  <c r="Y92" i="25"/>
  <c r="Y74" i="25"/>
  <c r="V2" i="29"/>
  <c r="Y68" i="25"/>
  <c r="D6" i="39"/>
  <c r="Y97" i="25"/>
  <c r="Y81" i="25"/>
  <c r="P49" i="25"/>
  <c r="Y88" i="25"/>
  <c r="Y96" i="25"/>
  <c r="D50" i="34"/>
  <c r="D22" i="29"/>
  <c r="D14" i="39"/>
  <c r="Y77" i="25"/>
  <c r="C77" i="25"/>
  <c r="D54" i="34"/>
  <c r="F54" i="39"/>
  <c r="F13" i="34"/>
  <c r="F24" i="39"/>
  <c r="F55" i="34"/>
  <c r="P34" i="39"/>
  <c r="P44" i="39"/>
  <c r="F51" i="34"/>
  <c r="F45" i="34"/>
  <c r="F44" i="39"/>
  <c r="F35" i="34"/>
  <c r="F34" i="39"/>
  <c r="P24" i="39"/>
  <c r="Y91" i="25"/>
  <c r="E35" i="34"/>
  <c r="O44" i="39"/>
  <c r="E34" i="39"/>
  <c r="O24" i="39"/>
  <c r="E24" i="39"/>
  <c r="E44" i="39"/>
  <c r="E55" i="34"/>
  <c r="E51" i="34"/>
  <c r="E54" i="39"/>
  <c r="E45" i="34"/>
  <c r="O34" i="39"/>
  <c r="O54" i="39"/>
  <c r="E13" i="34"/>
  <c r="I59" i="34"/>
  <c r="Y80" i="25"/>
  <c r="C80" i="25"/>
  <c r="R112" i="29"/>
  <c r="Y70" i="25"/>
  <c r="G22" i="34"/>
  <c r="O14" i="34"/>
  <c r="O16" i="34"/>
  <c r="G14" i="34"/>
  <c r="O26" i="34"/>
  <c r="O22" i="34"/>
  <c r="O18" i="34"/>
  <c r="O28" i="34"/>
  <c r="O24" i="34"/>
  <c r="O20" i="34"/>
  <c r="AO9" i="38"/>
  <c r="AO56" i="38" s="1"/>
  <c r="Y71" i="25"/>
  <c r="BC2" i="39"/>
  <c r="D44" i="34"/>
  <c r="E31" i="34"/>
  <c r="J44" i="39"/>
  <c r="T24" i="39"/>
  <c r="W55" i="34"/>
  <c r="W13" i="34"/>
  <c r="T54" i="39"/>
  <c r="J24" i="39"/>
  <c r="W51" i="34"/>
  <c r="W45" i="34"/>
  <c r="J34" i="39"/>
  <c r="W35" i="34"/>
  <c r="T34" i="39"/>
  <c r="J54" i="39"/>
  <c r="T44" i="39"/>
  <c r="D33" i="34"/>
  <c r="Y89" i="25"/>
  <c r="D5" i="38"/>
  <c r="V22" i="39"/>
  <c r="Y76" i="25"/>
  <c r="C82" i="25"/>
  <c r="D5" i="34"/>
  <c r="Y73" i="25"/>
  <c r="D3" i="34"/>
  <c r="D3" i="38"/>
  <c r="D3" i="39"/>
  <c r="Y72" i="25"/>
  <c r="R114" i="29"/>
  <c r="G42" i="34"/>
  <c r="O48" i="34"/>
  <c r="O56" i="34"/>
  <c r="G40" i="34"/>
  <c r="O36" i="34"/>
  <c r="O38" i="34"/>
  <c r="O42" i="34"/>
  <c r="G36" i="34"/>
  <c r="O46" i="34"/>
  <c r="O40" i="34"/>
  <c r="G46" i="34"/>
  <c r="G38" i="34"/>
  <c r="G48" i="34"/>
  <c r="G56" i="34"/>
  <c r="Y93" i="25"/>
  <c r="Y69" i="25"/>
  <c r="D11" i="34"/>
  <c r="Y90" i="25"/>
  <c r="D9" i="39"/>
  <c r="Y85" i="25"/>
  <c r="R109" i="29"/>
  <c r="R110" i="29"/>
  <c r="D43" i="39"/>
  <c r="AD66" i="39" s="1"/>
  <c r="K34" i="38"/>
  <c r="V40" i="38" s="1"/>
  <c r="AB40" i="38" s="1"/>
  <c r="AE40" i="38" s="1"/>
  <c r="AL41" i="38" s="1"/>
  <c r="AL45" i="38" s="1"/>
  <c r="D53" i="39"/>
  <c r="Y53" i="39" s="1"/>
  <c r="AB45" i="38"/>
  <c r="AE45" i="38" s="1"/>
  <c r="AL46" i="38" s="1"/>
  <c r="AL50" i="38" s="1"/>
  <c r="K24" i="38"/>
  <c r="V30" i="38" s="1"/>
  <c r="AB30" i="38" s="1"/>
  <c r="AE30" i="38" s="1"/>
  <c r="AL31" i="38" s="1"/>
  <c r="AL35" i="38" s="1"/>
  <c r="N53" i="39"/>
  <c r="AB53" i="39" s="1"/>
  <c r="AH9" i="38" s="1"/>
  <c r="AL65" i="38" s="1"/>
  <c r="D34" i="38"/>
  <c r="V35" i="38" s="1"/>
  <c r="AB35" i="38" s="1"/>
  <c r="AC35" i="38" s="1"/>
  <c r="D23" i="39"/>
  <c r="Y23" i="39" s="1"/>
  <c r="N33" i="39"/>
  <c r="AJ37" i="39" s="1"/>
  <c r="AJ86" i="39" s="1"/>
  <c r="D24" i="38"/>
  <c r="V25" i="38" s="1"/>
  <c r="AB25" i="38" s="1"/>
  <c r="AE25" i="38" s="1"/>
  <c r="AL26" i="38" s="1"/>
  <c r="AL30" i="38" s="1"/>
  <c r="AB50" i="38"/>
  <c r="AE50" i="38" s="1"/>
  <c r="AL51" i="38" s="1"/>
  <c r="D33" i="39"/>
  <c r="N23" i="39"/>
  <c r="AB23" i="39" s="1"/>
  <c r="D14" i="38"/>
  <c r="V15" i="38" s="1"/>
  <c r="AB15" i="38" s="1"/>
  <c r="AE15" i="38" s="1"/>
  <c r="AL16" i="38" s="1"/>
  <c r="AL20" i="38" s="1"/>
  <c r="N43" i="39"/>
  <c r="AJ55" i="39" s="1"/>
  <c r="AJ88" i="39" s="1"/>
  <c r="K14" i="38"/>
  <c r="V20" i="38" s="1"/>
  <c r="AB20" i="38" s="1"/>
  <c r="AE20" i="38" s="1"/>
  <c r="AL21" i="38" s="1"/>
  <c r="AL25" i="38" s="1"/>
  <c r="AG24" i="39"/>
  <c r="AG35" i="39"/>
  <c r="AG36" i="39"/>
  <c r="AG25" i="39"/>
  <c r="AA48" i="38"/>
  <c r="U48" i="38"/>
  <c r="AA53" i="38"/>
  <c r="U53" i="38"/>
  <c r="AA54" i="38"/>
  <c r="U54" i="38"/>
  <c r="AA46" i="38"/>
  <c r="U46" i="38"/>
  <c r="AA52" i="38"/>
  <c r="U52" i="38"/>
  <c r="AA51" i="38"/>
  <c r="U51" i="38"/>
  <c r="AA47" i="38"/>
  <c r="U47" i="38"/>
  <c r="AA49" i="38"/>
  <c r="U49" i="38"/>
  <c r="AQ14" i="34"/>
  <c r="AE88" i="25"/>
  <c r="AG88" i="25" s="1"/>
  <c r="D51" i="38" l="1"/>
  <c r="D53" i="38"/>
  <c r="D47" i="38"/>
  <c r="D49" i="38"/>
  <c r="K51" i="38"/>
  <c r="K53" i="38"/>
  <c r="K47" i="38"/>
  <c r="K49" i="38"/>
  <c r="K41" i="38"/>
  <c r="K43" i="38"/>
  <c r="K37" i="38"/>
  <c r="K39" i="38"/>
  <c r="D41" i="38"/>
  <c r="D43" i="38"/>
  <c r="D37" i="38"/>
  <c r="D39" i="38"/>
  <c r="K31" i="38"/>
  <c r="K33" i="38"/>
  <c r="K27" i="38"/>
  <c r="K29" i="38"/>
  <c r="D31" i="38"/>
  <c r="D33" i="38"/>
  <c r="D27" i="38"/>
  <c r="D29" i="38"/>
  <c r="D23" i="38"/>
  <c r="K102" i="63"/>
  <c r="G102" i="63"/>
  <c r="AJ28" i="39"/>
  <c r="AH33" i="39" s="1"/>
  <c r="AG47" i="39"/>
  <c r="L110" i="63"/>
  <c r="L96" i="25"/>
  <c r="AE86" i="25"/>
  <c r="AG86" i="25" s="1"/>
  <c r="AE80" i="25"/>
  <c r="AG80" i="25" s="1"/>
  <c r="AC97" i="25"/>
  <c r="AC74" i="25"/>
  <c r="AC95" i="25"/>
  <c r="AC94" i="25"/>
  <c r="AC79" i="25"/>
  <c r="AC81" i="25"/>
  <c r="AQ16" i="34"/>
  <c r="AQ76" i="34"/>
  <c r="AC87" i="25"/>
  <c r="AC84" i="25"/>
  <c r="AQ97" i="34"/>
  <c r="AC89" i="25"/>
  <c r="AQ78" i="34"/>
  <c r="AQ34" i="34"/>
  <c r="AC78" i="25"/>
  <c r="AQ32" i="34"/>
  <c r="AC80" i="25"/>
  <c r="AC93" i="25"/>
  <c r="AC98" i="25"/>
  <c r="AC67" i="25"/>
  <c r="AQ74" i="34"/>
  <c r="AC76" i="25"/>
  <c r="AQ92" i="34"/>
  <c r="AC75" i="25"/>
  <c r="AQ75" i="34"/>
  <c r="AC71" i="25"/>
  <c r="AQ94" i="34"/>
  <c r="AC96" i="25"/>
  <c r="AE74" i="25"/>
  <c r="AG74" i="25" s="1"/>
  <c r="AQ51" i="34"/>
  <c r="AE87" i="25"/>
  <c r="AG87" i="25" s="1"/>
  <c r="AC92" i="25"/>
  <c r="AC82" i="25"/>
  <c r="AC90" i="25"/>
  <c r="AQ15" i="34"/>
  <c r="AE95" i="25"/>
  <c r="AG95" i="25" s="1"/>
  <c r="AC85" i="25"/>
  <c r="AC73" i="25"/>
  <c r="M120" i="63"/>
  <c r="P120" i="63"/>
  <c r="J101" i="63"/>
  <c r="M50" i="25"/>
  <c r="K101" i="63"/>
  <c r="N101" i="63"/>
  <c r="AE79" i="25"/>
  <c r="AG79" i="25" s="1"/>
  <c r="G100" i="63"/>
  <c r="P101" i="63"/>
  <c r="G108" i="63"/>
  <c r="AC69" i="25"/>
  <c r="AQ99" i="34"/>
  <c r="I100" i="63"/>
  <c r="AQ82" i="34"/>
  <c r="AC86" i="25"/>
  <c r="I101" i="63"/>
  <c r="L101" i="63"/>
  <c r="O101" i="63"/>
  <c r="H101" i="63"/>
  <c r="K100" i="63"/>
  <c r="Q101" i="63"/>
  <c r="AE73" i="25"/>
  <c r="AG73" i="25" s="1"/>
  <c r="G101" i="63"/>
  <c r="L102" i="63"/>
  <c r="L100" i="63"/>
  <c r="S102" i="63"/>
  <c r="AQ24" i="34"/>
  <c r="H100" i="63"/>
  <c r="N100" i="63"/>
  <c r="S101" i="63"/>
  <c r="AQ37" i="34"/>
  <c r="AE81" i="25"/>
  <c r="AG81" i="25" s="1"/>
  <c r="J102" i="63"/>
  <c r="Q100" i="63"/>
  <c r="AQ81" i="34"/>
  <c r="J100" i="63"/>
  <c r="M101" i="63"/>
  <c r="R100" i="63"/>
  <c r="AK88" i="39"/>
  <c r="AL88" i="39" s="1"/>
  <c r="AM88" i="39" s="1"/>
  <c r="AN88" i="39" s="1"/>
  <c r="AS88" i="39" s="1"/>
  <c r="AK86" i="39"/>
  <c r="AL86" i="39" s="1"/>
  <c r="AM86" i="39" s="1"/>
  <c r="AN86" i="39" s="1"/>
  <c r="AS86" i="39" s="1"/>
  <c r="AE92" i="25"/>
  <c r="AG92" i="25" s="1"/>
  <c r="E92" i="25"/>
  <c r="I102" i="63"/>
  <c r="M100" i="63"/>
  <c r="N108" i="63"/>
  <c r="T52" i="38"/>
  <c r="L92" i="25"/>
  <c r="G110" i="63"/>
  <c r="AE76" i="25"/>
  <c r="AG76" i="25" s="1"/>
  <c r="P115" i="63"/>
  <c r="AQ73" i="34"/>
  <c r="AQ29" i="34"/>
  <c r="I110" i="63"/>
  <c r="G56" i="25"/>
  <c r="P102" i="63"/>
  <c r="O100" i="63"/>
  <c r="P51" i="25"/>
  <c r="J125" i="63"/>
  <c r="P125" i="63"/>
  <c r="AQ86" i="34"/>
  <c r="J108" i="63"/>
  <c r="Q115" i="63"/>
  <c r="G125" i="63"/>
  <c r="N125" i="63"/>
  <c r="L93" i="25"/>
  <c r="L90" i="25"/>
  <c r="AQ35" i="34"/>
  <c r="N109" i="63"/>
  <c r="O109" i="63"/>
  <c r="O125" i="63"/>
  <c r="J53" i="25"/>
  <c r="S108" i="63"/>
  <c r="AB92" i="25"/>
  <c r="N102" i="63"/>
  <c r="O102" i="63"/>
  <c r="H102" i="63"/>
  <c r="Q102" i="63"/>
  <c r="AB75" i="25"/>
  <c r="I109" i="63"/>
  <c r="I115" i="63"/>
  <c r="J115" i="63"/>
  <c r="M115" i="63"/>
  <c r="AQ45" i="34"/>
  <c r="S100" i="63"/>
  <c r="AB93" i="25"/>
  <c r="T47" i="38"/>
  <c r="M102" i="63"/>
  <c r="M52" i="25"/>
  <c r="AQ19" i="34"/>
  <c r="J50" i="25"/>
  <c r="AE91" i="25"/>
  <c r="AG91" i="25" s="1"/>
  <c r="R115" i="63"/>
  <c r="Q125" i="63"/>
  <c r="Z66" i="39"/>
  <c r="H115" i="63"/>
  <c r="L108" i="63"/>
  <c r="K115" i="63"/>
  <c r="AE67" i="25"/>
  <c r="AG67" i="25" s="1"/>
  <c r="I125" i="63"/>
  <c r="K108" i="63"/>
  <c r="L115" i="63"/>
  <c r="AE72" i="25"/>
  <c r="AG72" i="25" s="1"/>
  <c r="AQ26" i="34"/>
  <c r="AQ22" i="34"/>
  <c r="G109" i="63"/>
  <c r="J109" i="63"/>
  <c r="H125" i="63"/>
  <c r="K109" i="63"/>
  <c r="N115" i="63"/>
  <c r="O108" i="63"/>
  <c r="Q109" i="63"/>
  <c r="AQ104" i="34"/>
  <c r="H109" i="63"/>
  <c r="L109" i="63"/>
  <c r="K125" i="63"/>
  <c r="Q108" i="63"/>
  <c r="R109" i="63"/>
  <c r="S109" i="63"/>
  <c r="G115" i="63"/>
  <c r="I108" i="63"/>
  <c r="M109" i="63"/>
  <c r="L125" i="63"/>
  <c r="R108" i="63"/>
  <c r="O115" i="63"/>
  <c r="AQ77" i="34"/>
  <c r="AE96" i="25"/>
  <c r="AG96" i="25" s="1"/>
  <c r="T48" i="38"/>
  <c r="AB69" i="25"/>
  <c r="R102" i="63"/>
  <c r="T54" i="38"/>
  <c r="AE98" i="25"/>
  <c r="AC91" i="25"/>
  <c r="AQ52" i="34"/>
  <c r="L114" i="63"/>
  <c r="M59" i="25"/>
  <c r="AB70" i="25"/>
  <c r="AB98" i="25"/>
  <c r="AB87" i="25"/>
  <c r="AE75" i="25"/>
  <c r="AG75" i="25" s="1"/>
  <c r="AJ46" i="39"/>
  <c r="AJ87" i="39" s="1"/>
  <c r="N112" i="63"/>
  <c r="M57" i="25"/>
  <c r="AB91" i="25"/>
  <c r="M58" i="25"/>
  <c r="AB72" i="25"/>
  <c r="AQ41" i="34"/>
  <c r="AE93" i="25"/>
  <c r="AG93" i="25" s="1"/>
  <c r="AB89" i="25"/>
  <c r="V21" i="38"/>
  <c r="AA21" i="38" s="1"/>
  <c r="I114" i="63"/>
  <c r="N114" i="63"/>
  <c r="P114" i="63"/>
  <c r="AE71" i="25"/>
  <c r="AG71" i="25" s="1"/>
  <c r="AB84" i="25"/>
  <c r="H114" i="63"/>
  <c r="S114" i="63"/>
  <c r="AQ42" i="34"/>
  <c r="G114" i="63"/>
  <c r="AC70" i="25"/>
  <c r="AQ46" i="34"/>
  <c r="K114" i="63"/>
  <c r="AC72" i="25"/>
  <c r="P59" i="25"/>
  <c r="AB77" i="25"/>
  <c r="H108" i="63"/>
  <c r="M108" i="63"/>
  <c r="M125" i="63"/>
  <c r="R125" i="63"/>
  <c r="AE90" i="25"/>
  <c r="AG90" i="25" s="1"/>
  <c r="AJ19" i="39"/>
  <c r="AH23" i="39" s="1"/>
  <c r="AA66" i="39"/>
  <c r="AE68" i="25"/>
  <c r="AG68" i="25" s="1"/>
  <c r="G52" i="25"/>
  <c r="AQ27" i="34"/>
  <c r="K121" i="63"/>
  <c r="M53" i="25"/>
  <c r="I121" i="63"/>
  <c r="P129" i="63"/>
  <c r="S121" i="63"/>
  <c r="H121" i="63"/>
  <c r="O121" i="63"/>
  <c r="R129" i="63"/>
  <c r="G121" i="63"/>
  <c r="H104" i="63"/>
  <c r="K130" i="63"/>
  <c r="O130" i="63"/>
  <c r="K129" i="63"/>
  <c r="S41" i="29"/>
  <c r="AQ83" i="34"/>
  <c r="AE77" i="25"/>
  <c r="AG77" i="25" s="1"/>
  <c r="S29" i="29"/>
  <c r="AB79" i="25"/>
  <c r="I112" i="63"/>
  <c r="AC77" i="25"/>
  <c r="S35" i="29"/>
  <c r="G116" i="63"/>
  <c r="AC68" i="25"/>
  <c r="N126" i="63"/>
  <c r="AB68" i="25"/>
  <c r="I106" i="63"/>
  <c r="P112" i="63"/>
  <c r="O126" i="63"/>
  <c r="S116" i="63"/>
  <c r="L85" i="25"/>
  <c r="Q112" i="63"/>
  <c r="P126" i="63"/>
  <c r="AG38" i="39"/>
  <c r="J112" i="63"/>
  <c r="I126" i="63"/>
  <c r="L116" i="63"/>
  <c r="Q126" i="63"/>
  <c r="P106" i="63"/>
  <c r="AQ87" i="34"/>
  <c r="AB81" i="25"/>
  <c r="G126" i="63"/>
  <c r="G112" i="63"/>
  <c r="H112" i="63"/>
  <c r="J126" i="63"/>
  <c r="K116" i="63"/>
  <c r="K106" i="63"/>
  <c r="R126" i="63"/>
  <c r="O106" i="63"/>
  <c r="G57" i="25"/>
  <c r="H126" i="63"/>
  <c r="M116" i="63"/>
  <c r="L106" i="63"/>
  <c r="O116" i="63"/>
  <c r="AB43" i="39"/>
  <c r="I116" i="63"/>
  <c r="K126" i="63"/>
  <c r="N116" i="63"/>
  <c r="P116" i="63"/>
  <c r="AQ30" i="34"/>
  <c r="AH59" i="39"/>
  <c r="J116" i="63"/>
  <c r="L112" i="63"/>
  <c r="L126" i="63"/>
  <c r="Q116" i="63"/>
  <c r="AQ84" i="34"/>
  <c r="H116" i="63"/>
  <c r="K112" i="63"/>
  <c r="M126" i="63"/>
  <c r="O112" i="63"/>
  <c r="V22" i="38"/>
  <c r="AG17" i="39"/>
  <c r="AE69" i="25"/>
  <c r="AG69" i="25" s="1"/>
  <c r="V34" i="38"/>
  <c r="U34" i="38" s="1"/>
  <c r="I103" i="63"/>
  <c r="T46" i="38"/>
  <c r="AC20" i="38"/>
  <c r="AQ17" i="34"/>
  <c r="AG28" i="39"/>
  <c r="V24" i="38"/>
  <c r="AA24" i="38" s="1"/>
  <c r="AG37" i="39"/>
  <c r="L91" i="25"/>
  <c r="AQ44" i="34"/>
  <c r="V23" i="38"/>
  <c r="AA23" i="38" s="1"/>
  <c r="AB66" i="39"/>
  <c r="J114" i="63"/>
  <c r="M107" i="63"/>
  <c r="M114" i="63"/>
  <c r="K120" i="63"/>
  <c r="O114" i="63"/>
  <c r="P119" i="63"/>
  <c r="R106" i="63"/>
  <c r="AB74" i="25"/>
  <c r="V44" i="38"/>
  <c r="AA44" i="38" s="1"/>
  <c r="AG34" i="39"/>
  <c r="V32" i="38"/>
  <c r="AG29" i="39"/>
  <c r="J106" i="63"/>
  <c r="M112" i="63"/>
  <c r="M106" i="63"/>
  <c r="R112" i="63"/>
  <c r="R114" i="63"/>
  <c r="Q106" i="63"/>
  <c r="S106" i="63"/>
  <c r="AQ95" i="34"/>
  <c r="AQ93" i="34"/>
  <c r="AQ85" i="34"/>
  <c r="AQ90" i="34"/>
  <c r="AG13" i="39"/>
  <c r="G106" i="63"/>
  <c r="H106" i="63"/>
  <c r="S113" i="63"/>
  <c r="AG44" i="39"/>
  <c r="E88" i="25"/>
  <c r="E89" i="25"/>
  <c r="D13" i="25" s="1"/>
  <c r="J43" i="25" s="1"/>
  <c r="J56" i="25"/>
  <c r="AE35" i="38"/>
  <c r="AL36" i="38" s="1"/>
  <c r="AL40" i="38" s="1"/>
  <c r="V17" i="38"/>
  <c r="AQ20" i="34"/>
  <c r="AC30" i="38"/>
  <c r="Y43" i="39"/>
  <c r="AG20" i="39"/>
  <c r="AG26" i="39"/>
  <c r="V36" i="38"/>
  <c r="Y12" i="38" s="1"/>
  <c r="Y33" i="39"/>
  <c r="P113" i="63"/>
  <c r="Q119" i="63"/>
  <c r="Q120" i="63"/>
  <c r="AB67" i="25"/>
  <c r="V38" i="38"/>
  <c r="AA38" i="38" s="1"/>
  <c r="J51" i="25"/>
  <c r="AQ50" i="34"/>
  <c r="AQ40" i="34"/>
  <c r="AG16" i="39"/>
  <c r="V33" i="38"/>
  <c r="U33" i="38" s="1"/>
  <c r="AG43" i="39"/>
  <c r="I123" i="63"/>
  <c r="H124" i="63"/>
  <c r="Q113" i="63"/>
  <c r="AE89" i="25"/>
  <c r="AG89" i="25" s="1"/>
  <c r="AQ25" i="34"/>
  <c r="AE85" i="25"/>
  <c r="AG85" i="25" s="1"/>
  <c r="L94" i="25"/>
  <c r="AG39" i="39"/>
  <c r="V37" i="38"/>
  <c r="T37" i="38" s="1"/>
  <c r="AG27" i="39"/>
  <c r="J52" i="25"/>
  <c r="AC15" i="38"/>
  <c r="M51" i="25"/>
  <c r="AB76" i="25"/>
  <c r="T51" i="38"/>
  <c r="AQ21" i="34"/>
  <c r="AG19" i="39"/>
  <c r="AG42" i="39"/>
  <c r="V31" i="38"/>
  <c r="U31" i="38" s="1"/>
  <c r="AC23" i="38"/>
  <c r="L107" i="63"/>
  <c r="AE78" i="25"/>
  <c r="AG78" i="25" s="1"/>
  <c r="AC50" i="38"/>
  <c r="V18" i="38"/>
  <c r="U18" i="38" s="1"/>
  <c r="V39" i="38"/>
  <c r="U39" i="38" s="1"/>
  <c r="AQ103" i="34"/>
  <c r="M127" i="63"/>
  <c r="L105" i="63"/>
  <c r="X15" i="38"/>
  <c r="V16" i="38"/>
  <c r="T16" i="38" s="1"/>
  <c r="V19" i="38"/>
  <c r="T19" i="38" s="1"/>
  <c r="J118" i="63"/>
  <c r="G51" i="25"/>
  <c r="J122" i="63"/>
  <c r="S128" i="63"/>
  <c r="AB85" i="25"/>
  <c r="R131" i="63"/>
  <c r="J58" i="25"/>
  <c r="AB86" i="25"/>
  <c r="AB94" i="25"/>
  <c r="AB78" i="25"/>
  <c r="J121" i="63"/>
  <c r="I131" i="63"/>
  <c r="I118" i="63"/>
  <c r="I105" i="63"/>
  <c r="L127" i="63"/>
  <c r="P121" i="63"/>
  <c r="P130" i="63"/>
  <c r="Q129" i="63"/>
  <c r="AB97" i="25"/>
  <c r="E87" i="25"/>
  <c r="G58" i="25"/>
  <c r="G50" i="25"/>
  <c r="T49" i="38"/>
  <c r="P50" i="25"/>
  <c r="AB73" i="25"/>
  <c r="G131" i="63"/>
  <c r="H131" i="63"/>
  <c r="H118" i="63"/>
  <c r="I129" i="63"/>
  <c r="L121" i="63"/>
  <c r="M131" i="63"/>
  <c r="N127" i="63"/>
  <c r="L130" i="63"/>
  <c r="M105" i="63"/>
  <c r="L129" i="63"/>
  <c r="P104" i="63"/>
  <c r="G53" i="25"/>
  <c r="AQ47" i="34"/>
  <c r="G129" i="63"/>
  <c r="J127" i="63"/>
  <c r="I130" i="63"/>
  <c r="J129" i="63"/>
  <c r="M121" i="63"/>
  <c r="N131" i="63"/>
  <c r="L104" i="63"/>
  <c r="M130" i="63"/>
  <c r="N105" i="63"/>
  <c r="M129" i="63"/>
  <c r="O104" i="63"/>
  <c r="S105" i="63"/>
  <c r="AQ101" i="34"/>
  <c r="AE94" i="25"/>
  <c r="AG94" i="25" s="1"/>
  <c r="AB95" i="25"/>
  <c r="G104" i="63"/>
  <c r="H127" i="63"/>
  <c r="J130" i="63"/>
  <c r="H129" i="63"/>
  <c r="J128" i="63"/>
  <c r="N121" i="63"/>
  <c r="M104" i="63"/>
  <c r="N130" i="63"/>
  <c r="N129" i="63"/>
  <c r="P118" i="63"/>
  <c r="S127" i="63"/>
  <c r="AQ80" i="34"/>
  <c r="J131" i="63"/>
  <c r="L131" i="63"/>
  <c r="AQ49" i="34"/>
  <c r="AE83" i="25"/>
  <c r="AG83" i="25" s="1"/>
  <c r="G59" i="25"/>
  <c r="AQ39" i="34"/>
  <c r="AK79" i="39"/>
  <c r="AG67" i="39" s="1"/>
  <c r="G118" i="63"/>
  <c r="I104" i="63"/>
  <c r="H130" i="63"/>
  <c r="H128" i="63"/>
  <c r="K104" i="63"/>
  <c r="P131" i="63"/>
  <c r="Q118" i="63"/>
  <c r="AB83" i="25"/>
  <c r="AB88" i="25"/>
  <c r="V26" i="38"/>
  <c r="AA26" i="38" s="1"/>
  <c r="M56" i="25"/>
  <c r="G130" i="63"/>
  <c r="I122" i="63"/>
  <c r="J104" i="63"/>
  <c r="N104" i="63"/>
  <c r="Q131" i="63"/>
  <c r="R118" i="63"/>
  <c r="S104" i="63"/>
  <c r="AQ100" i="34"/>
  <c r="AG53" i="39"/>
  <c r="AC45" i="38"/>
  <c r="X35" i="38"/>
  <c r="AG49" i="39"/>
  <c r="AG22" i="39"/>
  <c r="AG55" i="39"/>
  <c r="V29" i="38"/>
  <c r="T29" i="38" s="1"/>
  <c r="AG32" i="39"/>
  <c r="AB33" i="39"/>
  <c r="AG15" i="39"/>
  <c r="G124" i="63"/>
  <c r="H103" i="63"/>
  <c r="I113" i="63"/>
  <c r="J123" i="63"/>
  <c r="H110" i="63"/>
  <c r="I120" i="63"/>
  <c r="N107" i="63"/>
  <c r="N110" i="63"/>
  <c r="N120" i="63"/>
  <c r="R113" i="63"/>
  <c r="R119" i="63"/>
  <c r="R120" i="63"/>
  <c r="S103" i="63"/>
  <c r="AQ89" i="34"/>
  <c r="AQ98" i="34"/>
  <c r="P53" i="25"/>
  <c r="X25" i="38"/>
  <c r="AC88" i="25"/>
  <c r="AB82" i="25"/>
  <c r="E94" i="25"/>
  <c r="AE82" i="25"/>
  <c r="AG82" i="25" s="1"/>
  <c r="J57" i="25"/>
  <c r="AH41" i="39"/>
  <c r="AC40" i="38"/>
  <c r="AC25" i="38"/>
  <c r="V43" i="38"/>
  <c r="AA43" i="38" s="1"/>
  <c r="AG56" i="39"/>
  <c r="AG40" i="39"/>
  <c r="AG45" i="39"/>
  <c r="AG58" i="39"/>
  <c r="AG48" i="39"/>
  <c r="G122" i="63"/>
  <c r="G123" i="63"/>
  <c r="I117" i="63"/>
  <c r="H122" i="63"/>
  <c r="J113" i="63"/>
  <c r="H123" i="63"/>
  <c r="J105" i="63"/>
  <c r="J120" i="63"/>
  <c r="M103" i="63"/>
  <c r="K117" i="63"/>
  <c r="K122" i="63"/>
  <c r="K113" i="63"/>
  <c r="K118" i="63"/>
  <c r="K123" i="63"/>
  <c r="K119" i="63"/>
  <c r="L124" i="63"/>
  <c r="L128" i="63"/>
  <c r="K111" i="63"/>
  <c r="O103" i="63"/>
  <c r="O117" i="63"/>
  <c r="O122" i="63"/>
  <c r="O127" i="63"/>
  <c r="O123" i="63"/>
  <c r="O107" i="63"/>
  <c r="O105" i="63"/>
  <c r="P110" i="63"/>
  <c r="O124" i="63"/>
  <c r="O128" i="63"/>
  <c r="O111" i="63"/>
  <c r="S107" i="63"/>
  <c r="S118" i="63"/>
  <c r="S119" i="63"/>
  <c r="S120" i="63"/>
  <c r="AC83" i="25"/>
  <c r="E90" i="25"/>
  <c r="E93" i="25"/>
  <c r="P58" i="25"/>
  <c r="AB90" i="25"/>
  <c r="E86" i="25"/>
  <c r="J59" i="25"/>
  <c r="AH40" i="39"/>
  <c r="AG54" i="39"/>
  <c r="AG18" i="39"/>
  <c r="AG57" i="39"/>
  <c r="AG33" i="39"/>
  <c r="AF66" i="39"/>
  <c r="G103" i="63"/>
  <c r="G107" i="63"/>
  <c r="J117" i="63"/>
  <c r="H113" i="63"/>
  <c r="H105" i="63"/>
  <c r="H120" i="63"/>
  <c r="K103" i="63"/>
  <c r="L117" i="63"/>
  <c r="L122" i="63"/>
  <c r="L113" i="63"/>
  <c r="L118" i="63"/>
  <c r="L123" i="63"/>
  <c r="L119" i="63"/>
  <c r="K124" i="63"/>
  <c r="K128" i="63"/>
  <c r="L111" i="63"/>
  <c r="P103" i="63"/>
  <c r="P117" i="63"/>
  <c r="P122" i="63"/>
  <c r="P127" i="63"/>
  <c r="P123" i="63"/>
  <c r="P107" i="63"/>
  <c r="P105" i="63"/>
  <c r="Q110" i="63"/>
  <c r="P124" i="63"/>
  <c r="P128" i="63"/>
  <c r="P111" i="63"/>
  <c r="S131" i="63"/>
  <c r="S110" i="63"/>
  <c r="S111" i="63"/>
  <c r="AQ96" i="34"/>
  <c r="AQ91" i="34"/>
  <c r="J103" i="63"/>
  <c r="J110" i="63"/>
  <c r="M110" i="63"/>
  <c r="AE70" i="25"/>
  <c r="AG70" i="25" s="1"/>
  <c r="AB96" i="25"/>
  <c r="P57" i="25"/>
  <c r="E85" i="25"/>
  <c r="AQ31" i="34"/>
  <c r="AH39" i="39"/>
  <c r="AH60" i="39"/>
  <c r="AG14" i="39"/>
  <c r="AG46" i="39"/>
  <c r="V42" i="38"/>
  <c r="AG52" i="39"/>
  <c r="V27" i="38"/>
  <c r="T27" i="38" s="1"/>
  <c r="AJ64" i="39"/>
  <c r="AH69" i="39" s="1"/>
  <c r="AF73" i="39" s="1"/>
  <c r="AF77" i="39" s="1"/>
  <c r="G127" i="63"/>
  <c r="G128" i="63"/>
  <c r="I107" i="63"/>
  <c r="H117" i="63"/>
  <c r="I119" i="63"/>
  <c r="I111" i="63"/>
  <c r="L103" i="63"/>
  <c r="M117" i="63"/>
  <c r="M122" i="63"/>
  <c r="M113" i="63"/>
  <c r="M118" i="63"/>
  <c r="M123" i="63"/>
  <c r="M119" i="63"/>
  <c r="M124" i="63"/>
  <c r="M128" i="63"/>
  <c r="M111" i="63"/>
  <c r="Q121" i="63"/>
  <c r="Q103" i="63"/>
  <c r="Q117" i="63"/>
  <c r="R122" i="63"/>
  <c r="Q127" i="63"/>
  <c r="Q104" i="63"/>
  <c r="Q130" i="63"/>
  <c r="Q123" i="63"/>
  <c r="Q107" i="63"/>
  <c r="Q105" i="63"/>
  <c r="O110" i="63"/>
  <c r="R124" i="63"/>
  <c r="R128" i="63"/>
  <c r="Q111" i="63"/>
  <c r="S117" i="63"/>
  <c r="S130" i="63"/>
  <c r="S129" i="63"/>
  <c r="G117" i="63"/>
  <c r="AB71" i="25"/>
  <c r="T53" i="38"/>
  <c r="AQ36" i="34"/>
  <c r="E91" i="25"/>
  <c r="P56" i="25"/>
  <c r="AE97" i="25"/>
  <c r="AG97" i="25" s="1"/>
  <c r="AH42" i="39"/>
  <c r="AH57" i="39"/>
  <c r="AG21" i="39"/>
  <c r="AG51" i="39"/>
  <c r="V41" i="38"/>
  <c r="AA41" i="38" s="1"/>
  <c r="AG23" i="39"/>
  <c r="AC66" i="39"/>
  <c r="AJ73" i="39"/>
  <c r="AH77" i="39" s="1"/>
  <c r="AG31" i="39"/>
  <c r="AJ10" i="39"/>
  <c r="AH14" i="39" s="1"/>
  <c r="G113" i="63"/>
  <c r="G105" i="63"/>
  <c r="G120" i="63"/>
  <c r="J107" i="63"/>
  <c r="J119" i="63"/>
  <c r="I124" i="63"/>
  <c r="J111" i="63"/>
  <c r="N103" i="63"/>
  <c r="N117" i="63"/>
  <c r="N122" i="63"/>
  <c r="N113" i="63"/>
  <c r="N118" i="63"/>
  <c r="N123" i="63"/>
  <c r="N119" i="63"/>
  <c r="N124" i="63"/>
  <c r="N128" i="63"/>
  <c r="N111" i="63"/>
  <c r="Q122" i="63"/>
  <c r="R127" i="63"/>
  <c r="R123" i="63"/>
  <c r="R107" i="63"/>
  <c r="R105" i="63"/>
  <c r="R110" i="63"/>
  <c r="Q124" i="63"/>
  <c r="Q128" i="63"/>
  <c r="R111" i="63"/>
  <c r="S124" i="63"/>
  <c r="AQ79" i="34"/>
  <c r="AQ88" i="34"/>
  <c r="AQ102" i="34"/>
  <c r="AG66" i="39"/>
  <c r="P52" i="25"/>
  <c r="AE84" i="25"/>
  <c r="AG84" i="25" s="1"/>
  <c r="AB80" i="25"/>
  <c r="AH58" i="39"/>
  <c r="AG50" i="39"/>
  <c r="AG41" i="39"/>
  <c r="AG30" i="39"/>
  <c r="V28" i="38"/>
  <c r="T28" i="38" s="1"/>
  <c r="AE66" i="39"/>
  <c r="G119" i="63"/>
  <c r="G111" i="63"/>
  <c r="H107" i="63"/>
  <c r="I127" i="63"/>
  <c r="H119" i="63"/>
  <c r="K131" i="63"/>
  <c r="L120" i="63"/>
  <c r="Z45" i="38"/>
  <c r="Y45" i="38"/>
  <c r="AE72" i="39" l="1"/>
  <c r="G92" i="63"/>
  <c r="AC72" i="39"/>
  <c r="AE73" i="39"/>
  <c r="Z5" i="38"/>
  <c r="Y9" i="38"/>
  <c r="AK78" i="34" s="1"/>
  <c r="Z11" i="38"/>
  <c r="AL80" i="34" s="1"/>
  <c r="Y5" i="38"/>
  <c r="AJ85" i="39"/>
  <c r="AK85" i="39" s="1"/>
  <c r="AH31" i="39"/>
  <c r="AH30" i="39"/>
  <c r="AH32" i="39"/>
  <c r="Y11" i="39"/>
  <c r="AD14" i="39" s="1"/>
  <c r="AD16" i="39" s="1"/>
  <c r="Y8" i="38"/>
  <c r="AG98" i="25"/>
  <c r="AR88" i="39"/>
  <c r="AP88" i="39"/>
  <c r="AC32" i="38"/>
  <c r="AP86" i="39"/>
  <c r="AQ86" i="39"/>
  <c r="AR86" i="39"/>
  <c r="AQ88" i="39"/>
  <c r="AS53" i="39"/>
  <c r="AE74" i="39"/>
  <c r="AE78" i="39" s="1"/>
  <c r="AB43" i="38" s="1"/>
  <c r="AU53" i="39"/>
  <c r="AE75" i="39"/>
  <c r="AE79" i="39" s="1"/>
  <c r="AB44" i="38" s="1"/>
  <c r="AK42" i="39"/>
  <c r="AC74" i="39"/>
  <c r="AJ39" i="39"/>
  <c r="Q38" i="39" s="1"/>
  <c r="AC75" i="39"/>
  <c r="AC79" i="39" s="1"/>
  <c r="AB34" i="38" s="1"/>
  <c r="AC73" i="39"/>
  <c r="AG75" i="39"/>
  <c r="AG79" i="39" s="1"/>
  <c r="AB54" i="38" s="1"/>
  <c r="AC54" i="38"/>
  <c r="AC53" i="38"/>
  <c r="AC52" i="38"/>
  <c r="U22" i="38"/>
  <c r="T24" i="38"/>
  <c r="AH49" i="39"/>
  <c r="AH48" i="39"/>
  <c r="AH51" i="39"/>
  <c r="AH50" i="39"/>
  <c r="AJ59" i="39"/>
  <c r="S47" i="39" s="1"/>
  <c r="T33" i="38"/>
  <c r="AA33" i="38"/>
  <c r="AK59" i="39"/>
  <c r="U21" i="38"/>
  <c r="U24" i="38"/>
  <c r="AA27" i="38"/>
  <c r="T21" i="38"/>
  <c r="U27" i="38"/>
  <c r="AJ60" i="39"/>
  <c r="S46" i="39" s="1"/>
  <c r="AK57" i="39"/>
  <c r="AJ57" i="39"/>
  <c r="S50" i="39" s="1"/>
  <c r="Z6" i="38"/>
  <c r="T34" i="38"/>
  <c r="U19" i="38"/>
  <c r="U44" i="38"/>
  <c r="T44" i="38"/>
  <c r="AA37" i="38"/>
  <c r="U37" i="38"/>
  <c r="Z9" i="38"/>
  <c r="AH21" i="39"/>
  <c r="AK21" i="39" s="1"/>
  <c r="AJ84" i="39"/>
  <c r="AK84" i="39" s="1"/>
  <c r="AH24" i="39"/>
  <c r="AA73" i="39" s="1"/>
  <c r="AH22" i="39"/>
  <c r="T36" i="38"/>
  <c r="U32" i="38"/>
  <c r="Z25" i="38" s="1"/>
  <c r="AA36" i="38"/>
  <c r="T71" i="46"/>
  <c r="I110" i="46" s="1"/>
  <c r="AA34" i="38"/>
  <c r="T17" i="38"/>
  <c r="AA32" i="38"/>
  <c r="T32" i="38"/>
  <c r="T18" i="38"/>
  <c r="AA31" i="38"/>
  <c r="Y6" i="38"/>
  <c r="U38" i="38"/>
  <c r="U36" i="38"/>
  <c r="AA19" i="38"/>
  <c r="AA17" i="38"/>
  <c r="U17" i="38"/>
  <c r="T38" i="38"/>
  <c r="T22" i="38"/>
  <c r="AA22" i="38"/>
  <c r="AC19" i="38"/>
  <c r="T23" i="38"/>
  <c r="U23" i="38"/>
  <c r="AK39" i="39"/>
  <c r="AK41" i="39"/>
  <c r="AA29" i="38"/>
  <c r="AU35" i="39"/>
  <c r="U29" i="38"/>
  <c r="AJ41" i="39"/>
  <c r="S39" i="39" s="1"/>
  <c r="AA18" i="38"/>
  <c r="U16" i="38"/>
  <c r="AA39" i="38"/>
  <c r="Z8" i="38"/>
  <c r="Y11" i="38"/>
  <c r="AV53" i="39"/>
  <c r="T31" i="38"/>
  <c r="AJ42" i="39"/>
  <c r="Q40" i="39" s="1"/>
  <c r="AK60" i="39"/>
  <c r="AA16" i="38"/>
  <c r="T39" i="38"/>
  <c r="AH67" i="39"/>
  <c r="AV35" i="39"/>
  <c r="AS35" i="39"/>
  <c r="Y10" i="38"/>
  <c r="T26" i="38"/>
  <c r="AH66" i="39"/>
  <c r="AF74" i="39" s="1"/>
  <c r="AF78" i="39" s="1"/>
  <c r="AB48" i="38" s="1"/>
  <c r="U26" i="38"/>
  <c r="AJ89" i="39"/>
  <c r="AK89" i="39" s="1"/>
  <c r="T68" i="46"/>
  <c r="H110" i="46" s="1"/>
  <c r="AJ90" i="39"/>
  <c r="AK90" i="39" s="1"/>
  <c r="AH78" i="39"/>
  <c r="AG73" i="39" s="1"/>
  <c r="AG77" i="39" s="1"/>
  <c r="T70" i="46"/>
  <c r="T69" i="46"/>
  <c r="Y7" i="38"/>
  <c r="R92" i="63"/>
  <c r="U42" i="38"/>
  <c r="T41" i="38"/>
  <c r="AA42" i="38"/>
  <c r="AJ83" i="39"/>
  <c r="AK83" i="39" s="1"/>
  <c r="AP83" i="39" s="1"/>
  <c r="AJ40" i="39"/>
  <c r="Q37" i="39" s="1"/>
  <c r="AK58" i="39"/>
  <c r="U41" i="38"/>
  <c r="AH12" i="39"/>
  <c r="AH15" i="39"/>
  <c r="Q92" i="63"/>
  <c r="P92" i="63"/>
  <c r="K92" i="63"/>
  <c r="H92" i="63"/>
  <c r="T42" i="38"/>
  <c r="I92" i="63"/>
  <c r="M92" i="63"/>
  <c r="O92" i="63"/>
  <c r="N92" i="63"/>
  <c r="AT53" i="39"/>
  <c r="S92" i="63"/>
  <c r="L92" i="63"/>
  <c r="J92" i="63"/>
  <c r="AH13" i="39"/>
  <c r="AJ58" i="39"/>
  <c r="Q49" i="39" s="1"/>
  <c r="U28" i="38"/>
  <c r="AH68" i="39"/>
  <c r="AF75" i="39" s="1"/>
  <c r="AF79" i="39" s="1"/>
  <c r="AB49" i="38" s="1"/>
  <c r="AK40" i="39"/>
  <c r="AT35" i="39"/>
  <c r="T43" i="38"/>
  <c r="AH75" i="39"/>
  <c r="AJ75" i="39" s="1"/>
  <c r="Q57" i="39" s="1"/>
  <c r="AH76" i="39"/>
  <c r="AG72" i="39" s="1"/>
  <c r="AG76" i="39" s="1"/>
  <c r="AA28" i="38"/>
  <c r="Z10" i="38"/>
  <c r="U43" i="38"/>
  <c r="Z12" i="38"/>
  <c r="Z7" i="38"/>
  <c r="AC79" i="34"/>
  <c r="AK81" i="34"/>
  <c r="AG78" i="34"/>
  <c r="AJ69" i="39"/>
  <c r="I58" i="39" s="1"/>
  <c r="AJ77" i="39"/>
  <c r="S57" i="39" s="1"/>
  <c r="AJ33" i="39"/>
  <c r="AJ23" i="39"/>
  <c r="S28" i="39" s="1"/>
  <c r="AJ14" i="39"/>
  <c r="I27" i="39" s="1"/>
  <c r="AK69" i="39"/>
  <c r="AV62" i="39"/>
  <c r="AK87" i="39"/>
  <c r="AK14" i="39"/>
  <c r="AU8" i="39"/>
  <c r="AC29" i="38"/>
  <c r="AK23" i="39"/>
  <c r="AK33" i="39"/>
  <c r="AU17" i="39"/>
  <c r="AK77" i="39"/>
  <c r="AU71" i="39"/>
  <c r="AV26" i="39"/>
  <c r="AE76" i="39" l="1"/>
  <c r="AB41" i="38" s="1"/>
  <c r="AC76" i="39"/>
  <c r="AB31" i="38" s="1"/>
  <c r="AE80" i="34"/>
  <c r="AC80" i="34"/>
  <c r="AE77" i="39"/>
  <c r="AB42" i="38" s="1"/>
  <c r="AD74" i="39"/>
  <c r="AD78" i="39" s="1"/>
  <c r="AB38" i="38" s="1"/>
  <c r="AB74" i="39"/>
  <c r="AB78" i="39" s="1"/>
  <c r="AB28" i="38" s="1"/>
  <c r="AB73" i="39"/>
  <c r="AB75" i="39"/>
  <c r="AB79" i="39" s="1"/>
  <c r="AB29" i="38" s="1"/>
  <c r="Z75" i="39"/>
  <c r="Z79" i="39" s="1"/>
  <c r="AB19" i="38" s="1"/>
  <c r="AA77" i="39"/>
  <c r="AB22" i="38" s="1"/>
  <c r="K19" i="38" s="1"/>
  <c r="AB72" i="39"/>
  <c r="Z72" i="39"/>
  <c r="AL74" i="34"/>
  <c r="AK74" i="34"/>
  <c r="AO80" i="34"/>
  <c r="AE92" i="34" s="1"/>
  <c r="AI92" i="34" s="1"/>
  <c r="AO92" i="34" s="1"/>
  <c r="AE27" i="34" s="1"/>
  <c r="AK32" i="39"/>
  <c r="AJ32" i="39"/>
  <c r="I40" i="39" s="1"/>
  <c r="AU26" i="39"/>
  <c r="AS26" i="39"/>
  <c r="AK30" i="39"/>
  <c r="AJ30" i="39"/>
  <c r="G36" i="39" s="1"/>
  <c r="AT26" i="39"/>
  <c r="AK31" i="39"/>
  <c r="AJ31" i="39"/>
  <c r="I36" i="39" s="1"/>
  <c r="AK77" i="34"/>
  <c r="Z15" i="38"/>
  <c r="AW88" i="39"/>
  <c r="AI59" i="39" s="1"/>
  <c r="AV86" i="39"/>
  <c r="AI40" i="39" s="1"/>
  <c r="AV88" i="39"/>
  <c r="AI58" i="39" s="1"/>
  <c r="S40" i="39"/>
  <c r="AX88" i="39"/>
  <c r="AI60" i="39" s="1"/>
  <c r="AU88" i="39"/>
  <c r="AI57" i="39" s="1"/>
  <c r="AL75" i="34"/>
  <c r="AC17" i="38"/>
  <c r="AL77" i="34"/>
  <c r="AC16" i="38"/>
  <c r="AC36" i="38"/>
  <c r="AK80" i="34"/>
  <c r="AM80" i="34" s="1"/>
  <c r="AC92" i="34" s="1"/>
  <c r="AG92" i="34" s="1"/>
  <c r="AC77" i="39"/>
  <c r="AB32" i="38" s="1"/>
  <c r="AC78" i="39"/>
  <c r="AB33" i="38" s="1"/>
  <c r="AL81" i="34"/>
  <c r="AC18" i="38"/>
  <c r="AK76" i="34"/>
  <c r="AM76" i="34" s="1"/>
  <c r="AC88" i="34" s="1"/>
  <c r="AG88" i="34" s="1"/>
  <c r="AL76" i="34"/>
  <c r="AC31" i="38"/>
  <c r="AL78" i="34"/>
  <c r="AU86" i="39"/>
  <c r="AI39" i="39" s="1"/>
  <c r="AW86" i="39"/>
  <c r="AI41" i="39" s="1"/>
  <c r="AX86" i="39"/>
  <c r="AI42" i="39" s="1"/>
  <c r="AL35" i="39"/>
  <c r="Q35" i="39"/>
  <c r="AJ24" i="39"/>
  <c r="S27" i="39" s="1"/>
  <c r="AA74" i="39"/>
  <c r="AA78" i="39" s="1"/>
  <c r="AB23" i="38" s="1"/>
  <c r="K21" i="38" s="1"/>
  <c r="AA75" i="39"/>
  <c r="AA79" i="39" s="1"/>
  <c r="AB24" i="38" s="1"/>
  <c r="K23" i="38" s="1"/>
  <c r="AJ48" i="39"/>
  <c r="G48" i="39" s="1"/>
  <c r="AD75" i="39"/>
  <c r="AD79" i="39" s="1"/>
  <c r="AB39" i="38" s="1"/>
  <c r="AJ49" i="39"/>
  <c r="AD73" i="39"/>
  <c r="AG16" i="38"/>
  <c r="Z74" i="39"/>
  <c r="AG74" i="39"/>
  <c r="AG78" i="39" s="1"/>
  <c r="AB53" i="38" s="1"/>
  <c r="AV44" i="39"/>
  <c r="AD72" i="39"/>
  <c r="AK67" i="39"/>
  <c r="AF72" i="39"/>
  <c r="AF76" i="39" s="1"/>
  <c r="AV8" i="39"/>
  <c r="Z73" i="39"/>
  <c r="AA72" i="39"/>
  <c r="AC78" i="34"/>
  <c r="AM78" i="34" s="1"/>
  <c r="AC90" i="34" s="1"/>
  <c r="AG90" i="34" s="1"/>
  <c r="AM90" i="34" s="1"/>
  <c r="AC23" i="34" s="1"/>
  <c r="AC51" i="38"/>
  <c r="AT44" i="39"/>
  <c r="S49" i="39"/>
  <c r="AK49" i="39"/>
  <c r="AN53" i="39"/>
  <c r="AJ21" i="39"/>
  <c r="Q28" i="39" s="1"/>
  <c r="AK51" i="39"/>
  <c r="AC49" i="38"/>
  <c r="AC48" i="38"/>
  <c r="AC47" i="38"/>
  <c r="AC38" i="38"/>
  <c r="AC44" i="38"/>
  <c r="Q46" i="39"/>
  <c r="AC43" i="38"/>
  <c r="AJ50" i="39"/>
  <c r="AN44" i="39" s="1"/>
  <c r="AC39" i="38"/>
  <c r="AC34" i="38"/>
  <c r="AK48" i="39"/>
  <c r="AV71" i="39"/>
  <c r="AS44" i="39"/>
  <c r="AC28" i="38"/>
  <c r="AO53" i="39"/>
  <c r="S48" i="39"/>
  <c r="AC24" i="38"/>
  <c r="AK50" i="39"/>
  <c r="AU44" i="39"/>
  <c r="AJ51" i="39"/>
  <c r="I47" i="39" s="1"/>
  <c r="AS8" i="39"/>
  <c r="AJ78" i="39"/>
  <c r="S58" i="39" s="1"/>
  <c r="Q50" i="39"/>
  <c r="AV17" i="39"/>
  <c r="AK24" i="39"/>
  <c r="AS17" i="39"/>
  <c r="AO35" i="39"/>
  <c r="AK78" i="39"/>
  <c r="AN35" i="39"/>
  <c r="AT17" i="39"/>
  <c r="AG74" i="34"/>
  <c r="S38" i="39"/>
  <c r="Q36" i="39"/>
  <c r="AG81" i="34"/>
  <c r="AK22" i="39"/>
  <c r="AJ22" i="39"/>
  <c r="Q27" i="39" s="1"/>
  <c r="AG36" i="38"/>
  <c r="Q47" i="39"/>
  <c r="Q45" i="39"/>
  <c r="AL53" i="39"/>
  <c r="S36" i="39"/>
  <c r="S37" i="39"/>
  <c r="AF17" i="38"/>
  <c r="AS62" i="39"/>
  <c r="AK66" i="39"/>
  <c r="AJ66" i="39"/>
  <c r="G55" i="39" s="1"/>
  <c r="AH43" i="38"/>
  <c r="AG46" i="38"/>
  <c r="AG80" i="34"/>
  <c r="AH37" i="38"/>
  <c r="AH22" i="38"/>
  <c r="AG41" i="38"/>
  <c r="AT8" i="39"/>
  <c r="AH21" i="38"/>
  <c r="AG22" i="38"/>
  <c r="AK13" i="39"/>
  <c r="AF18" i="38"/>
  <c r="Y15" i="38"/>
  <c r="Y35" i="38"/>
  <c r="AJ12" i="39"/>
  <c r="G27" i="39" s="1"/>
  <c r="AG18" i="38"/>
  <c r="AH16" i="38"/>
  <c r="AF46" i="38"/>
  <c r="AE44" i="38"/>
  <c r="AK12" i="39"/>
  <c r="AH46" i="38"/>
  <c r="AH42" i="38"/>
  <c r="AE42" i="38"/>
  <c r="AG39" i="38"/>
  <c r="AF27" i="38"/>
  <c r="AG24" i="38"/>
  <c r="AH41" i="38"/>
  <c r="AF16" i="38"/>
  <c r="AH18" i="38"/>
  <c r="AG27" i="38"/>
  <c r="AF42" i="38"/>
  <c r="AH36" i="38"/>
  <c r="AH34" i="38"/>
  <c r="AG44" i="38"/>
  <c r="AK79" i="34"/>
  <c r="AM79" i="34" s="1"/>
  <c r="AC91" i="34" s="1"/>
  <c r="AG91" i="34" s="1"/>
  <c r="S45" i="39"/>
  <c r="AK75" i="34"/>
  <c r="AJ67" i="39"/>
  <c r="G58" i="39" s="1"/>
  <c r="AT62" i="39"/>
  <c r="AH47" i="38"/>
  <c r="AG48" i="38"/>
  <c r="Y25" i="38"/>
  <c r="Z35" i="38"/>
  <c r="J110" i="46"/>
  <c r="AF54" i="38"/>
  <c r="AJ68" i="39"/>
  <c r="G56" i="39" s="1"/>
  <c r="AG49" i="38"/>
  <c r="AU62" i="39"/>
  <c r="T65" i="46"/>
  <c r="AK68" i="39"/>
  <c r="AF49" i="38"/>
  <c r="AF48" i="38"/>
  <c r="AF34" i="38"/>
  <c r="AG34" i="38"/>
  <c r="AG28" i="38"/>
  <c r="AG37" i="38"/>
  <c r="AF31" i="38"/>
  <c r="AH54" i="38"/>
  <c r="AE34" i="38"/>
  <c r="AE31" i="38"/>
  <c r="AH19" i="38"/>
  <c r="AM35" i="39"/>
  <c r="AE29" i="38"/>
  <c r="AJ76" i="39"/>
  <c r="Q58" i="39" s="1"/>
  <c r="AG19" i="38"/>
  <c r="AK15" i="39"/>
  <c r="S35" i="39"/>
  <c r="AH49" i="38"/>
  <c r="AH28" i="38"/>
  <c r="Q39" i="39"/>
  <c r="AG21" i="38"/>
  <c r="AH31" i="38"/>
  <c r="AH33" i="38"/>
  <c r="AG54" i="38"/>
  <c r="AH23" i="38"/>
  <c r="AE43" i="38"/>
  <c r="AH29" i="38"/>
  <c r="AF21" i="38"/>
  <c r="AG33" i="38"/>
  <c r="AG26" i="38"/>
  <c r="AF28" i="38"/>
  <c r="AF38" i="38"/>
  <c r="AF22" i="38"/>
  <c r="AF41" i="38"/>
  <c r="AF32" i="38"/>
  <c r="AT71" i="39"/>
  <c r="AJ15" i="39"/>
  <c r="I28" i="39" s="1"/>
  <c r="AH27" i="38"/>
  <c r="AE32" i="38"/>
  <c r="AF24" i="38"/>
  <c r="AF37" i="38"/>
  <c r="AF44" i="38"/>
  <c r="AH32" i="38"/>
  <c r="AF43" i="38"/>
  <c r="AH44" i="38"/>
  <c r="AK76" i="39"/>
  <c r="Q48" i="39"/>
  <c r="AM53" i="39"/>
  <c r="AE33" i="38"/>
  <c r="AG42" i="38"/>
  <c r="AH26" i="38"/>
  <c r="AG43" i="38"/>
  <c r="AH52" i="38"/>
  <c r="AH38" i="38"/>
  <c r="AF23" i="38"/>
  <c r="AF36" i="38"/>
  <c r="AF33" i="38"/>
  <c r="AH24" i="38"/>
  <c r="AG17" i="38"/>
  <c r="AF39" i="38"/>
  <c r="AF29" i="38"/>
  <c r="AG47" i="38"/>
  <c r="AF47" i="38"/>
  <c r="AG23" i="38"/>
  <c r="AH39" i="38"/>
  <c r="AG29" i="38"/>
  <c r="AG38" i="38"/>
  <c r="AE41" i="38"/>
  <c r="AF51" i="38"/>
  <c r="AH48" i="38"/>
  <c r="AF26" i="38"/>
  <c r="AG31" i="38"/>
  <c r="AG32" i="38"/>
  <c r="AH17" i="38"/>
  <c r="AF19" i="38"/>
  <c r="AJ13" i="39"/>
  <c r="G30" i="39" s="1"/>
  <c r="AG51" i="38"/>
  <c r="AS71" i="39"/>
  <c r="AF53" i="38"/>
  <c r="AL79" i="34"/>
  <c r="AG52" i="38"/>
  <c r="AF52" i="38"/>
  <c r="AH53" i="38"/>
  <c r="AG53" i="38"/>
  <c r="AH51" i="38"/>
  <c r="AK75" i="39"/>
  <c r="AE74" i="34"/>
  <c r="AL71" i="39"/>
  <c r="Q55" i="39"/>
  <c r="S59" i="39"/>
  <c r="AE51" i="38"/>
  <c r="S60" i="39"/>
  <c r="AE53" i="38"/>
  <c r="AN71" i="39"/>
  <c r="Q56" i="39"/>
  <c r="AE49" i="38"/>
  <c r="AO62" i="39"/>
  <c r="G59" i="39"/>
  <c r="I56" i="39"/>
  <c r="I35" i="39"/>
  <c r="G39" i="39"/>
  <c r="AO26" i="39"/>
  <c r="G37" i="39"/>
  <c r="AE23" i="38"/>
  <c r="S30" i="39"/>
  <c r="Q26" i="39"/>
  <c r="AN17" i="39"/>
  <c r="I30" i="39"/>
  <c r="AN8" i="39"/>
  <c r="G26" i="39"/>
  <c r="AE18" i="38"/>
  <c r="AV83" i="39"/>
  <c r="AL84" i="39"/>
  <c r="AP84" i="39"/>
  <c r="AL85" i="39"/>
  <c r="AP85" i="39"/>
  <c r="AL87" i="39"/>
  <c r="AP87" i="39"/>
  <c r="AL89" i="39"/>
  <c r="AP89" i="39"/>
  <c r="AL90" i="39"/>
  <c r="AP90" i="39"/>
  <c r="AL83" i="39"/>
  <c r="AB47" i="38"/>
  <c r="AB51" i="38"/>
  <c r="AB52" i="38"/>
  <c r="AC46" i="38"/>
  <c r="G47" i="39" l="1"/>
  <c r="AE76" i="34"/>
  <c r="AE75" i="34"/>
  <c r="AB77" i="39"/>
  <c r="AB27" i="38" s="1"/>
  <c r="AC75" i="34"/>
  <c r="AC76" i="34"/>
  <c r="AB76" i="39"/>
  <c r="AB26" i="38" s="1"/>
  <c r="Z76" i="39"/>
  <c r="AB16" i="38" s="1"/>
  <c r="D17" i="38" s="1"/>
  <c r="T67" i="46"/>
  <c r="AO74" i="34"/>
  <c r="AE86" i="34" s="1"/>
  <c r="AI86" i="34" s="1"/>
  <c r="O49" i="46"/>
  <c r="AN26" i="39"/>
  <c r="G35" i="39"/>
  <c r="AE28" i="38"/>
  <c r="I38" i="39"/>
  <c r="AM75" i="34"/>
  <c r="AC87" i="34" s="1"/>
  <c r="AG87" i="34" s="1"/>
  <c r="AM87" i="34" s="1"/>
  <c r="AC17" i="34" s="1"/>
  <c r="AO75" i="34"/>
  <c r="AE87" i="34" s="1"/>
  <c r="AI87" i="34" s="1"/>
  <c r="AO87" i="34" s="1"/>
  <c r="AE17" i="34" s="1"/>
  <c r="AO76" i="34"/>
  <c r="AE88" i="34" s="1"/>
  <c r="AI88" i="34" s="1"/>
  <c r="AO88" i="34" s="1"/>
  <c r="AE19" i="34" s="1"/>
  <c r="AE26" i="38"/>
  <c r="AL26" i="39"/>
  <c r="I39" i="39"/>
  <c r="G38" i="39"/>
  <c r="AM26" i="39"/>
  <c r="G40" i="39"/>
  <c r="I37" i="39"/>
  <c r="AE27" i="38"/>
  <c r="T106" i="46"/>
  <c r="AM92" i="34"/>
  <c r="AC27" i="34" s="1"/>
  <c r="AM91" i="34"/>
  <c r="AC25" i="34" s="1"/>
  <c r="G25" i="34" s="1"/>
  <c r="AM88" i="34"/>
  <c r="AC19" i="34" s="1"/>
  <c r="T104" i="46"/>
  <c r="AD76" i="39"/>
  <c r="AB36" i="38" s="1"/>
  <c r="AC33" i="38"/>
  <c r="AD77" i="39"/>
  <c r="AB37" i="38" s="1"/>
  <c r="AA76" i="39"/>
  <c r="AB21" i="38" s="1"/>
  <c r="K17" i="38" s="1"/>
  <c r="Z78" i="39"/>
  <c r="AB18" i="38" s="1"/>
  <c r="D21" i="38" s="1"/>
  <c r="Z77" i="39"/>
  <c r="AB17" i="38" s="1"/>
  <c r="D19" i="38" s="1"/>
  <c r="AE78" i="34"/>
  <c r="AO78" i="34" s="1"/>
  <c r="AE90" i="34" s="1"/>
  <c r="AI90" i="34" s="1"/>
  <c r="S26" i="39"/>
  <c r="AE24" i="38"/>
  <c r="Q29" i="39"/>
  <c r="AO17" i="39"/>
  <c r="AC81" i="34"/>
  <c r="AM81" i="34" s="1"/>
  <c r="AC93" i="34" s="1"/>
  <c r="AG93" i="34" s="1"/>
  <c r="AM93" i="34" s="1"/>
  <c r="AC29" i="34" s="1"/>
  <c r="G29" i="34" s="1"/>
  <c r="AL44" i="39"/>
  <c r="G46" i="39"/>
  <c r="AE36" i="38"/>
  <c r="I49" i="39"/>
  <c r="AE37" i="38"/>
  <c r="AB46" i="38"/>
  <c r="G50" i="39"/>
  <c r="I46" i="39"/>
  <c r="AC77" i="34"/>
  <c r="AM77" i="34" s="1"/>
  <c r="AC89" i="34" s="1"/>
  <c r="AG89" i="34" s="1"/>
  <c r="AM89" i="34" s="1"/>
  <c r="AC21" i="34" s="1"/>
  <c r="G21" i="34" s="1"/>
  <c r="AM44" i="39"/>
  <c r="I45" i="39"/>
  <c r="AO44" i="39"/>
  <c r="AE21" i="38"/>
  <c r="Q25" i="39"/>
  <c r="S29" i="39"/>
  <c r="AL17" i="39"/>
  <c r="AI80" i="34"/>
  <c r="AG79" i="34"/>
  <c r="AI78" i="34"/>
  <c r="AI75" i="34"/>
  <c r="AG76" i="34"/>
  <c r="AG77" i="34"/>
  <c r="AI74" i="34"/>
  <c r="I48" i="39"/>
  <c r="I50" i="39"/>
  <c r="G45" i="39"/>
  <c r="AE38" i="38"/>
  <c r="G49" i="39"/>
  <c r="AE39" i="38"/>
  <c r="Q59" i="39"/>
  <c r="AE54" i="38"/>
  <c r="AO71" i="39"/>
  <c r="S56" i="39"/>
  <c r="G60" i="39"/>
  <c r="AI76" i="34"/>
  <c r="AE16" i="38"/>
  <c r="AL8" i="39"/>
  <c r="I29" i="39"/>
  <c r="G25" i="39"/>
  <c r="AI79" i="34"/>
  <c r="S25" i="39"/>
  <c r="AM17" i="39"/>
  <c r="AE22" i="38"/>
  <c r="Q30" i="39"/>
  <c r="I59" i="39"/>
  <c r="G57" i="39"/>
  <c r="AE46" i="38"/>
  <c r="AL62" i="39"/>
  <c r="AE81" i="34"/>
  <c r="AO81" i="34" s="1"/>
  <c r="AE93" i="34" s="1"/>
  <c r="AI93" i="34" s="1"/>
  <c r="AI77" i="34"/>
  <c r="AE77" i="34"/>
  <c r="AO77" i="34" s="1"/>
  <c r="AE89" i="34" s="1"/>
  <c r="AI89" i="34" s="1"/>
  <c r="AE79" i="34"/>
  <c r="AO79" i="34" s="1"/>
  <c r="AE91" i="34" s="1"/>
  <c r="AI91" i="34" s="1"/>
  <c r="AO91" i="34" s="1"/>
  <c r="AI81" i="34"/>
  <c r="G28" i="39"/>
  <c r="AG75" i="34"/>
  <c r="AM62" i="39"/>
  <c r="AE47" i="38"/>
  <c r="I55" i="39"/>
  <c r="T79" i="46"/>
  <c r="T59" i="38"/>
  <c r="T81" i="46"/>
  <c r="T66" i="46"/>
  <c r="T80" i="46"/>
  <c r="X57" i="38"/>
  <c r="Z60" i="38" s="1"/>
  <c r="AA59" i="38" s="1"/>
  <c r="T78" i="46"/>
  <c r="I25" i="39"/>
  <c r="AC74" i="34"/>
  <c r="AM74" i="34" s="1"/>
  <c r="AC86" i="34" s="1"/>
  <c r="AG86" i="34" s="1"/>
  <c r="I60" i="39"/>
  <c r="AE48" i="38"/>
  <c r="AM8" i="39"/>
  <c r="I57" i="39"/>
  <c r="AE17" i="38"/>
  <c r="AN62" i="39"/>
  <c r="S55" i="39"/>
  <c r="AM71" i="39"/>
  <c r="Q60" i="39"/>
  <c r="AE52" i="38"/>
  <c r="G29" i="39"/>
  <c r="AE19" i="38"/>
  <c r="I26" i="39"/>
  <c r="AO8" i="39"/>
  <c r="O27" i="34"/>
  <c r="AI13" i="39"/>
  <c r="AZ13" i="39" s="1"/>
  <c r="AI17" i="38" s="1"/>
  <c r="AU90" i="39"/>
  <c r="AI75" i="39" s="1"/>
  <c r="AW84" i="39"/>
  <c r="AU89" i="39"/>
  <c r="AM89" i="39"/>
  <c r="AQ89" i="39"/>
  <c r="AV89" i="39" s="1"/>
  <c r="AM87" i="39"/>
  <c r="AQ87" i="39"/>
  <c r="AW87" i="39" s="1"/>
  <c r="AM85" i="39"/>
  <c r="AQ85" i="39"/>
  <c r="AU85" i="39" s="1"/>
  <c r="AM90" i="39"/>
  <c r="AQ90" i="39"/>
  <c r="AM84" i="39"/>
  <c r="AQ84" i="39"/>
  <c r="AU84" i="39" s="1"/>
  <c r="AM83" i="39"/>
  <c r="AQ83" i="39"/>
  <c r="AX87" i="39" l="1"/>
  <c r="AI51" i="39" s="1"/>
  <c r="AZ51" i="39" s="1"/>
  <c r="AI39" i="38" s="1"/>
  <c r="T72" i="46"/>
  <c r="Z66" i="46" s="1"/>
  <c r="Z67" i="46" s="1"/>
  <c r="AO89" i="34"/>
  <c r="AE21" i="34" s="1"/>
  <c r="O21" i="34" s="1"/>
  <c r="AL89" i="34"/>
  <c r="AV27" i="34" s="1"/>
  <c r="AU27" i="34" s="1"/>
  <c r="AO93" i="34"/>
  <c r="AE29" i="34" s="1"/>
  <c r="O29" i="34" s="1"/>
  <c r="AL93" i="34"/>
  <c r="AZ23" i="34" s="1"/>
  <c r="AY23" i="34" s="1"/>
  <c r="AL88" i="34"/>
  <c r="AT24" i="34" s="1"/>
  <c r="AS24" i="34" s="1"/>
  <c r="AO90" i="34"/>
  <c r="AE23" i="34" s="1"/>
  <c r="O23" i="34" s="1"/>
  <c r="AM86" i="34"/>
  <c r="AC15" i="34" s="1"/>
  <c r="G15" i="34" s="1"/>
  <c r="AO86" i="34"/>
  <c r="AE15" i="34" s="1"/>
  <c r="O15" i="34" s="1"/>
  <c r="T105" i="46"/>
  <c r="T101" i="46"/>
  <c r="X104" i="46" s="1"/>
  <c r="O55" i="46"/>
  <c r="AC37" i="38"/>
  <c r="AC41" i="38"/>
  <c r="AC42" i="38"/>
  <c r="AC26" i="38"/>
  <c r="AC27" i="38"/>
  <c r="AC22" i="38"/>
  <c r="AC21" i="38"/>
  <c r="O50" i="46"/>
  <c r="T75" i="46"/>
  <c r="AL91" i="34"/>
  <c r="O19" i="34"/>
  <c r="O17" i="34"/>
  <c r="G17" i="34"/>
  <c r="G19" i="34"/>
  <c r="G23" i="34"/>
  <c r="G27" i="34"/>
  <c r="AI67" i="39"/>
  <c r="AZ67" i="39" s="1"/>
  <c r="AI47" i="38" s="1"/>
  <c r="AI66" i="39"/>
  <c r="AZ66" i="39" s="1"/>
  <c r="AI46" i="38" s="1"/>
  <c r="AZ75" i="39"/>
  <c r="AI50" i="39"/>
  <c r="AZ50" i="39" s="1"/>
  <c r="AI38" i="38" s="1"/>
  <c r="AZ59" i="39"/>
  <c r="AZ60" i="39"/>
  <c r="AZ40" i="39"/>
  <c r="AI30" i="39"/>
  <c r="AZ30" i="39" s="1"/>
  <c r="AZ39" i="39"/>
  <c r="AI21" i="39"/>
  <c r="AI23" i="39"/>
  <c r="AV90" i="39"/>
  <c r="AI76" i="39" s="1"/>
  <c r="AZ76" i="39" s="1"/>
  <c r="AN90" i="39"/>
  <c r="AS90" i="39" s="1"/>
  <c r="AR90" i="39"/>
  <c r="AW90" i="39" s="1"/>
  <c r="AI77" i="39" s="1"/>
  <c r="AN85" i="39"/>
  <c r="AS85" i="39" s="1"/>
  <c r="AR85" i="39"/>
  <c r="AN87" i="39"/>
  <c r="AS87" i="39" s="1"/>
  <c r="AR87" i="39"/>
  <c r="AU87" i="39" s="1"/>
  <c r="AN84" i="39"/>
  <c r="AS84" i="39" s="1"/>
  <c r="AR84" i="39"/>
  <c r="AV84" i="39" s="1"/>
  <c r="AN89" i="39"/>
  <c r="AS89" i="39" s="1"/>
  <c r="AR89" i="39"/>
  <c r="AW89" i="39" s="1"/>
  <c r="AN83" i="39"/>
  <c r="AS83" i="39" s="1"/>
  <c r="AR83" i="39"/>
  <c r="AU83" i="39" s="1"/>
  <c r="AW85" i="39" l="1"/>
  <c r="AI32" i="39" s="1"/>
  <c r="AZ32" i="39" s="1"/>
  <c r="AI28" i="38" s="1"/>
  <c r="K110" i="46"/>
  <c r="B121" i="46" s="1"/>
  <c r="T76" i="46"/>
  <c r="T77" i="46"/>
  <c r="AZ17" i="34"/>
  <c r="AY17" i="34" s="1"/>
  <c r="AT21" i="34"/>
  <c r="AS21" i="34" s="1"/>
  <c r="AT23" i="34"/>
  <c r="AS23" i="34" s="1"/>
  <c r="AT16" i="34"/>
  <c r="AS16" i="34" s="1"/>
  <c r="AT25" i="34"/>
  <c r="AS25" i="34" s="1"/>
  <c r="AT15" i="34"/>
  <c r="AS15" i="34" s="1"/>
  <c r="AT14" i="34"/>
  <c r="AS14" i="34" s="1"/>
  <c r="AT17" i="34"/>
  <c r="AS17" i="34" s="1"/>
  <c r="AT18" i="34"/>
  <c r="AS18" i="34" s="1"/>
  <c r="AT20" i="34"/>
  <c r="AS20" i="34" s="1"/>
  <c r="AT19" i="34"/>
  <c r="AS19" i="34" s="1"/>
  <c r="AT22" i="34"/>
  <c r="AS22" i="34" s="1"/>
  <c r="AZ24" i="34"/>
  <c r="AY24" i="34" s="1"/>
  <c r="AV20" i="34"/>
  <c r="AU20" i="34" s="1"/>
  <c r="AV28" i="34"/>
  <c r="AU28" i="34" s="1"/>
  <c r="AV22" i="34"/>
  <c r="AU22" i="34" s="1"/>
  <c r="AV15" i="34"/>
  <c r="AU15" i="34" s="1"/>
  <c r="AV23" i="34"/>
  <c r="AU23" i="34" s="1"/>
  <c r="AV21" i="34"/>
  <c r="AU21" i="34" s="1"/>
  <c r="AV29" i="34"/>
  <c r="AU29" i="34" s="1"/>
  <c r="AV14" i="34"/>
  <c r="AU14" i="34" s="1"/>
  <c r="AV16" i="34"/>
  <c r="AU16" i="34" s="1"/>
  <c r="AV24" i="34"/>
  <c r="AU24" i="34" s="1"/>
  <c r="AV17" i="34"/>
  <c r="AU17" i="34" s="1"/>
  <c r="AV25" i="34"/>
  <c r="AU25" i="34" s="1"/>
  <c r="AV18" i="34"/>
  <c r="AU18" i="34" s="1"/>
  <c r="AV26" i="34"/>
  <c r="AU26" i="34" s="1"/>
  <c r="AV19" i="34"/>
  <c r="AU19" i="34" s="1"/>
  <c r="AZ20" i="34"/>
  <c r="AY20" i="34" s="1"/>
  <c r="AZ25" i="34"/>
  <c r="AY25" i="34" s="1"/>
  <c r="AZ28" i="34"/>
  <c r="AY28" i="34" s="1"/>
  <c r="AZ29" i="34"/>
  <c r="AY29" i="34" s="1"/>
  <c r="AZ18" i="34"/>
  <c r="AY18" i="34" s="1"/>
  <c r="AZ26" i="34"/>
  <c r="AY26" i="34" s="1"/>
  <c r="AZ16" i="34"/>
  <c r="AY16" i="34" s="1"/>
  <c r="AZ14" i="34"/>
  <c r="AY14" i="34" s="1"/>
  <c r="AZ19" i="34"/>
  <c r="AY19" i="34" s="1"/>
  <c r="AZ21" i="34"/>
  <c r="AY21" i="34" s="1"/>
  <c r="AZ22" i="34"/>
  <c r="AY22" i="34" s="1"/>
  <c r="AZ27" i="34"/>
  <c r="AY27" i="34" s="1"/>
  <c r="AZ15" i="34"/>
  <c r="AY15" i="34" s="1"/>
  <c r="X103" i="46"/>
  <c r="T103" i="46" s="1"/>
  <c r="T102" i="46"/>
  <c r="AE25" i="34"/>
  <c r="O25" i="34" s="1"/>
  <c r="AX25" i="34"/>
  <c r="AW25" i="34" s="1"/>
  <c r="AX24" i="34"/>
  <c r="AW24" i="34" s="1"/>
  <c r="AX23" i="34"/>
  <c r="AW23" i="34" s="1"/>
  <c r="AX22" i="34"/>
  <c r="AW22" i="34" s="1"/>
  <c r="AX21" i="34"/>
  <c r="AW21" i="34" s="1"/>
  <c r="AX20" i="34"/>
  <c r="AW20" i="34" s="1"/>
  <c r="AX19" i="34"/>
  <c r="AW19" i="34" s="1"/>
  <c r="AX18" i="34"/>
  <c r="AW18" i="34" s="1"/>
  <c r="AX17" i="34"/>
  <c r="AW17" i="34" s="1"/>
  <c r="AX16" i="34"/>
  <c r="AW16" i="34" s="1"/>
  <c r="AX15" i="34"/>
  <c r="AW15" i="34" s="1"/>
  <c r="AX14" i="34"/>
  <c r="AW14" i="34" s="1"/>
  <c r="AV85" i="39"/>
  <c r="AI31" i="39" s="1"/>
  <c r="AZ31" i="39" s="1"/>
  <c r="AW83" i="39"/>
  <c r="AI14" i="39" s="1"/>
  <c r="AZ14" i="39" s="1"/>
  <c r="AI18" i="38" s="1"/>
  <c r="AI51" i="38"/>
  <c r="AI68" i="39"/>
  <c r="AZ68" i="39" s="1"/>
  <c r="AI48" i="38" s="1"/>
  <c r="AZ77" i="39"/>
  <c r="AI52" i="38"/>
  <c r="AI44" i="38"/>
  <c r="AI48" i="39"/>
  <c r="AZ48" i="39" s="1"/>
  <c r="AI36" i="38" s="1"/>
  <c r="AZ57" i="39"/>
  <c r="AI43" i="38"/>
  <c r="AZ21" i="39"/>
  <c r="AI21" i="38" s="1"/>
  <c r="AZ23" i="39"/>
  <c r="AI23" i="38" s="1"/>
  <c r="AZ41" i="39"/>
  <c r="AI31" i="38"/>
  <c r="AI32" i="38"/>
  <c r="AI22" i="39"/>
  <c r="AZ22" i="39" s="1"/>
  <c r="AI22" i="38" s="1"/>
  <c r="AI26" i="38"/>
  <c r="AI12" i="39"/>
  <c r="AZ12" i="39" s="1"/>
  <c r="AV87" i="39"/>
  <c r="AX83" i="39"/>
  <c r="AX84" i="39"/>
  <c r="AX90" i="39"/>
  <c r="AI78" i="39" s="1"/>
  <c r="AX89" i="39"/>
  <c r="AX85" i="39"/>
  <c r="Q84" i="29"/>
  <c r="Q83" i="29"/>
  <c r="T82" i="46" l="1"/>
  <c r="Q82" i="29"/>
  <c r="T107" i="46"/>
  <c r="I114" i="46" s="1"/>
  <c r="U103" i="46"/>
  <c r="AO59" i="34"/>
  <c r="AJ156" i="34" s="1"/>
  <c r="T96" i="46"/>
  <c r="AI53" i="38"/>
  <c r="AI69" i="39"/>
  <c r="AZ69" i="39" s="1"/>
  <c r="AI49" i="38" s="1"/>
  <c r="AZ78" i="39"/>
  <c r="AI41" i="38"/>
  <c r="AI49" i="39"/>
  <c r="AZ49" i="39" s="1"/>
  <c r="AI37" i="38" s="1"/>
  <c r="AZ58" i="39"/>
  <c r="BA60" i="39" s="1"/>
  <c r="AD44" i="38" s="1"/>
  <c r="AI33" i="38"/>
  <c r="AI33" i="39"/>
  <c r="AZ33" i="39" s="1"/>
  <c r="BA30" i="39" s="1"/>
  <c r="AD26" i="38" s="1"/>
  <c r="AZ42" i="39"/>
  <c r="AI24" i="39"/>
  <c r="AZ24" i="39" s="1"/>
  <c r="BA21" i="39" s="1"/>
  <c r="AD21" i="38" s="1"/>
  <c r="AI27" i="38"/>
  <c r="AI15" i="39"/>
  <c r="AZ15" i="39" s="1"/>
  <c r="AI19" i="38" s="1"/>
  <c r="AI16" i="38"/>
  <c r="G111" i="46" l="1"/>
  <c r="Z76" i="46"/>
  <c r="Z77" i="46" s="1"/>
  <c r="Z105" i="46"/>
  <c r="Z75" i="46"/>
  <c r="Z83" i="46"/>
  <c r="H111" i="46"/>
  <c r="K111" i="46"/>
  <c r="B122" i="46" s="1"/>
  <c r="J111" i="46"/>
  <c r="Z107" i="46"/>
  <c r="I111" i="46"/>
  <c r="Z106" i="46"/>
  <c r="Q85" i="29"/>
  <c r="H114" i="46"/>
  <c r="G114" i="46"/>
  <c r="K114" i="46"/>
  <c r="I122" i="46" s="1"/>
  <c r="J114" i="46"/>
  <c r="Z102" i="46"/>
  <c r="Z103" i="46" s="1"/>
  <c r="Z101" i="46"/>
  <c r="AP59" i="34"/>
  <c r="T95" i="46"/>
  <c r="BA67" i="39"/>
  <c r="AD47" i="38" s="1"/>
  <c r="BA69" i="39"/>
  <c r="AD49" i="38" s="1"/>
  <c r="BA68" i="39"/>
  <c r="AD48" i="38" s="1"/>
  <c r="BA66" i="39"/>
  <c r="AD46" i="38" s="1"/>
  <c r="BA78" i="39"/>
  <c r="AD54" i="38" s="1"/>
  <c r="AI54" i="38"/>
  <c r="BA75" i="39"/>
  <c r="AD51" i="38" s="1"/>
  <c r="BA76" i="39"/>
  <c r="AD52" i="38" s="1"/>
  <c r="BA77" i="39"/>
  <c r="AD53" i="38" s="1"/>
  <c r="BA50" i="39"/>
  <c r="AD38" i="38" s="1"/>
  <c r="BA51" i="39"/>
  <c r="AD39" i="38" s="1"/>
  <c r="BA49" i="39"/>
  <c r="AD37" i="38" s="1"/>
  <c r="BA48" i="39"/>
  <c r="AD36" i="38" s="1"/>
  <c r="BA58" i="39"/>
  <c r="AD42" i="38" s="1"/>
  <c r="AI42" i="38"/>
  <c r="BA59" i="39"/>
  <c r="AD43" i="38" s="1"/>
  <c r="BA57" i="39"/>
  <c r="AD41" i="38" s="1"/>
  <c r="BA32" i="39"/>
  <c r="AD28" i="38" s="1"/>
  <c r="BA23" i="39"/>
  <c r="AD23" i="38" s="1"/>
  <c r="BA42" i="39"/>
  <c r="AD34" i="38" s="1"/>
  <c r="AI34" i="38"/>
  <c r="BA39" i="39"/>
  <c r="AD31" i="38" s="1"/>
  <c r="BA40" i="39"/>
  <c r="AD32" i="38" s="1"/>
  <c r="AI24" i="38"/>
  <c r="BA31" i="39"/>
  <c r="AD27" i="38" s="1"/>
  <c r="BA41" i="39"/>
  <c r="AD33" i="38" s="1"/>
  <c r="BA33" i="39"/>
  <c r="AD29" i="38" s="1"/>
  <c r="AI29" i="38"/>
  <c r="BA24" i="39"/>
  <c r="AD24" i="38" s="1"/>
  <c r="BA22" i="39"/>
  <c r="AD22" i="38" s="1"/>
  <c r="BA15" i="39"/>
  <c r="AD19" i="38" s="1"/>
  <c r="BA13" i="39"/>
  <c r="AD17" i="38" s="1"/>
  <c r="BA12" i="39"/>
  <c r="AD16" i="38" s="1"/>
  <c r="BA14" i="39"/>
  <c r="AD18" i="38" s="1"/>
  <c r="AJ24" i="38" l="1"/>
  <c r="AO24" i="38"/>
  <c r="AQ24" i="38"/>
  <c r="AP24" i="38"/>
  <c r="AN24" i="38"/>
  <c r="AQ39" i="38"/>
  <c r="AJ21" i="38"/>
  <c r="AJ29" i="38"/>
  <c r="AQ29" i="38"/>
  <c r="AO29" i="38"/>
  <c r="AP29" i="38"/>
  <c r="AN29" i="38"/>
  <c r="G115" i="46"/>
  <c r="C2" i="29"/>
  <c r="Q81" i="29"/>
  <c r="Y3" i="38" s="1"/>
  <c r="AP48" i="38"/>
  <c r="AN18" i="38"/>
  <c r="T97" i="46"/>
  <c r="T98" i="46" s="1"/>
  <c r="AR150" i="34"/>
  <c r="AN47" i="38"/>
  <c r="AQ49" i="38"/>
  <c r="AP46" i="38"/>
  <c r="AQ46" i="38"/>
  <c r="AJ49" i="38"/>
  <c r="AO48" i="38"/>
  <c r="AJ46" i="38"/>
  <c r="AJ47" i="38"/>
  <c r="AP47" i="38"/>
  <c r="AO47" i="38"/>
  <c r="AN46" i="38"/>
  <c r="AQ47" i="38"/>
  <c r="AN48" i="38"/>
  <c r="AQ48" i="38"/>
  <c r="AO49" i="38"/>
  <c r="AN49" i="38"/>
  <c r="AO46" i="38"/>
  <c r="AJ48" i="38"/>
  <c r="AP49" i="38"/>
  <c r="AQ54" i="38"/>
  <c r="AN54" i="38"/>
  <c r="AO53" i="38"/>
  <c r="AN53" i="38"/>
  <c r="AQ53" i="38"/>
  <c r="AP51" i="38"/>
  <c r="AO52" i="38"/>
  <c r="AJ53" i="38"/>
  <c r="AN52" i="38"/>
  <c r="AJ52" i="38"/>
  <c r="AJ51" i="38"/>
  <c r="AO54" i="38"/>
  <c r="AP54" i="38"/>
  <c r="AP52" i="38"/>
  <c r="AQ51" i="38"/>
  <c r="AJ54" i="38"/>
  <c r="AN51" i="38"/>
  <c r="AO51" i="38"/>
  <c r="AQ52" i="38"/>
  <c r="AP53" i="38"/>
  <c r="AJ38" i="38"/>
  <c r="AP39" i="38"/>
  <c r="AQ37" i="38"/>
  <c r="AO37" i="38"/>
  <c r="AO39" i="38"/>
  <c r="AQ36" i="38"/>
  <c r="AP36" i="38"/>
  <c r="AJ39" i="38"/>
  <c r="AQ38" i="38"/>
  <c r="AJ36" i="38"/>
  <c r="AN39" i="38"/>
  <c r="AN38" i="38"/>
  <c r="AJ37" i="38"/>
  <c r="AO36" i="38"/>
  <c r="AO38" i="38"/>
  <c r="AN37" i="38"/>
  <c r="AN36" i="38"/>
  <c r="AP37" i="38"/>
  <c r="AP38" i="38"/>
  <c r="AP44" i="38"/>
  <c r="AO44" i="38"/>
  <c r="AJ41" i="38"/>
  <c r="AQ43" i="38"/>
  <c r="AJ42" i="38"/>
  <c r="AP43" i="38"/>
  <c r="AJ44" i="38"/>
  <c r="AN41" i="38"/>
  <c r="AJ43" i="38"/>
  <c r="AN43" i="38"/>
  <c r="AN44" i="38"/>
  <c r="AN42" i="38"/>
  <c r="AQ42" i="38"/>
  <c r="AP41" i="38"/>
  <c r="AP42" i="38"/>
  <c r="AO41" i="38"/>
  <c r="AO42" i="38"/>
  <c r="AQ41" i="38"/>
  <c r="AO43" i="38"/>
  <c r="AQ44" i="38"/>
  <c r="AN26" i="38"/>
  <c r="AQ26" i="38"/>
  <c r="AJ26" i="38"/>
  <c r="AN33" i="38"/>
  <c r="AP33" i="38"/>
  <c r="AP32" i="38"/>
  <c r="AQ32" i="38"/>
  <c r="AN32" i="38"/>
  <c r="AJ34" i="38"/>
  <c r="AP31" i="38"/>
  <c r="AO31" i="38"/>
  <c r="AO34" i="38"/>
  <c r="AN31" i="38"/>
  <c r="AQ31" i="38"/>
  <c r="AQ33" i="38"/>
  <c r="AJ33" i="38"/>
  <c r="AJ32" i="38"/>
  <c r="AN34" i="38"/>
  <c r="AP34" i="38"/>
  <c r="AO33" i="38"/>
  <c r="AJ31" i="38"/>
  <c r="AQ34" i="38"/>
  <c r="AO32" i="38"/>
  <c r="AO28" i="38"/>
  <c r="AP27" i="38"/>
  <c r="AO26" i="38"/>
  <c r="AN28" i="38"/>
  <c r="AQ27" i="38"/>
  <c r="AJ28" i="38"/>
  <c r="AO27" i="38"/>
  <c r="AP26" i="38"/>
  <c r="AN27" i="38"/>
  <c r="AP28" i="38"/>
  <c r="AJ27" i="38"/>
  <c r="AQ28" i="38"/>
  <c r="AJ23" i="38"/>
  <c r="AQ21" i="38"/>
  <c r="AJ22" i="38"/>
  <c r="AO23" i="38"/>
  <c r="AP22" i="38"/>
  <c r="AQ22" i="38"/>
  <c r="AO22" i="38"/>
  <c r="AQ23" i="38"/>
  <c r="AO21" i="38"/>
  <c r="AN21" i="38"/>
  <c r="AP21" i="38"/>
  <c r="AN23" i="38"/>
  <c r="AP23" i="38"/>
  <c r="AN22" i="38"/>
  <c r="AO17" i="38"/>
  <c r="AQ17" i="38"/>
  <c r="AP16" i="38"/>
  <c r="AP19" i="38"/>
  <c r="AJ18" i="38"/>
  <c r="AQ19" i="38"/>
  <c r="AO19" i="38"/>
  <c r="AP17" i="38"/>
  <c r="AN17" i="38"/>
  <c r="AO16" i="38"/>
  <c r="AQ16" i="38"/>
  <c r="AN19" i="38"/>
  <c r="AJ19" i="38"/>
  <c r="AP18" i="38"/>
  <c r="AQ18" i="38"/>
  <c r="AO18" i="38"/>
  <c r="AJ17" i="38"/>
  <c r="AN16" i="38"/>
  <c r="AJ16" i="38"/>
  <c r="D5" i="29" l="1"/>
  <c r="P66" i="25"/>
  <c r="L89" i="25" s="1"/>
  <c r="C15" i="25" s="1"/>
  <c r="N85" i="29"/>
  <c r="S87" i="29"/>
  <c r="S88" i="29" s="1"/>
  <c r="Q98" i="29" s="1"/>
  <c r="R98" i="29" s="1"/>
  <c r="AD21" i="39"/>
  <c r="AM22" i="38"/>
  <c r="AM29" i="38"/>
  <c r="AI6" i="34"/>
  <c r="X118" i="46"/>
  <c r="T68" i="29"/>
  <c r="T67" i="29"/>
  <c r="U31" i="29"/>
  <c r="U39" i="29"/>
  <c r="S39" i="29" s="1"/>
  <c r="D27" i="29"/>
  <c r="T31" i="29"/>
  <c r="Z96" i="46"/>
  <c r="Z97" i="46" s="1"/>
  <c r="K113" i="46"/>
  <c r="I121" i="46" s="1"/>
  <c r="AM47" i="38"/>
  <c r="AM49" i="38"/>
  <c r="AM37" i="38"/>
  <c r="AM48" i="38"/>
  <c r="AM53" i="38"/>
  <c r="AM54" i="38"/>
  <c r="AM52" i="38"/>
  <c r="AM39" i="38"/>
  <c r="AM38" i="38"/>
  <c r="AM42" i="38"/>
  <c r="AM43" i="38"/>
  <c r="AM44" i="38"/>
  <c r="AM27" i="38"/>
  <c r="AM32" i="38"/>
  <c r="AM34" i="38"/>
  <c r="AM28" i="38"/>
  <c r="AM33" i="38"/>
  <c r="AM23" i="38"/>
  <c r="AM24" i="38"/>
  <c r="AM18" i="38"/>
  <c r="AM19" i="38"/>
  <c r="AM17" i="38"/>
  <c r="F82" i="29" l="1"/>
  <c r="N81" i="29" s="1"/>
  <c r="D3" i="29" s="1"/>
  <c r="Q93" i="29"/>
  <c r="R93" i="29" s="1"/>
  <c r="Q97" i="29"/>
  <c r="R97" i="29" s="1"/>
  <c r="L88" i="25"/>
  <c r="Q99" i="29"/>
  <c r="R99" i="29" s="1"/>
  <c r="Q101" i="29"/>
  <c r="R101" i="29" s="1"/>
  <c r="Q94" i="29"/>
  <c r="R94" i="29" s="1"/>
  <c r="Q95" i="29"/>
  <c r="R95" i="29" s="1"/>
  <c r="Q91" i="29"/>
  <c r="R91" i="29" s="1"/>
  <c r="Q96" i="29"/>
  <c r="R96" i="29" s="1"/>
  <c r="Q92" i="29"/>
  <c r="R92" i="29" s="1"/>
  <c r="Q100" i="29"/>
  <c r="R100" i="29" s="1"/>
  <c r="D105" i="46"/>
  <c r="H113" i="46"/>
  <c r="I113" i="46"/>
  <c r="J113" i="46"/>
  <c r="D7" i="38"/>
  <c r="D21" i="39"/>
  <c r="N82" i="29" l="1"/>
  <c r="N83" i="29"/>
  <c r="F83" i="29" s="1"/>
  <c r="C89" i="29" s="1"/>
  <c r="F85" i="29"/>
  <c r="G121" i="29" s="1"/>
  <c r="H121" i="29" s="1"/>
  <c r="M121" i="46"/>
  <c r="G94" i="29" l="1"/>
  <c r="R7" i="29" s="1"/>
  <c r="G132" i="29"/>
  <c r="G93" i="29"/>
  <c r="N94" i="29" s="1"/>
  <c r="G92" i="29"/>
  <c r="J92" i="29" s="1"/>
  <c r="G130" i="29"/>
  <c r="G120" i="29"/>
  <c r="H120" i="29" s="1"/>
  <c r="G119" i="29"/>
  <c r="H119" i="29" s="1"/>
  <c r="G88" i="29"/>
  <c r="H90" i="29" s="1"/>
  <c r="G127" i="29"/>
  <c r="H127" i="29" s="1"/>
  <c r="T61" i="29" s="1"/>
  <c r="G129" i="29"/>
  <c r="G123" i="29"/>
  <c r="H123" i="29" s="1"/>
  <c r="G117" i="29"/>
  <c r="H117" i="29" s="1"/>
  <c r="T28" i="29" s="1"/>
  <c r="G125" i="29"/>
  <c r="H125" i="29" s="1"/>
  <c r="G124" i="29"/>
  <c r="H124" i="29" s="1"/>
  <c r="G134" i="29" s="1"/>
  <c r="G118" i="29"/>
  <c r="H118" i="29" s="1"/>
  <c r="G126" i="29"/>
  <c r="H126" i="29" s="1"/>
  <c r="G122" i="29"/>
  <c r="H122" i="29" s="1"/>
  <c r="G128" i="29"/>
  <c r="H128" i="29" s="1"/>
  <c r="T63" i="29" s="1"/>
  <c r="G131" i="29"/>
  <c r="H131" i="29" s="1"/>
  <c r="G95" i="29"/>
  <c r="R8" i="29" s="1"/>
  <c r="G87" i="29"/>
  <c r="G91" i="29" s="1"/>
  <c r="H91" i="29" s="1"/>
  <c r="N84" i="29"/>
  <c r="F84" i="29" s="1"/>
  <c r="T33" i="29"/>
  <c r="S31" i="29"/>
  <c r="Z90" i="46" l="1"/>
  <c r="W90" i="46" s="1"/>
  <c r="I92" i="29"/>
  <c r="H92" i="29"/>
  <c r="U30" i="29"/>
  <c r="S30" i="29" s="1"/>
  <c r="H93" i="29"/>
  <c r="M3" i="29" s="1"/>
  <c r="U37" i="29"/>
  <c r="S37" i="29" s="1"/>
  <c r="U28" i="29"/>
  <c r="S28" i="29" s="1"/>
  <c r="N95" i="29"/>
  <c r="H95" i="29" s="1"/>
  <c r="H94" i="29"/>
  <c r="U32" i="29"/>
  <c r="S32" i="29" s="1"/>
  <c r="U40" i="29"/>
  <c r="S40" i="29" s="1"/>
  <c r="T36" i="29"/>
  <c r="U34" i="29"/>
  <c r="S34" i="29" s="1"/>
  <c r="H88" i="29"/>
  <c r="AD65" i="46" s="1"/>
  <c r="H89" i="29"/>
  <c r="R12" i="29" s="1"/>
  <c r="D12" i="29" s="1"/>
  <c r="T30" i="29"/>
  <c r="U60" i="29"/>
  <c r="S65" i="29" s="1"/>
  <c r="T32" i="29"/>
  <c r="U38" i="29"/>
  <c r="S38" i="29" s="1"/>
  <c r="G133" i="29"/>
  <c r="D16" i="29" s="1"/>
  <c r="G138" i="29"/>
  <c r="U66" i="29" s="1"/>
  <c r="S66" i="29" s="1"/>
  <c r="G136" i="29"/>
  <c r="U50" i="29" s="1"/>
  <c r="S50" i="29" s="1"/>
  <c r="G137" i="29"/>
  <c r="G135" i="29"/>
  <c r="T43" i="29" s="1"/>
  <c r="U33" i="29"/>
  <c r="S33" i="29" s="1"/>
  <c r="AI11" i="34"/>
  <c r="AL46" i="34" s="1"/>
  <c r="V46" i="34" s="1"/>
  <c r="U36" i="29"/>
  <c r="S36" i="29" s="1"/>
  <c r="T34" i="29"/>
  <c r="AP147" i="34"/>
  <c r="AP156" i="34"/>
  <c r="V52" i="34"/>
  <c r="AK46" i="34"/>
  <c r="AL28" i="34"/>
  <c r="U64" i="29"/>
  <c r="S64" i="29" s="1"/>
  <c r="U48" i="29"/>
  <c r="S48" i="29" s="1"/>
  <c r="U47" i="29"/>
  <c r="T48" i="29"/>
  <c r="G97" i="29"/>
  <c r="G96" i="29"/>
  <c r="H96" i="29" s="1"/>
  <c r="R10" i="29"/>
  <c r="R6" i="29"/>
  <c r="U63" i="29"/>
  <c r="S63" i="29" s="1"/>
  <c r="R19" i="29"/>
  <c r="D19" i="29" s="1"/>
  <c r="N103" i="29" l="1"/>
  <c r="H97" i="29"/>
  <c r="G102" i="29" s="1"/>
  <c r="R3" i="25"/>
  <c r="P3" i="38"/>
  <c r="O3" i="46"/>
  <c r="Y3" i="34"/>
  <c r="R5" i="29"/>
  <c r="D7" i="29" s="1"/>
  <c r="U53" i="29"/>
  <c r="S53" i="29" s="1"/>
  <c r="V3" i="39"/>
  <c r="AK18" i="34"/>
  <c r="AF132" i="34" s="1"/>
  <c r="U58" i="29"/>
  <c r="S58" i="29" s="1"/>
  <c r="U54" i="29"/>
  <c r="S54" i="29" s="1"/>
  <c r="U52" i="29"/>
  <c r="S52" i="29" s="1"/>
  <c r="T53" i="29"/>
  <c r="U56" i="29"/>
  <c r="S56" i="29" s="1"/>
  <c r="U57" i="29"/>
  <c r="S57" i="29" s="1"/>
  <c r="T44" i="29"/>
  <c r="U43" i="29"/>
  <c r="S43" i="29" s="1"/>
  <c r="U42" i="29"/>
  <c r="S46" i="29" s="1"/>
  <c r="U44" i="29"/>
  <c r="S44" i="29" s="1"/>
  <c r="T45" i="29"/>
  <c r="AL36" i="34"/>
  <c r="V36" i="34" s="1"/>
  <c r="U45" i="29"/>
  <c r="S45" i="29" s="1"/>
  <c r="AL40" i="34"/>
  <c r="V40" i="34" s="1"/>
  <c r="AK16" i="34"/>
  <c r="AF130" i="34" s="1"/>
  <c r="AK28" i="34"/>
  <c r="AF134" i="34" s="1"/>
  <c r="AL16" i="34"/>
  <c r="V16" i="34" s="1"/>
  <c r="AK20" i="34"/>
  <c r="AF131" i="34" s="1"/>
  <c r="AL56" i="34"/>
  <c r="V56" i="34" s="1"/>
  <c r="AK56" i="34"/>
  <c r="AF152" i="34" s="1"/>
  <c r="AM152" i="34" s="1"/>
  <c r="AK14" i="34"/>
  <c r="AK26" i="34"/>
  <c r="AF133" i="34" s="1"/>
  <c r="AK36" i="34"/>
  <c r="AK135" i="34" s="1"/>
  <c r="AK42" i="34"/>
  <c r="AK134" i="34" s="1"/>
  <c r="AL14" i="34"/>
  <c r="V14" i="34" s="1"/>
  <c r="AL22" i="34"/>
  <c r="V22" i="34" s="1"/>
  <c r="AL42" i="34"/>
  <c r="AK133" i="34" s="1"/>
  <c r="AK48" i="34"/>
  <c r="N48" i="34" s="1"/>
  <c r="AK24" i="34"/>
  <c r="AF135" i="34" s="1"/>
  <c r="AL24" i="34"/>
  <c r="V24" i="34" s="1"/>
  <c r="AL38" i="34"/>
  <c r="V38" i="34" s="1"/>
  <c r="AK38" i="34"/>
  <c r="AK141" i="34" s="1"/>
  <c r="AL18" i="34"/>
  <c r="V18" i="34" s="1"/>
  <c r="AL20" i="34"/>
  <c r="V20" i="34" s="1"/>
  <c r="AL48" i="34"/>
  <c r="V48" i="34" s="1"/>
  <c r="AJ62" i="34"/>
  <c r="D7" i="34" s="1"/>
  <c r="AK22" i="34"/>
  <c r="N22" i="34" s="1"/>
  <c r="AL26" i="34"/>
  <c r="V26" i="34" s="1"/>
  <c r="AK40" i="34"/>
  <c r="AK132" i="34" s="1"/>
  <c r="U55" i="29"/>
  <c r="S55" i="29" s="1"/>
  <c r="T55" i="29"/>
  <c r="U49" i="29"/>
  <c r="S49" i="29" s="1"/>
  <c r="T49" i="29"/>
  <c r="U62" i="29"/>
  <c r="S62" i="29" s="1"/>
  <c r="U61" i="29"/>
  <c r="S61" i="29" s="1"/>
  <c r="H134" i="29"/>
  <c r="I127" i="29" s="1"/>
  <c r="AA83" i="39"/>
  <c r="S60" i="29"/>
  <c r="U67" i="29"/>
  <c r="S67" i="29" s="1"/>
  <c r="U68" i="29"/>
  <c r="S68" i="29" s="1"/>
  <c r="V28" i="34"/>
  <c r="AF143" i="34"/>
  <c r="N46" i="34"/>
  <c r="AO46" i="34"/>
  <c r="C98" i="29"/>
  <c r="G99" i="29"/>
  <c r="S51" i="29"/>
  <c r="S47" i="29"/>
  <c r="O7" i="39" l="1"/>
  <c r="AA89" i="39"/>
  <c r="AD59" i="46" s="1"/>
  <c r="AD62" i="46" s="1"/>
  <c r="G101" i="29"/>
  <c r="AK143" i="34"/>
  <c r="N18" i="34"/>
  <c r="S42" i="29"/>
  <c r="AO22" i="34"/>
  <c r="AP22" i="34" s="1"/>
  <c r="N20" i="34"/>
  <c r="S59" i="29"/>
  <c r="AM132" i="34"/>
  <c r="AO20" i="34"/>
  <c r="AG21" i="34" s="1"/>
  <c r="AC97" i="34" s="1"/>
  <c r="AG97" i="34" s="1"/>
  <c r="AM97" i="34" s="1"/>
  <c r="AF141" i="34"/>
  <c r="AM141" i="34" s="1"/>
  <c r="AO18" i="34"/>
  <c r="AP18" i="34" s="1"/>
  <c r="AF140" i="34"/>
  <c r="N24" i="34"/>
  <c r="AK140" i="34"/>
  <c r="N40" i="34"/>
  <c r="AO16" i="34"/>
  <c r="AG17" i="34" s="1"/>
  <c r="AE97" i="34" s="1"/>
  <c r="AI97" i="34" s="1"/>
  <c r="AO97" i="34" s="1"/>
  <c r="AK130" i="34"/>
  <c r="AM130" i="34" s="1"/>
  <c r="AO38" i="34"/>
  <c r="AG39" i="34" s="1"/>
  <c r="AC102" i="34" s="1"/>
  <c r="AG102" i="34" s="1"/>
  <c r="AM102" i="34" s="1"/>
  <c r="AK142" i="34"/>
  <c r="N16" i="34"/>
  <c r="N36" i="34"/>
  <c r="AO14" i="34"/>
  <c r="AG15" i="34" s="1"/>
  <c r="AE98" i="34" s="1"/>
  <c r="AI98" i="34" s="1"/>
  <c r="AO98" i="34" s="1"/>
  <c r="AK131" i="34"/>
  <c r="AM131" i="34" s="1"/>
  <c r="N28" i="34"/>
  <c r="AM134" i="34"/>
  <c r="N14" i="34"/>
  <c r="AM135" i="34"/>
  <c r="AH118" i="34"/>
  <c r="AH122" i="34" s="1"/>
  <c r="AO40" i="34"/>
  <c r="AG41" i="34" s="1"/>
  <c r="AE103" i="34" s="1"/>
  <c r="AI103" i="34" s="1"/>
  <c r="AO103" i="34" s="1"/>
  <c r="AO24" i="34"/>
  <c r="AP24" i="34" s="1"/>
  <c r="N56" i="34"/>
  <c r="AO36" i="34"/>
  <c r="AP36" i="34" s="1"/>
  <c r="N26" i="34"/>
  <c r="AF142" i="34"/>
  <c r="AM133" i="34"/>
  <c r="AO56" i="34"/>
  <c r="AJ160" i="34" s="1"/>
  <c r="AO42" i="34"/>
  <c r="AP42" i="34" s="1"/>
  <c r="V42" i="34"/>
  <c r="I128" i="29"/>
  <c r="AO48" i="34"/>
  <c r="AH159" i="34" s="1"/>
  <c r="AF153" i="34"/>
  <c r="AM153" i="34" s="1"/>
  <c r="AP150" i="34" s="1"/>
  <c r="AO26" i="34"/>
  <c r="AP26" i="34" s="1"/>
  <c r="N38" i="34"/>
  <c r="N42" i="34"/>
  <c r="AO28" i="34"/>
  <c r="AG29" i="34" s="1"/>
  <c r="AC99" i="34" s="1"/>
  <c r="AG99" i="34" s="1"/>
  <c r="AM99" i="34" s="1"/>
  <c r="AJ159" i="34"/>
  <c r="AM143" i="34"/>
  <c r="AG48" i="34"/>
  <c r="AC106" i="34" s="1"/>
  <c r="AG106" i="34" s="1"/>
  <c r="AM106" i="34" s="1"/>
  <c r="AG47" i="34"/>
  <c r="AC109" i="34" s="1"/>
  <c r="AG109" i="34" s="1"/>
  <c r="AP46" i="34"/>
  <c r="G98" i="29"/>
  <c r="N102" i="29"/>
  <c r="H102" i="29" s="1"/>
  <c r="G100" i="29"/>
  <c r="G103" i="29"/>
  <c r="N104" i="29"/>
  <c r="R23" i="29" l="1"/>
  <c r="R68" i="29" s="1"/>
  <c r="T88" i="46"/>
  <c r="H112" i="46" s="1"/>
  <c r="T91" i="46"/>
  <c r="I112" i="46" s="1"/>
  <c r="T89" i="46"/>
  <c r="T90" i="46"/>
  <c r="J109" i="46"/>
  <c r="H109" i="46"/>
  <c r="Z59" i="46"/>
  <c r="Z60" i="46" s="1"/>
  <c r="I109" i="46"/>
  <c r="AF65" i="46"/>
  <c r="D60" i="46" s="1"/>
  <c r="AG23" i="34"/>
  <c r="AE96" i="34" s="1"/>
  <c r="AI96" i="34" s="1"/>
  <c r="AO96" i="34" s="1"/>
  <c r="AE37" i="34" s="1"/>
  <c r="O37" i="34" s="1"/>
  <c r="AG19" i="34"/>
  <c r="AC98" i="34" s="1"/>
  <c r="AG98" i="34" s="1"/>
  <c r="AM98" i="34" s="1"/>
  <c r="AC41" i="34" s="1"/>
  <c r="G41" i="34" s="1"/>
  <c r="AP28" i="34"/>
  <c r="AG25" i="34"/>
  <c r="AC96" i="34" s="1"/>
  <c r="AG96" i="34" s="1"/>
  <c r="AM96" i="34" s="1"/>
  <c r="AC37" i="34" s="1"/>
  <c r="G37" i="34" s="1"/>
  <c r="AP14" i="34"/>
  <c r="AP16" i="34"/>
  <c r="AG37" i="34"/>
  <c r="AE102" i="34" s="1"/>
  <c r="AI102" i="34" s="1"/>
  <c r="AO102" i="34" s="1"/>
  <c r="AE47" i="34" s="1"/>
  <c r="O47" i="34" s="1"/>
  <c r="AP20" i="34"/>
  <c r="AM140" i="34"/>
  <c r="AG43" i="34"/>
  <c r="AC103" i="34" s="1"/>
  <c r="AG103" i="34" s="1"/>
  <c r="AM103" i="34" s="1"/>
  <c r="AC49" i="34" s="1"/>
  <c r="G49" i="34" s="1"/>
  <c r="AP38" i="34"/>
  <c r="AP130" i="34"/>
  <c r="AM142" i="34"/>
  <c r="AH157" i="34"/>
  <c r="AH121" i="34"/>
  <c r="AH124" i="34"/>
  <c r="AP132" i="34"/>
  <c r="AH158" i="34"/>
  <c r="AG57" i="34"/>
  <c r="AC112" i="34" s="1"/>
  <c r="AG112" i="34" s="1"/>
  <c r="AM112" i="34" s="1"/>
  <c r="AE60" i="34" s="1"/>
  <c r="O60" i="34" s="1"/>
  <c r="AH123" i="34"/>
  <c r="AP56" i="34"/>
  <c r="AR148" i="34" s="1"/>
  <c r="AH119" i="34"/>
  <c r="AJ158" i="34"/>
  <c r="AH125" i="34"/>
  <c r="AP40" i="34"/>
  <c r="AH120" i="34"/>
  <c r="AJ157" i="34"/>
  <c r="AP48" i="34"/>
  <c r="AR146" i="34" s="1"/>
  <c r="AG50" i="34"/>
  <c r="AE106" i="34" s="1"/>
  <c r="AI106" i="34" s="1"/>
  <c r="AO106" i="34" s="1"/>
  <c r="AE53" i="34" s="1"/>
  <c r="O53" i="34" s="1"/>
  <c r="AG49" i="34"/>
  <c r="AE109" i="34" s="1"/>
  <c r="AI109" i="34" s="1"/>
  <c r="AO109" i="34" s="1"/>
  <c r="AE57" i="34" s="1"/>
  <c r="O57" i="34" s="1"/>
  <c r="AG27" i="34"/>
  <c r="AE99" i="34" s="1"/>
  <c r="AI99" i="34" s="1"/>
  <c r="AO99" i="34" s="1"/>
  <c r="AE43" i="34" s="1"/>
  <c r="O43" i="34" s="1"/>
  <c r="AP129" i="34"/>
  <c r="AC11" i="34"/>
  <c r="AN71" i="34"/>
  <c r="T85" i="46" s="1"/>
  <c r="AL68" i="34"/>
  <c r="AP70" i="34" s="1"/>
  <c r="AP71" i="34" s="1"/>
  <c r="O51" i="46" s="1"/>
  <c r="O52" i="46" s="1"/>
  <c r="AH160" i="34"/>
  <c r="AP153" i="34"/>
  <c r="AP151" i="34"/>
  <c r="AO154" i="34" s="1"/>
  <c r="AR157" i="34" s="1"/>
  <c r="AM109" i="34"/>
  <c r="AC57" i="34" s="1"/>
  <c r="G57" i="34" s="1"/>
  <c r="AK109" i="34"/>
  <c r="AL98" i="34"/>
  <c r="AE41" i="34"/>
  <c r="O41" i="34" s="1"/>
  <c r="J112" i="46"/>
  <c r="AE39" i="34"/>
  <c r="O39" i="34" s="1"/>
  <c r="AL97" i="34"/>
  <c r="AL103" i="34"/>
  <c r="AE49" i="34"/>
  <c r="O49" i="34" s="1"/>
  <c r="AK99" i="34"/>
  <c r="AC43" i="34"/>
  <c r="G43" i="34" s="1"/>
  <c r="AK97" i="34"/>
  <c r="AC39" i="34"/>
  <c r="G39" i="34" s="1"/>
  <c r="AC53" i="34"/>
  <c r="G53" i="34" s="1"/>
  <c r="AK106" i="34"/>
  <c r="AC47" i="34"/>
  <c r="G47" i="34" s="1"/>
  <c r="AK102" i="34"/>
  <c r="AT73" i="34" s="1"/>
  <c r="N101" i="29"/>
  <c r="H101" i="29" s="1"/>
  <c r="R48" i="29"/>
  <c r="E48" i="29" s="1"/>
  <c r="R56" i="29"/>
  <c r="D56" i="29" s="1"/>
  <c r="R29" i="29"/>
  <c r="E29" i="29" s="1"/>
  <c r="R45" i="29"/>
  <c r="D45" i="29" s="1"/>
  <c r="R53" i="29"/>
  <c r="E53" i="29" s="1"/>
  <c r="R49" i="29"/>
  <c r="D49" i="29" s="1"/>
  <c r="R47" i="29"/>
  <c r="D47" i="29" s="1"/>
  <c r="R37" i="29"/>
  <c r="D37" i="29" s="1"/>
  <c r="R50" i="29"/>
  <c r="D50" i="29" s="1"/>
  <c r="R38" i="29"/>
  <c r="E38" i="29" s="1"/>
  <c r="R63" i="29"/>
  <c r="D63" i="29" s="1"/>
  <c r="R41" i="29"/>
  <c r="D41" i="29" s="1"/>
  <c r="R36" i="29"/>
  <c r="E36" i="29" s="1"/>
  <c r="R30" i="29"/>
  <c r="D30" i="29" s="1"/>
  <c r="R57" i="29"/>
  <c r="D57" i="29" s="1"/>
  <c r="R44" i="29"/>
  <c r="D44" i="29" s="1"/>
  <c r="R43" i="29"/>
  <c r="E43" i="29" s="1"/>
  <c r="R35" i="29"/>
  <c r="D35" i="29" s="1"/>
  <c r="R62" i="29"/>
  <c r="E62" i="29" s="1"/>
  <c r="R59" i="29"/>
  <c r="D59" i="29" s="1"/>
  <c r="R67" i="29"/>
  <c r="E67" i="29" s="1"/>
  <c r="R31" i="29"/>
  <c r="D31" i="29" s="1"/>
  <c r="R60" i="29"/>
  <c r="D60" i="29" s="1"/>
  <c r="R52" i="29"/>
  <c r="D52" i="29" s="1"/>
  <c r="R42" i="29"/>
  <c r="E42" i="29" s="1"/>
  <c r="R66" i="29"/>
  <c r="D66" i="29" s="1"/>
  <c r="R46" i="29"/>
  <c r="E46" i="29" s="1"/>
  <c r="R65" i="29"/>
  <c r="E65" i="29" s="1"/>
  <c r="R32" i="29"/>
  <c r="E32" i="29" s="1"/>
  <c r="R58" i="29"/>
  <c r="E58" i="29" s="1"/>
  <c r="R34" i="29"/>
  <c r="D34" i="29" s="1"/>
  <c r="R40" i="29"/>
  <c r="E40" i="29" s="1"/>
  <c r="R64" i="29"/>
  <c r="D64" i="29" s="1"/>
  <c r="R55" i="29"/>
  <c r="D55" i="29" s="1"/>
  <c r="R39" i="29"/>
  <c r="D39" i="29" s="1"/>
  <c r="R33" i="29"/>
  <c r="E33" i="29" s="1"/>
  <c r="R61" i="29"/>
  <c r="E61" i="29" s="1"/>
  <c r="R51" i="29"/>
  <c r="D51" i="29" s="1"/>
  <c r="R54" i="29"/>
  <c r="E54" i="29" s="1"/>
  <c r="H103" i="29"/>
  <c r="N105" i="29"/>
  <c r="G104" i="29"/>
  <c r="E68" i="29"/>
  <c r="D68" i="29"/>
  <c r="I115" i="46" l="1"/>
  <c r="AB124" i="46"/>
  <c r="T87" i="46"/>
  <c r="T86" i="46"/>
  <c r="B124" i="46"/>
  <c r="J115" i="46"/>
  <c r="H115" i="46"/>
  <c r="D61" i="46"/>
  <c r="K109" i="46"/>
  <c r="B120" i="46" s="1"/>
  <c r="D64" i="46"/>
  <c r="D63" i="46"/>
  <c r="D62" i="46"/>
  <c r="AK98" i="34"/>
  <c r="AT61" i="34" s="1"/>
  <c r="AS61" i="34" s="1"/>
  <c r="AL96" i="34"/>
  <c r="AV37" i="34" s="1"/>
  <c r="AU37" i="34" s="1"/>
  <c r="AL102" i="34"/>
  <c r="AV81" i="34" s="1"/>
  <c r="AU81" i="34" s="1"/>
  <c r="AK96" i="34"/>
  <c r="AT32" i="34" s="1"/>
  <c r="AS32" i="34" s="1"/>
  <c r="AK103" i="34"/>
  <c r="AX81" i="34" s="1"/>
  <c r="AW81" i="34" s="1"/>
  <c r="AR144" i="34"/>
  <c r="AL106" i="34"/>
  <c r="AV114" i="34" s="1"/>
  <c r="AU114" i="34" s="1"/>
  <c r="AO135" i="34"/>
  <c r="AR154" i="34" s="1"/>
  <c r="AR145" i="34"/>
  <c r="AP139" i="34"/>
  <c r="AP142" i="34"/>
  <c r="AP140" i="34"/>
  <c r="AZ161" i="34"/>
  <c r="BA143" i="34"/>
  <c r="AZ163" i="34"/>
  <c r="BA154" i="34"/>
  <c r="BA167" i="34"/>
  <c r="AZ143" i="34"/>
  <c r="AL109" i="34"/>
  <c r="AZ123" i="34" s="1"/>
  <c r="AY123" i="34" s="1"/>
  <c r="AO125" i="34"/>
  <c r="AR153" i="34" s="1"/>
  <c r="BA144" i="34"/>
  <c r="AZ164" i="34"/>
  <c r="AZ142" i="34"/>
  <c r="AK112" i="34"/>
  <c r="AR115" i="34" s="1"/>
  <c r="AQ115" i="34" s="1"/>
  <c r="AP157" i="34"/>
  <c r="AZ155" i="34"/>
  <c r="BA169" i="34"/>
  <c r="AZ166" i="34"/>
  <c r="BA157" i="34"/>
  <c r="AZ140" i="34"/>
  <c r="BA148" i="34"/>
  <c r="BA149" i="34"/>
  <c r="AZ159" i="34"/>
  <c r="BA165" i="34"/>
  <c r="AZ152" i="34"/>
  <c r="AZ160" i="34"/>
  <c r="AZ157" i="34"/>
  <c r="AZ153" i="34"/>
  <c r="AZ168" i="34"/>
  <c r="AZ145" i="34"/>
  <c r="BA159" i="34"/>
  <c r="BA162" i="34"/>
  <c r="BA152" i="34"/>
  <c r="BA145" i="34"/>
  <c r="BA142" i="34"/>
  <c r="AZ169" i="34"/>
  <c r="BA163" i="34"/>
  <c r="BA166" i="34"/>
  <c r="AZ146" i="34"/>
  <c r="BA168" i="34"/>
  <c r="BA151" i="34"/>
  <c r="BA146" i="34"/>
  <c r="BA170" i="34"/>
  <c r="AZ141" i="34"/>
  <c r="AZ158" i="34"/>
  <c r="AZ165" i="34"/>
  <c r="BA150" i="34"/>
  <c r="AZ154" i="34"/>
  <c r="AZ167" i="34"/>
  <c r="AZ147" i="34"/>
  <c r="AZ151" i="34"/>
  <c r="AZ156" i="34"/>
  <c r="BA164" i="34"/>
  <c r="AZ150" i="34"/>
  <c r="BA141" i="34"/>
  <c r="AZ144" i="34"/>
  <c r="AZ148" i="34"/>
  <c r="BA155" i="34"/>
  <c r="AZ170" i="34"/>
  <c r="BA140" i="34"/>
  <c r="BA147" i="34"/>
  <c r="AZ171" i="34"/>
  <c r="AR142" i="34"/>
  <c r="AH149" i="34" s="1"/>
  <c r="BA160" i="34"/>
  <c r="AP64" i="34"/>
  <c r="BA158" i="34"/>
  <c r="BA161" i="34"/>
  <c r="BA153" i="34"/>
  <c r="AZ149" i="34"/>
  <c r="BA171" i="34"/>
  <c r="AZ162" i="34"/>
  <c r="BA156" i="34"/>
  <c r="AR141" i="34"/>
  <c r="AH148" i="34" s="1"/>
  <c r="AM148" i="34" s="1"/>
  <c r="AL99" i="34"/>
  <c r="AZ57" i="34" s="1"/>
  <c r="AY57" i="34" s="1"/>
  <c r="AP158" i="34"/>
  <c r="AO161" i="34" s="1"/>
  <c r="AR158" i="34" s="1"/>
  <c r="AP160" i="34"/>
  <c r="T92" i="46"/>
  <c r="AZ37" i="34"/>
  <c r="AY37" i="34" s="1"/>
  <c r="AZ34" i="34"/>
  <c r="AY34" i="34" s="1"/>
  <c r="AZ38" i="34"/>
  <c r="AY38" i="34" s="1"/>
  <c r="AZ35" i="34"/>
  <c r="AY35" i="34" s="1"/>
  <c r="AZ32" i="34"/>
  <c r="AY32" i="34" s="1"/>
  <c r="AZ36" i="34"/>
  <c r="AY36" i="34" s="1"/>
  <c r="AZ33" i="34"/>
  <c r="AY33" i="34" s="1"/>
  <c r="AZ31" i="34"/>
  <c r="AY31" i="34" s="1"/>
  <c r="AT117" i="34"/>
  <c r="AS117" i="34" s="1"/>
  <c r="AT129" i="34"/>
  <c r="AS129" i="34" s="1"/>
  <c r="AT112" i="34"/>
  <c r="AS112" i="34" s="1"/>
  <c r="AT127" i="34"/>
  <c r="AS127" i="34" s="1"/>
  <c r="AT110" i="34"/>
  <c r="AS110" i="34" s="1"/>
  <c r="AT114" i="34"/>
  <c r="AS114" i="34" s="1"/>
  <c r="AT116" i="34"/>
  <c r="AS116" i="34" s="1"/>
  <c r="AT115" i="34"/>
  <c r="AS115" i="34" s="1"/>
  <c r="AT121" i="34"/>
  <c r="AS121" i="34" s="1"/>
  <c r="AT126" i="34"/>
  <c r="AS126" i="34" s="1"/>
  <c r="AT123" i="34"/>
  <c r="AS123" i="34" s="1"/>
  <c r="AT125" i="34"/>
  <c r="AS125" i="34" s="1"/>
  <c r="AT120" i="34"/>
  <c r="AS120" i="34" s="1"/>
  <c r="AT108" i="34"/>
  <c r="AS108" i="34" s="1"/>
  <c r="AT106" i="34"/>
  <c r="AS106" i="34" s="1"/>
  <c r="AT107" i="34"/>
  <c r="AS107" i="34" s="1"/>
  <c r="AT113" i="34"/>
  <c r="AS113" i="34" s="1"/>
  <c r="AT118" i="34"/>
  <c r="AS118" i="34" s="1"/>
  <c r="AT122" i="34"/>
  <c r="AS122" i="34" s="1"/>
  <c r="AT109" i="34"/>
  <c r="AS109" i="34" s="1"/>
  <c r="AT119" i="34"/>
  <c r="AS119" i="34" s="1"/>
  <c r="AT124" i="34"/>
  <c r="AS124" i="34" s="1"/>
  <c r="AT111" i="34"/>
  <c r="AS111" i="34" s="1"/>
  <c r="AT128" i="34"/>
  <c r="AS128" i="34" s="1"/>
  <c r="AX71" i="34"/>
  <c r="AW71" i="34" s="1"/>
  <c r="AX63" i="34"/>
  <c r="AW63" i="34" s="1"/>
  <c r="AX55" i="34"/>
  <c r="AW55" i="34" s="1"/>
  <c r="AX70" i="34"/>
  <c r="AW70" i="34" s="1"/>
  <c r="AX62" i="34"/>
  <c r="AW62" i="34" s="1"/>
  <c r="AX54" i="34"/>
  <c r="AW54" i="34" s="1"/>
  <c r="AX69" i="34"/>
  <c r="AW69" i="34" s="1"/>
  <c r="AX61" i="34"/>
  <c r="AW61" i="34" s="1"/>
  <c r="AX53" i="34"/>
  <c r="AW53" i="34" s="1"/>
  <c r="AX52" i="34"/>
  <c r="AW52" i="34" s="1"/>
  <c r="AX68" i="34"/>
  <c r="AW68" i="34" s="1"/>
  <c r="AX60" i="34"/>
  <c r="AW60" i="34" s="1"/>
  <c r="AX67" i="34"/>
  <c r="AW67" i="34" s="1"/>
  <c r="AX59" i="34"/>
  <c r="AW59" i="34" s="1"/>
  <c r="AX66" i="34"/>
  <c r="AW66" i="34" s="1"/>
  <c r="AX58" i="34"/>
  <c r="AW58" i="34" s="1"/>
  <c r="AX56" i="34"/>
  <c r="AW56" i="34" s="1"/>
  <c r="AX65" i="34"/>
  <c r="AW65" i="34" s="1"/>
  <c r="AX57" i="34"/>
  <c r="AW57" i="34" s="1"/>
  <c r="AX64" i="34"/>
  <c r="AW64" i="34" s="1"/>
  <c r="AT96" i="34"/>
  <c r="AS96" i="34" s="1"/>
  <c r="AT74" i="34"/>
  <c r="AS74" i="34" s="1"/>
  <c r="AT78" i="34"/>
  <c r="AS78" i="34" s="1"/>
  <c r="AT80" i="34"/>
  <c r="AS80" i="34" s="1"/>
  <c r="AT82" i="34"/>
  <c r="AS82" i="34" s="1"/>
  <c r="AT86" i="34"/>
  <c r="AS86" i="34" s="1"/>
  <c r="AT88" i="34"/>
  <c r="AS88" i="34" s="1"/>
  <c r="AT90" i="34"/>
  <c r="AS90" i="34" s="1"/>
  <c r="AT76" i="34"/>
  <c r="AS76" i="34" s="1"/>
  <c r="AT94" i="34"/>
  <c r="AS94" i="34" s="1"/>
  <c r="AT75" i="34"/>
  <c r="AS75" i="34" s="1"/>
  <c r="AT77" i="34"/>
  <c r="AS77" i="34" s="1"/>
  <c r="AT87" i="34"/>
  <c r="AS87" i="34" s="1"/>
  <c r="AT81" i="34"/>
  <c r="AS81" i="34" s="1"/>
  <c r="AT84" i="34"/>
  <c r="AS84" i="34" s="1"/>
  <c r="AT91" i="34"/>
  <c r="AS91" i="34" s="1"/>
  <c r="AT93" i="34"/>
  <c r="AS93" i="34" s="1"/>
  <c r="AT92" i="34"/>
  <c r="AS92" i="34" s="1"/>
  <c r="AT79" i="34"/>
  <c r="AS79" i="34" s="1"/>
  <c r="AT89" i="34"/>
  <c r="AS89" i="34" s="1"/>
  <c r="AT83" i="34"/>
  <c r="AS83" i="34" s="1"/>
  <c r="AT85" i="34"/>
  <c r="AS85" i="34" s="1"/>
  <c r="AT95" i="34"/>
  <c r="AS95" i="34" s="1"/>
  <c r="AS73" i="34"/>
  <c r="AX127" i="34"/>
  <c r="AW127" i="34" s="1"/>
  <c r="AX117" i="34"/>
  <c r="AW117" i="34" s="1"/>
  <c r="AX122" i="34"/>
  <c r="AW122" i="34" s="1"/>
  <c r="AX106" i="34"/>
  <c r="AW106" i="34" s="1"/>
  <c r="AX115" i="34"/>
  <c r="AW115" i="34" s="1"/>
  <c r="AX111" i="34"/>
  <c r="AW111" i="34" s="1"/>
  <c r="AX116" i="34"/>
  <c r="AW116" i="34" s="1"/>
  <c r="AX118" i="34"/>
  <c r="AW118" i="34" s="1"/>
  <c r="AX119" i="34"/>
  <c r="AW119" i="34" s="1"/>
  <c r="AX109" i="34"/>
  <c r="AW109" i="34" s="1"/>
  <c r="AX120" i="34"/>
  <c r="AW120" i="34" s="1"/>
  <c r="AX124" i="34"/>
  <c r="AW124" i="34" s="1"/>
  <c r="AX121" i="34"/>
  <c r="AW121" i="34" s="1"/>
  <c r="AX123" i="34"/>
  <c r="AW123" i="34" s="1"/>
  <c r="AX108" i="34"/>
  <c r="AW108" i="34" s="1"/>
  <c r="AX107" i="34"/>
  <c r="AW107" i="34" s="1"/>
  <c r="AX129" i="34"/>
  <c r="AW129" i="34" s="1"/>
  <c r="AX114" i="34"/>
  <c r="AW114" i="34" s="1"/>
  <c r="AX112" i="34"/>
  <c r="AW112" i="34" s="1"/>
  <c r="AX125" i="34"/>
  <c r="AW125" i="34" s="1"/>
  <c r="AX126" i="34"/>
  <c r="AW126" i="34" s="1"/>
  <c r="AX110" i="34"/>
  <c r="AW110" i="34" s="1"/>
  <c r="AX128" i="34"/>
  <c r="AW128" i="34" s="1"/>
  <c r="AX113" i="34"/>
  <c r="AW113" i="34" s="1"/>
  <c r="AZ73" i="34"/>
  <c r="AY73" i="34" s="1"/>
  <c r="AZ89" i="34"/>
  <c r="AY89" i="34" s="1"/>
  <c r="AZ81" i="34"/>
  <c r="AY81" i="34" s="1"/>
  <c r="AZ96" i="34"/>
  <c r="AY96" i="34" s="1"/>
  <c r="AZ88" i="34"/>
  <c r="AY88" i="34" s="1"/>
  <c r="AZ80" i="34"/>
  <c r="AY80" i="34" s="1"/>
  <c r="AZ95" i="34"/>
  <c r="AY95" i="34" s="1"/>
  <c r="AZ87" i="34"/>
  <c r="AY87" i="34" s="1"/>
  <c r="AZ79" i="34"/>
  <c r="AY79" i="34" s="1"/>
  <c r="AZ94" i="34"/>
  <c r="AY94" i="34" s="1"/>
  <c r="AZ86" i="34"/>
  <c r="AY86" i="34" s="1"/>
  <c r="AZ78" i="34"/>
  <c r="AY78" i="34" s="1"/>
  <c r="AZ93" i="34"/>
  <c r="AY93" i="34" s="1"/>
  <c r="AZ85" i="34"/>
  <c r="AY85" i="34" s="1"/>
  <c r="AZ77" i="34"/>
  <c r="AY77" i="34" s="1"/>
  <c r="AZ92" i="34"/>
  <c r="AY92" i="34" s="1"/>
  <c r="AZ84" i="34"/>
  <c r="AY84" i="34" s="1"/>
  <c r="AZ76" i="34"/>
  <c r="AY76" i="34" s="1"/>
  <c r="AZ90" i="34"/>
  <c r="AY90" i="34" s="1"/>
  <c r="AZ74" i="34"/>
  <c r="AY74" i="34" s="1"/>
  <c r="AZ91" i="34"/>
  <c r="AY91" i="34" s="1"/>
  <c r="AZ83" i="34"/>
  <c r="AY83" i="34" s="1"/>
  <c r="AZ75" i="34"/>
  <c r="AY75" i="34" s="1"/>
  <c r="AZ82" i="34"/>
  <c r="AY82" i="34" s="1"/>
  <c r="AX46" i="34"/>
  <c r="AW46" i="34" s="1"/>
  <c r="AX38" i="34"/>
  <c r="AW38" i="34" s="1"/>
  <c r="AX45" i="34"/>
  <c r="AW45" i="34" s="1"/>
  <c r="AX37" i="34"/>
  <c r="AW37" i="34" s="1"/>
  <c r="AX47" i="34"/>
  <c r="AW47" i="34" s="1"/>
  <c r="AX44" i="34"/>
  <c r="AW44" i="34" s="1"/>
  <c r="AX36" i="34"/>
  <c r="AW36" i="34" s="1"/>
  <c r="AX39" i="34"/>
  <c r="AW39" i="34" s="1"/>
  <c r="AX43" i="34"/>
  <c r="AW43" i="34" s="1"/>
  <c r="AX35" i="34"/>
  <c r="AW35" i="34" s="1"/>
  <c r="AX50" i="34"/>
  <c r="AW50" i="34" s="1"/>
  <c r="AX42" i="34"/>
  <c r="AW42" i="34" s="1"/>
  <c r="AX34" i="34"/>
  <c r="AW34" i="34" s="1"/>
  <c r="AX49" i="34"/>
  <c r="AW49" i="34" s="1"/>
  <c r="AX41" i="34"/>
  <c r="AW41" i="34" s="1"/>
  <c r="AX33" i="34"/>
  <c r="AW33" i="34" s="1"/>
  <c r="AX40" i="34"/>
  <c r="AW40" i="34" s="1"/>
  <c r="AX31" i="34"/>
  <c r="AW31" i="34" s="1"/>
  <c r="AX48" i="34"/>
  <c r="AW48" i="34" s="1"/>
  <c r="AX32" i="34"/>
  <c r="AW32" i="34" s="1"/>
  <c r="AV57" i="34"/>
  <c r="AU57" i="34" s="1"/>
  <c r="AV53" i="34"/>
  <c r="AU53" i="34" s="1"/>
  <c r="AV59" i="34"/>
  <c r="AU59" i="34" s="1"/>
  <c r="AV52" i="34"/>
  <c r="AU52" i="34" s="1"/>
  <c r="AV56" i="34"/>
  <c r="AU56" i="34" s="1"/>
  <c r="AV54" i="34"/>
  <c r="AU54" i="34" s="1"/>
  <c r="AV58" i="34"/>
  <c r="AU58" i="34" s="1"/>
  <c r="AV55" i="34"/>
  <c r="AU55" i="34" s="1"/>
  <c r="E45" i="29"/>
  <c r="D53" i="29"/>
  <c r="E56" i="29"/>
  <c r="E41" i="29"/>
  <c r="D38" i="29"/>
  <c r="E63" i="29"/>
  <c r="D29" i="29"/>
  <c r="D46" i="29"/>
  <c r="D48" i="29"/>
  <c r="D65" i="29"/>
  <c r="E55" i="29"/>
  <c r="E35" i="29"/>
  <c r="E49" i="29"/>
  <c r="D32" i="29"/>
  <c r="D36" i="29"/>
  <c r="D33" i="29"/>
  <c r="E50" i="29"/>
  <c r="E64" i="29"/>
  <c r="E34" i="29"/>
  <c r="D61" i="29"/>
  <c r="D43" i="29"/>
  <c r="D42" i="29"/>
  <c r="E39" i="29"/>
  <c r="E66" i="29"/>
  <c r="E51" i="29"/>
  <c r="D62" i="29"/>
  <c r="E52" i="29"/>
  <c r="E44" i="29"/>
  <c r="E30" i="29"/>
  <c r="D58" i="29"/>
  <c r="E31" i="29"/>
  <c r="E37" i="29"/>
  <c r="D67" i="29"/>
  <c r="E60" i="29"/>
  <c r="E47" i="29"/>
  <c r="E57" i="29"/>
  <c r="D40" i="29"/>
  <c r="E59" i="29"/>
  <c r="D54" i="29"/>
  <c r="N100" i="29"/>
  <c r="N99" i="29" s="1"/>
  <c r="N98" i="29" s="1"/>
  <c r="H98" i="29" s="1"/>
  <c r="H104" i="29"/>
  <c r="D106" i="29"/>
  <c r="G105" i="29"/>
  <c r="H105" i="29" s="1"/>
  <c r="AT39" i="34" l="1"/>
  <c r="AS39" i="34" s="1"/>
  <c r="AT40" i="34"/>
  <c r="AS40" i="34" s="1"/>
  <c r="AX84" i="34"/>
  <c r="AW84" i="34" s="1"/>
  <c r="AX89" i="34"/>
  <c r="AW89" i="34" s="1"/>
  <c r="AX77" i="34"/>
  <c r="AW77" i="34" s="1"/>
  <c r="AX91" i="34"/>
  <c r="AW91" i="34" s="1"/>
  <c r="AX80" i="34"/>
  <c r="AW80" i="34" s="1"/>
  <c r="AX85" i="34"/>
  <c r="AW85" i="34" s="1"/>
  <c r="AX93" i="34"/>
  <c r="AW93" i="34" s="1"/>
  <c r="AX79" i="34"/>
  <c r="AW79" i="34" s="1"/>
  <c r="AX75" i="34"/>
  <c r="AW75" i="34" s="1"/>
  <c r="AX95" i="34"/>
  <c r="AW95" i="34" s="1"/>
  <c r="AX83" i="34"/>
  <c r="AW83" i="34" s="1"/>
  <c r="AX90" i="34"/>
  <c r="AW90" i="34" s="1"/>
  <c r="AT43" i="34"/>
  <c r="AS43" i="34" s="1"/>
  <c r="AT35" i="34"/>
  <c r="AS35" i="34" s="1"/>
  <c r="AT46" i="34"/>
  <c r="AS46" i="34" s="1"/>
  <c r="AT42" i="34"/>
  <c r="AS42" i="34" s="1"/>
  <c r="AT33" i="34"/>
  <c r="AS33" i="34" s="1"/>
  <c r="AT38" i="34"/>
  <c r="AS38" i="34" s="1"/>
  <c r="AT45" i="34"/>
  <c r="AS45" i="34" s="1"/>
  <c r="AT44" i="34"/>
  <c r="AS44" i="34" s="1"/>
  <c r="AT36" i="34"/>
  <c r="AS36" i="34" s="1"/>
  <c r="AT41" i="34"/>
  <c r="AS41" i="34" s="1"/>
  <c r="AT31" i="34"/>
  <c r="AS31" i="34" s="1"/>
  <c r="AT34" i="34"/>
  <c r="AS34" i="34" s="1"/>
  <c r="AT37" i="34"/>
  <c r="AS37" i="34" s="1"/>
  <c r="AV38" i="34"/>
  <c r="AU38" i="34" s="1"/>
  <c r="AV31" i="34"/>
  <c r="AU31" i="34" s="1"/>
  <c r="AV34" i="34"/>
  <c r="AU34" i="34" s="1"/>
  <c r="AT54" i="34"/>
  <c r="AS54" i="34" s="1"/>
  <c r="AT67" i="34"/>
  <c r="AS67" i="34" s="1"/>
  <c r="AT58" i="34"/>
  <c r="AS58" i="34" s="1"/>
  <c r="AT52" i="34"/>
  <c r="AS52" i="34" s="1"/>
  <c r="AT55" i="34"/>
  <c r="AS55" i="34" s="1"/>
  <c r="AT66" i="34"/>
  <c r="AS66" i="34" s="1"/>
  <c r="AT63" i="34"/>
  <c r="AS63" i="34" s="1"/>
  <c r="AT59" i="34"/>
  <c r="AS59" i="34" s="1"/>
  <c r="AT56" i="34"/>
  <c r="AS56" i="34" s="1"/>
  <c r="AT62" i="34"/>
  <c r="AS62" i="34" s="1"/>
  <c r="AT64" i="34"/>
  <c r="AS64" i="34" s="1"/>
  <c r="AT60" i="34"/>
  <c r="AS60" i="34" s="1"/>
  <c r="AT57" i="34"/>
  <c r="AS57" i="34" s="1"/>
  <c r="AT53" i="34"/>
  <c r="AS53" i="34" s="1"/>
  <c r="AT65" i="34"/>
  <c r="AS65" i="34" s="1"/>
  <c r="AV90" i="34"/>
  <c r="AU90" i="34" s="1"/>
  <c r="AV93" i="34"/>
  <c r="AU93" i="34" s="1"/>
  <c r="AV32" i="34"/>
  <c r="AU32" i="34" s="1"/>
  <c r="AV80" i="34"/>
  <c r="AU80" i="34" s="1"/>
  <c r="AV35" i="34"/>
  <c r="AU35" i="34" s="1"/>
  <c r="AV96" i="34"/>
  <c r="AU96" i="34" s="1"/>
  <c r="AV86" i="34"/>
  <c r="AU86" i="34" s="1"/>
  <c r="AV33" i="34"/>
  <c r="AU33" i="34" s="1"/>
  <c r="AV36" i="34"/>
  <c r="AU36" i="34" s="1"/>
  <c r="AV83" i="34"/>
  <c r="AU83" i="34" s="1"/>
  <c r="AV76" i="34"/>
  <c r="AU76" i="34" s="1"/>
  <c r="AV94" i="34"/>
  <c r="AU94" i="34" s="1"/>
  <c r="AV73" i="34"/>
  <c r="AU73" i="34" s="1"/>
  <c r="AV92" i="34"/>
  <c r="AU92" i="34" s="1"/>
  <c r="AV79" i="34"/>
  <c r="AU79" i="34" s="1"/>
  <c r="AV89" i="34"/>
  <c r="AU89" i="34" s="1"/>
  <c r="AV82" i="34"/>
  <c r="AU82" i="34" s="1"/>
  <c r="AV77" i="34"/>
  <c r="AU77" i="34" s="1"/>
  <c r="AV87" i="34"/>
  <c r="AU87" i="34" s="1"/>
  <c r="AV75" i="34"/>
  <c r="AU75" i="34" s="1"/>
  <c r="AV85" i="34"/>
  <c r="AU85" i="34" s="1"/>
  <c r="AV95" i="34"/>
  <c r="AU95" i="34" s="1"/>
  <c r="AV91" i="34"/>
  <c r="AU91" i="34" s="1"/>
  <c r="AV78" i="34"/>
  <c r="AU78" i="34" s="1"/>
  <c r="AV88" i="34"/>
  <c r="AU88" i="34" s="1"/>
  <c r="AV84" i="34"/>
  <c r="AU84" i="34" s="1"/>
  <c r="AV74" i="34"/>
  <c r="AU74" i="34" s="1"/>
  <c r="AX92" i="34"/>
  <c r="AW92" i="34" s="1"/>
  <c r="AX87" i="34"/>
  <c r="AW87" i="34" s="1"/>
  <c r="AX73" i="34"/>
  <c r="AW73" i="34" s="1"/>
  <c r="AX74" i="34"/>
  <c r="AW74" i="34" s="1"/>
  <c r="AX78" i="34"/>
  <c r="AW78" i="34" s="1"/>
  <c r="AX88" i="34"/>
  <c r="AW88" i="34" s="1"/>
  <c r="AX82" i="34"/>
  <c r="AW82" i="34" s="1"/>
  <c r="AX86" i="34"/>
  <c r="AW86" i="34" s="1"/>
  <c r="AX96" i="34"/>
  <c r="AW96" i="34" s="1"/>
  <c r="AX76" i="34"/>
  <c r="AW76" i="34" s="1"/>
  <c r="AX94" i="34"/>
  <c r="AW94" i="34" s="1"/>
  <c r="AZ116" i="34"/>
  <c r="AY116" i="34" s="1"/>
  <c r="AZ127" i="34"/>
  <c r="AY127" i="34" s="1"/>
  <c r="AZ107" i="34"/>
  <c r="AY107" i="34" s="1"/>
  <c r="AV113" i="34"/>
  <c r="AU113" i="34" s="1"/>
  <c r="AZ126" i="34"/>
  <c r="AY126" i="34" s="1"/>
  <c r="AZ112" i="34"/>
  <c r="AY112" i="34" s="1"/>
  <c r="AZ106" i="34"/>
  <c r="AY106" i="34" s="1"/>
  <c r="AZ120" i="34"/>
  <c r="AY120" i="34" s="1"/>
  <c r="AZ109" i="34"/>
  <c r="AY109" i="34" s="1"/>
  <c r="AZ113" i="34"/>
  <c r="AY113" i="34" s="1"/>
  <c r="AZ124" i="34"/>
  <c r="AY124" i="34" s="1"/>
  <c r="AZ108" i="34"/>
  <c r="AY108" i="34" s="1"/>
  <c r="AZ122" i="34"/>
  <c r="AY122" i="34" s="1"/>
  <c r="AZ114" i="34"/>
  <c r="AY114" i="34" s="1"/>
  <c r="AZ129" i="34"/>
  <c r="AY129" i="34" s="1"/>
  <c r="AZ111" i="34"/>
  <c r="AY111" i="34" s="1"/>
  <c r="AZ128" i="34"/>
  <c r="AY128" i="34" s="1"/>
  <c r="AZ121" i="34"/>
  <c r="AY121" i="34" s="1"/>
  <c r="AZ118" i="34"/>
  <c r="AY118" i="34" s="1"/>
  <c r="AZ110" i="34"/>
  <c r="AY110" i="34" s="1"/>
  <c r="AZ117" i="34"/>
  <c r="AY117" i="34" s="1"/>
  <c r="AZ125" i="34"/>
  <c r="AY125" i="34" s="1"/>
  <c r="AZ119" i="34"/>
  <c r="AY119" i="34" s="1"/>
  <c r="AZ115" i="34"/>
  <c r="AY115" i="34" s="1"/>
  <c r="AV116" i="34"/>
  <c r="AU116" i="34" s="1"/>
  <c r="AV120" i="34"/>
  <c r="AU120" i="34" s="1"/>
  <c r="AV106" i="34"/>
  <c r="AU106" i="34" s="1"/>
  <c r="AV125" i="34"/>
  <c r="AU125" i="34" s="1"/>
  <c r="AV115" i="34"/>
  <c r="AU115" i="34" s="1"/>
  <c r="AV117" i="34"/>
  <c r="AU117" i="34" s="1"/>
  <c r="AV111" i="34"/>
  <c r="AU111" i="34" s="1"/>
  <c r="AV127" i="34"/>
  <c r="AU127" i="34" s="1"/>
  <c r="AV107" i="34"/>
  <c r="AU107" i="34" s="1"/>
  <c r="AV123" i="34"/>
  <c r="AU123" i="34" s="1"/>
  <c r="AV109" i="34"/>
  <c r="AU109" i="34" s="1"/>
  <c r="AV118" i="34"/>
  <c r="AU118" i="34" s="1"/>
  <c r="AV112" i="34"/>
  <c r="AU112" i="34" s="1"/>
  <c r="AV108" i="34"/>
  <c r="AU108" i="34" s="1"/>
  <c r="AV119" i="34"/>
  <c r="AU119" i="34" s="1"/>
  <c r="AV110" i="34"/>
  <c r="AU110" i="34" s="1"/>
  <c r="AV128" i="34"/>
  <c r="AU128" i="34" s="1"/>
  <c r="AV129" i="34"/>
  <c r="AU129" i="34" s="1"/>
  <c r="AV122" i="34"/>
  <c r="AU122" i="34" s="1"/>
  <c r="AV126" i="34"/>
  <c r="AU126" i="34" s="1"/>
  <c r="AV124" i="34"/>
  <c r="AU124" i="34" s="1"/>
  <c r="AV121" i="34"/>
  <c r="AU121" i="34" s="1"/>
  <c r="AO143" i="34"/>
  <c r="AR155" i="34" s="1"/>
  <c r="AR120" i="34"/>
  <c r="AQ120" i="34" s="1"/>
  <c r="AR112" i="34"/>
  <c r="AQ112" i="34" s="1"/>
  <c r="AR109" i="34"/>
  <c r="AQ109" i="34" s="1"/>
  <c r="AZ54" i="34"/>
  <c r="AY54" i="34" s="1"/>
  <c r="AR124" i="34"/>
  <c r="AQ124" i="34" s="1"/>
  <c r="AR116" i="34"/>
  <c r="AQ116" i="34" s="1"/>
  <c r="AR106" i="34"/>
  <c r="AQ106" i="34" s="1"/>
  <c r="AR128" i="34"/>
  <c r="AQ128" i="34" s="1"/>
  <c r="AR117" i="34"/>
  <c r="AQ117" i="34" s="1"/>
  <c r="AR118" i="34"/>
  <c r="AQ118" i="34" s="1"/>
  <c r="AR122" i="34"/>
  <c r="AQ122" i="34" s="1"/>
  <c r="AR113" i="34"/>
  <c r="AQ113" i="34" s="1"/>
  <c r="AR125" i="34"/>
  <c r="AQ125" i="34" s="1"/>
  <c r="AR129" i="34"/>
  <c r="AQ129" i="34" s="1"/>
  <c r="AR123" i="34"/>
  <c r="AQ123" i="34" s="1"/>
  <c r="AR119" i="34"/>
  <c r="AQ119" i="34" s="1"/>
  <c r="AR108" i="34"/>
  <c r="AQ108" i="34" s="1"/>
  <c r="AR111" i="34"/>
  <c r="AQ111" i="34" s="1"/>
  <c r="AR114" i="34"/>
  <c r="AQ114" i="34" s="1"/>
  <c r="AR110" i="34"/>
  <c r="AQ110" i="34" s="1"/>
  <c r="AR107" i="34"/>
  <c r="AQ107" i="34" s="1"/>
  <c r="AR121" i="34"/>
  <c r="AQ121" i="34" s="1"/>
  <c r="AR126" i="34"/>
  <c r="AQ126" i="34" s="1"/>
  <c r="AR127" i="34"/>
  <c r="AQ127" i="34" s="1"/>
  <c r="AZ56" i="34"/>
  <c r="AY56" i="34" s="1"/>
  <c r="AZ53" i="34"/>
  <c r="AY53" i="34" s="1"/>
  <c r="AZ55" i="34"/>
  <c r="AY55" i="34" s="1"/>
  <c r="AZ59" i="34"/>
  <c r="AY59" i="34" s="1"/>
  <c r="AZ58" i="34"/>
  <c r="AY58" i="34" s="1"/>
  <c r="AZ52" i="34"/>
  <c r="AY52" i="34" s="1"/>
  <c r="AM149" i="34"/>
  <c r="AO149" i="34" s="1"/>
  <c r="K112" i="46"/>
  <c r="I120" i="46" s="1"/>
  <c r="Z86" i="46"/>
  <c r="H100" i="29"/>
  <c r="H99" i="29"/>
  <c r="D105" i="29"/>
  <c r="E106" i="29" s="1"/>
  <c r="AR156" i="34" l="1"/>
  <c r="Z87" i="46"/>
  <c r="Y108" i="46" s="1"/>
  <c r="H120" i="46"/>
  <c r="K115" i="46"/>
  <c r="B118" i="46" s="1"/>
  <c r="D107" i="29"/>
  <c r="G106" i="29"/>
  <c r="K116" i="46" l="1"/>
  <c r="M120" i="46"/>
  <c r="H122" i="46"/>
  <c r="H121" i="46"/>
  <c r="Z110" i="46"/>
  <c r="Z112" i="46"/>
  <c r="Z109" i="46"/>
  <c r="Z108" i="46"/>
  <c r="Z113" i="46"/>
  <c r="Z111" i="46"/>
  <c r="H106" i="29"/>
  <c r="E107" i="29"/>
  <c r="D108" i="29" s="1"/>
  <c r="E36" i="46" l="1"/>
  <c r="C126" i="46" s="1"/>
  <c r="S114" i="46"/>
  <c r="P114" i="46" s="1"/>
  <c r="R12" i="46" s="1"/>
  <c r="D12" i="46" s="1"/>
  <c r="E108" i="29"/>
  <c r="D109" i="29" s="1"/>
  <c r="G107" i="29"/>
  <c r="M106" i="29"/>
  <c r="D10" i="29" s="1"/>
  <c r="R20" i="46" l="1"/>
  <c r="D20" i="46" s="1"/>
  <c r="R13" i="46"/>
  <c r="D13" i="46" s="1"/>
  <c r="R25" i="46"/>
  <c r="D25" i="46" s="1"/>
  <c r="R14" i="46"/>
  <c r="D14" i="46" s="1"/>
  <c r="R10" i="46"/>
  <c r="D10" i="46" s="1"/>
  <c r="R17" i="46"/>
  <c r="D17" i="46" s="1"/>
  <c r="R26" i="46"/>
  <c r="D26" i="46" s="1"/>
  <c r="R22" i="46"/>
  <c r="D22" i="46" s="1"/>
  <c r="R15" i="46"/>
  <c r="D15" i="46" s="1"/>
  <c r="R27" i="46"/>
  <c r="D27" i="46" s="1"/>
  <c r="R24" i="46"/>
  <c r="D24" i="46" s="1"/>
  <c r="R29" i="46"/>
  <c r="D29" i="46" s="1"/>
  <c r="R11" i="46"/>
  <c r="D11" i="46" s="1"/>
  <c r="R7" i="46"/>
  <c r="D7" i="46" s="1"/>
  <c r="R28" i="46"/>
  <c r="D28" i="46" s="1"/>
  <c r="R23" i="46"/>
  <c r="D23" i="46" s="1"/>
  <c r="R16" i="46"/>
  <c r="D16" i="46" s="1"/>
  <c r="R19" i="46"/>
  <c r="D19" i="46" s="1"/>
  <c r="R9" i="46"/>
  <c r="D9" i="46" s="1"/>
  <c r="R21" i="46"/>
  <c r="D21" i="46" s="1"/>
  <c r="R18" i="46"/>
  <c r="D18" i="46" s="1"/>
  <c r="R8" i="46"/>
  <c r="D8" i="46" s="1"/>
  <c r="E109" i="29"/>
  <c r="D110" i="29" s="1"/>
  <c r="H107" i="29"/>
  <c r="K107" i="29"/>
  <c r="G108" i="29"/>
  <c r="E110" i="29" l="1"/>
  <c r="D111" i="29" s="1"/>
  <c r="G109" i="29"/>
  <c r="H108" i="29"/>
  <c r="K108" i="29"/>
  <c r="M107" i="29"/>
  <c r="H109" i="29" l="1"/>
  <c r="K109" i="29"/>
  <c r="M108" i="29"/>
  <c r="E111" i="29"/>
  <c r="D112" i="29" s="1"/>
  <c r="G110" i="29"/>
  <c r="K110" i="29" l="1"/>
  <c r="H110" i="29"/>
  <c r="M109" i="29"/>
  <c r="E112" i="29"/>
  <c r="D113" i="29" s="1"/>
  <c r="G111" i="29"/>
  <c r="G112" i="29" l="1"/>
  <c r="M110" i="29"/>
  <c r="E113" i="29"/>
  <c r="D114" i="29" s="1"/>
  <c r="K111" i="29"/>
  <c r="H111" i="29"/>
  <c r="H112" i="29" l="1"/>
  <c r="K112" i="29"/>
  <c r="M111" i="29"/>
  <c r="E114" i="29"/>
  <c r="D115" i="29" s="1"/>
  <c r="G113" i="29"/>
  <c r="M112" i="29" l="1"/>
  <c r="G114" i="29"/>
  <c r="K114" i="29" s="1"/>
  <c r="K113" i="29"/>
  <c r="H113" i="29"/>
  <c r="E115" i="29"/>
  <c r="D116" i="29" s="1"/>
  <c r="H114" i="29" l="1"/>
  <c r="E116" i="29"/>
  <c r="G116" i="29" s="1"/>
  <c r="G115" i="29"/>
  <c r="M113" i="29"/>
  <c r="M114" i="29" l="1"/>
  <c r="K116" i="29"/>
  <c r="H116" i="29"/>
  <c r="K115" i="29"/>
  <c r="H115" i="29"/>
  <c r="M115" i="29" l="1"/>
  <c r="M116" i="29"/>
  <c r="K106" i="29"/>
  <c r="L115" i="29" s="1"/>
  <c r="L116" i="29" l="1"/>
  <c r="L107" i="29"/>
  <c r="L108" i="29"/>
  <c r="L109" i="29"/>
  <c r="L110" i="29"/>
  <c r="L112" i="29"/>
  <c r="L111" i="29"/>
  <c r="L113" i="29"/>
  <c r="L114" i="29"/>
</calcChain>
</file>

<file path=xl/sharedStrings.xml><?xml version="1.0" encoding="utf-8"?>
<sst xmlns="http://schemas.openxmlformats.org/spreadsheetml/2006/main" count="49106" uniqueCount="1661">
  <si>
    <t>Code</t>
  </si>
  <si>
    <t>Duitsland</t>
  </si>
  <si>
    <t>A</t>
  </si>
  <si>
    <t>B</t>
  </si>
  <si>
    <t>C</t>
  </si>
  <si>
    <t>D</t>
  </si>
  <si>
    <t>DE</t>
  </si>
  <si>
    <t>Nr.</t>
  </si>
  <si>
    <t>Wedstrijd</t>
  </si>
  <si>
    <t>Groep A</t>
  </si>
  <si>
    <t>Datum</t>
  </si>
  <si>
    <t>Tijd</t>
  </si>
  <si>
    <t>-</t>
  </si>
  <si>
    <t>Eindstand</t>
  </si>
  <si>
    <t>Groep B</t>
  </si>
  <si>
    <t>1/4 Finales</t>
  </si>
  <si>
    <t>:</t>
  </si>
  <si>
    <t>kies een land</t>
  </si>
  <si>
    <t>Nummer</t>
  </si>
  <si>
    <t>Team</t>
  </si>
  <si>
    <t>1/2 Finales</t>
  </si>
  <si>
    <t>Finale</t>
  </si>
  <si>
    <t>Groep C</t>
  </si>
  <si>
    <t>Groep D</t>
  </si>
  <si>
    <t>Sco. Thuis</t>
  </si>
  <si>
    <t>Sco. Uit</t>
  </si>
  <si>
    <t>Tea. Thuis</t>
  </si>
  <si>
    <t>Tea. Uit</t>
  </si>
  <si>
    <t>Goed ingevuld</t>
  </si>
  <si>
    <t>De Regels</t>
  </si>
  <si>
    <t>In gevallen waar het reglement niet in voorziet, beslist de wedstrijdleiding.</t>
  </si>
  <si>
    <t>Instellingen voor het reglement :</t>
  </si>
  <si>
    <t xml:space="preserve">De Code: </t>
  </si>
  <si>
    <t>Meerdere keren deelnemen aan de poule</t>
  </si>
  <si>
    <t>Euro's of Procenten</t>
  </si>
  <si>
    <t>Inleg</t>
  </si>
  <si>
    <t>Plaats 1</t>
  </si>
  <si>
    <t>Plaats 2</t>
  </si>
  <si>
    <t>Plaats 3</t>
  </si>
  <si>
    <t>Plaats 4</t>
  </si>
  <si>
    <t>Plaats 5</t>
  </si>
  <si>
    <t>Plaats 6</t>
  </si>
  <si>
    <t>Plaats 7</t>
  </si>
  <si>
    <t>Plaats 8</t>
  </si>
  <si>
    <t>Plaats 9</t>
  </si>
  <si>
    <t>Plaats 10</t>
  </si>
  <si>
    <t>Inlegsysteem (1=JA, 0=NEE)</t>
  </si>
  <si>
    <t>wel of niet meerdere deelnames</t>
  </si>
  <si>
    <t>wel of geen inleg systeem</t>
  </si>
  <si>
    <t>inleverdatum</t>
  </si>
  <si>
    <t>mei</t>
  </si>
  <si>
    <t>januari</t>
  </si>
  <si>
    <t>februari</t>
  </si>
  <si>
    <t>maart</t>
  </si>
  <si>
    <t>april</t>
  </si>
  <si>
    <t>juni</t>
  </si>
  <si>
    <t>juli</t>
  </si>
  <si>
    <t>augustus</t>
  </si>
  <si>
    <t>september</t>
  </si>
  <si>
    <t>oktober</t>
  </si>
  <si>
    <t>november</t>
  </si>
  <si>
    <t>december</t>
  </si>
  <si>
    <t>NEE</t>
  </si>
  <si>
    <t>JA</t>
  </si>
  <si>
    <t>CODE</t>
  </si>
  <si>
    <t>1.</t>
  </si>
  <si>
    <t>LET OP, GEEN LEESTEKENS GEBRUIKEN IN LANDAFKORTING. ENKEL HOOFDLETTERS</t>
  </si>
  <si>
    <t>=</t>
  </si>
  <si>
    <t>+</t>
  </si>
  <si>
    <t>De Puntentelling</t>
  </si>
  <si>
    <t>De Finalewedstrijden</t>
  </si>
  <si>
    <t>Rang</t>
  </si>
  <si>
    <t>ABCD</t>
  </si>
  <si>
    <t>Groep</t>
  </si>
  <si>
    <t>Maakt gebruik van Inleg Systeem</t>
  </si>
  <si>
    <t>Datum voor inleveren (DD-MM-YY)</t>
  </si>
  <si>
    <t>inlegsysteem</t>
  </si>
  <si>
    <t>inleveren via de mail</t>
  </si>
  <si>
    <t>persoonlijk inleveren</t>
  </si>
  <si>
    <t>Niet ingevuld</t>
  </si>
  <si>
    <t>Doelpunten voor</t>
  </si>
  <si>
    <t>Doelpunten tegen</t>
  </si>
  <si>
    <t>Deel 4, bonusvragen:</t>
  </si>
  <si>
    <t>Open vraag juist</t>
  </si>
  <si>
    <t>Benaderingsvraag juist</t>
  </si>
  <si>
    <t>Spreiding</t>
  </si>
  <si>
    <t>Stelling juist</t>
  </si>
  <si>
    <t>www.excel-pool.nl</t>
  </si>
  <si>
    <t>Fout ingevuld</t>
  </si>
  <si>
    <t>wit</t>
  </si>
  <si>
    <t>Rusland</t>
  </si>
  <si>
    <t xml:space="preserve">Bestand: </t>
  </si>
  <si>
    <t>Kolombreedte van kolom P = 0,08</t>
  </si>
  <si>
    <t>Poedelprijzen</t>
  </si>
  <si>
    <t>RU</t>
  </si>
  <si>
    <t>4.</t>
  </si>
  <si>
    <t>3.</t>
  </si>
  <si>
    <t>2.</t>
  </si>
  <si>
    <t xml:space="preserve">Versie: </t>
  </si>
  <si>
    <t>Punten</t>
  </si>
  <si>
    <t>Bonusvragen</t>
  </si>
  <si>
    <t>a</t>
  </si>
  <si>
    <t xml:space="preserve">Aantal deelnemers: </t>
  </si>
  <si>
    <t>Deel 3, de punten:</t>
  </si>
  <si>
    <t>Deel 2, de inleg:</t>
  </si>
  <si>
    <t xml:space="preserve">Reglement aanwezig: </t>
  </si>
  <si>
    <t>Groep E</t>
  </si>
  <si>
    <t>Groep F</t>
  </si>
  <si>
    <t>Groep G</t>
  </si>
  <si>
    <t>Groep H</t>
  </si>
  <si>
    <t>A1</t>
  </si>
  <si>
    <t>A2</t>
  </si>
  <si>
    <t>A3</t>
  </si>
  <si>
    <t>A4</t>
  </si>
  <si>
    <t>B1</t>
  </si>
  <si>
    <t>B2</t>
  </si>
  <si>
    <t>B3</t>
  </si>
  <si>
    <t>B4</t>
  </si>
  <si>
    <t>C1</t>
  </si>
  <si>
    <t>C2</t>
  </si>
  <si>
    <t>C3</t>
  </si>
  <si>
    <t>D1</t>
  </si>
  <si>
    <t>D2</t>
  </si>
  <si>
    <t>D3</t>
  </si>
  <si>
    <t>D4</t>
  </si>
  <si>
    <t>E1</t>
  </si>
  <si>
    <t>E2</t>
  </si>
  <si>
    <t>E3</t>
  </si>
  <si>
    <t>E4</t>
  </si>
  <si>
    <t>C4</t>
  </si>
  <si>
    <t>F1</t>
  </si>
  <si>
    <t>F2</t>
  </si>
  <si>
    <t>F3</t>
  </si>
  <si>
    <t>F4</t>
  </si>
  <si>
    <t>G1</t>
  </si>
  <si>
    <t>G2</t>
  </si>
  <si>
    <t>G3</t>
  </si>
  <si>
    <t>G4</t>
  </si>
  <si>
    <t>H1</t>
  </si>
  <si>
    <t>H2</t>
  </si>
  <si>
    <t>H3</t>
  </si>
  <si>
    <t>H4</t>
  </si>
  <si>
    <t>LAND</t>
  </si>
  <si>
    <t>AFKORTING</t>
  </si>
  <si>
    <t>Deel 1, de regels:</t>
  </si>
  <si>
    <t>CEL P3 IS NIET LEEG</t>
  </si>
  <si>
    <t>EERSTE TEKEN IN CL P3 IS "|"</t>
  </si>
  <si>
    <t>LAATSTE TEKEN IN CL P3 IS "|" OF "}"</t>
  </si>
  <si>
    <t>TYPE REGLEMENTCODE</t>
  </si>
  <si>
    <t>TYPE BESTAND</t>
  </si>
  <si>
    <t>Deel 3, de punten ontleden:</t>
  </si>
  <si>
    <t>Deel 1, de regels ontleden:</t>
  </si>
  <si>
    <t>Type reglementcode</t>
  </si>
  <si>
    <t>Deel 2, de inleg ontleden:</t>
  </si>
  <si>
    <t>Naam pool</t>
  </si>
  <si>
    <t>Naam beheerder</t>
  </si>
  <si>
    <t>E-mail beheerder</t>
  </si>
  <si>
    <t>punten TOTO bij Finalewedstrijden</t>
  </si>
  <si>
    <t>Winnaar juist</t>
  </si>
  <si>
    <t>TOTO juist</t>
  </si>
  <si>
    <t>Groepsfase juist</t>
  </si>
  <si>
    <t>1/8 Finalist juist</t>
  </si>
  <si>
    <t>1/4 Finalist juist</t>
  </si>
  <si>
    <t>1/2 Finalist juist</t>
  </si>
  <si>
    <t>Troostfinalist juist</t>
  </si>
  <si>
    <t>Finalist juist</t>
  </si>
  <si>
    <t>GELDIGE CODE (1=JA, 0=NEE)</t>
  </si>
  <si>
    <t>E</t>
  </si>
  <si>
    <t>G</t>
  </si>
  <si>
    <t>F</t>
  </si>
  <si>
    <t>H</t>
  </si>
  <si>
    <t>Troostfinale</t>
  </si>
  <si>
    <t>A t/m H</t>
  </si>
  <si>
    <t>Alle tijden zijn Midden-Europese Tijd (UCT+1)</t>
  </si>
  <si>
    <t>REGLEMENT</t>
  </si>
  <si>
    <t>Doelpunten -</t>
  </si>
  <si>
    <t>Doelpunten +</t>
  </si>
  <si>
    <t>Afkorting</t>
  </si>
  <si>
    <t>DEELNAMECODE GROEPSFASE</t>
  </si>
  <si>
    <t>&lt;--- Keuze</t>
  </si>
  <si>
    <t>suggesties verbergen na keuze</t>
  </si>
  <si>
    <t>suggesties altijd weergeven</t>
  </si>
  <si>
    <t>Ingevuld</t>
  </si>
  <si>
    <t>Totale lengte van de groepscode ---&gt;</t>
  </si>
  <si>
    <t>Chronologisch</t>
  </si>
  <si>
    <t>Wedstrijden</t>
  </si>
  <si>
    <t>DEELNAMECODE GROEPSWEDSTRIJDEN</t>
  </si>
  <si>
    <t>Toelichting bij het Invullen</t>
  </si>
  <si>
    <t>Naam Controle :</t>
  </si>
  <si>
    <t>Naam Code :</t>
  </si>
  <si>
    <t>Naam Lengte :</t>
  </si>
  <si>
    <t>Codelengte</t>
  </si>
  <si>
    <t>Con. Naam</t>
  </si>
  <si>
    <t>Naam Zonder Spaties :</t>
  </si>
  <si>
    <t>Naamcode</t>
  </si>
  <si>
    <t>LENGTE</t>
  </si>
  <si>
    <t>Dubbele voorspelling  (0 = NEE, 1 = JA) --&gt;</t>
  </si>
  <si>
    <t>Extra tekens voor het sluiten van de code ---&gt;</t>
  </si>
  <si>
    <t>DEELNAMECODE FINALEWEDSTRIJDEN</t>
  </si>
  <si>
    <t>Controle finalecode  :</t>
  </si>
  <si>
    <t>Landen in één ronde meer dan één keer voorspellen?</t>
  </si>
  <si>
    <t>0 = NEE, 1 = JA</t>
  </si>
  <si>
    <t>CONTROLE FINALEWEDSTRIJDEN</t>
  </si>
  <si>
    <t>INSTELLINGEN</t>
  </si>
  <si>
    <t>Punten nr.1</t>
  </si>
  <si>
    <t>Punten nr.2</t>
  </si>
  <si>
    <t>Punten nr.3</t>
  </si>
  <si>
    <t>Punten nr.4</t>
  </si>
  <si>
    <t>EINDSTAND GROEP</t>
  </si>
  <si>
    <t>Landen 1e</t>
  </si>
  <si>
    <t>Landen 2e</t>
  </si>
  <si>
    <t>Landen 3e</t>
  </si>
  <si>
    <t>Landen 4e</t>
  </si>
  <si>
    <t>BEPALEN GROEPSWINNAARS</t>
  </si>
  <si>
    <t xml:space="preserve"> 1.</t>
  </si>
  <si>
    <t xml:space="preserve"> 2.</t>
  </si>
  <si>
    <t xml:space="preserve"> 3.</t>
  </si>
  <si>
    <t xml:space="preserve"> 4.</t>
  </si>
  <si>
    <t>Keuze nr.1</t>
  </si>
  <si>
    <t>Controle nr.1</t>
  </si>
  <si>
    <t>Keuze nr.2</t>
  </si>
  <si>
    <t>Controle nr.2</t>
  </si>
  <si>
    <t>Keuze nr.3</t>
  </si>
  <si>
    <t>Controle nr.3</t>
  </si>
  <si>
    <t>Keuze nr.4</t>
  </si>
  <si>
    <t>Controle nr.4</t>
  </si>
  <si>
    <t>Eindcontrole</t>
  </si>
  <si>
    <t>Dubbele Landen</t>
  </si>
  <si>
    <t>Elk land mag maar één keer ingevuld worden bij het voorspellen van de eindstand in de groep.</t>
  </si>
  <si>
    <t>SUGGESTIES EINDSTAND GROEP EN 1/8 FINALES</t>
  </si>
  <si>
    <t>Score +</t>
  </si>
  <si>
    <t>Score -</t>
  </si>
  <si>
    <t>Alles gespeeld</t>
  </si>
  <si>
    <t>Volgorde</t>
  </si>
  <si>
    <t>Volgorde zonder naam</t>
  </si>
  <si>
    <t>TOTO</t>
  </si>
  <si>
    <t>inclusief het inlegsysteem</t>
  </si>
  <si>
    <t>#d t/m #g</t>
  </si>
  <si>
    <t>inclusief bonusvragen</t>
  </si>
  <si>
    <t>#d, #f, #h en #j</t>
  </si>
  <si>
    <t>EXCEL invulversie</t>
  </si>
  <si>
    <t>#e, #g, #i en #k</t>
  </si>
  <si>
    <t>PDF invulversie</t>
  </si>
  <si>
    <t>d#, f#, h# en j#</t>
  </si>
  <si>
    <t>eindstand in de groep voorspellen</t>
  </si>
  <si>
    <t>d# t/m g#</t>
  </si>
  <si>
    <t>volledige uitslag in de groep voorspellen</t>
  </si>
  <si>
    <t>h# t/m k#</t>
  </si>
  <si>
    <t>enkel TOTO in de groep voorspellen</t>
  </si>
  <si>
    <t>f#, g#, j# en k#</t>
  </si>
  <si>
    <t>alleen landen in de finale wedstrijden voorspellen</t>
  </si>
  <si>
    <t>d# en e#</t>
  </si>
  <si>
    <t>h# en i#</t>
  </si>
  <si>
    <t>volledige uitslag + landen in de finale wedstrijden voorspellen</t>
  </si>
  <si>
    <t>TOTO + landen in de finale wedstrijden voorspellen</t>
  </si>
  <si>
    <t>Score Groepswedstrijden</t>
  </si>
  <si>
    <t>Eindstand Groep</t>
  </si>
  <si>
    <t>TOTO Finalewedstrijden</t>
  </si>
  <si>
    <t>Score Finalewedstrijden</t>
  </si>
  <si>
    <t>Herkenningcode</t>
  </si>
  <si>
    <t>Weergave</t>
  </si>
  <si>
    <t>Wachtwoord</t>
  </si>
  <si>
    <t>01</t>
  </si>
  <si>
    <t>02</t>
  </si>
  <si>
    <t>03</t>
  </si>
  <si>
    <t>04</t>
  </si>
  <si>
    <t>05</t>
  </si>
  <si>
    <t>07</t>
  </si>
  <si>
    <t>06</t>
  </si>
  <si>
    <t>08</t>
  </si>
  <si>
    <t>09</t>
  </si>
  <si>
    <t>Controle groepscode  :</t>
  </si>
  <si>
    <t>Controle Eindstandcode:</t>
  </si>
  <si>
    <t>Voor het voorspellen van de TOTO vult men een 1 in wanneer men denkt dat de thuisploeg zal winnen, een 2 als men denkt dat de uitploeg zal winnen en wanneer men een gelijkspel verwacht vult men een 3 in.</t>
  </si>
  <si>
    <t>1 winst voor de thuisploeg, 2 winst voor de uitploeg, 3 gelijkspel</t>
  </si>
  <si>
    <t>UITSLAG</t>
  </si>
  <si>
    <t>UITSLAG VOORSPELLEN</t>
  </si>
  <si>
    <t>TOTO VOORSPELLEN</t>
  </si>
  <si>
    <t>BRON INSTELLEN VOOR SUGGESTIES</t>
  </si>
  <si>
    <t>OPHALEN GEGEVENS UIT BRON</t>
  </si>
  <si>
    <t>SORTEREN OP RANG</t>
  </si>
  <si>
    <t>EINDSTAND GROEP VOORSPELLEN</t>
  </si>
  <si>
    <t>a.</t>
  </si>
  <si>
    <t>b.</t>
  </si>
  <si>
    <t>c.</t>
  </si>
  <si>
    <t>nr.</t>
  </si>
  <si>
    <t>a - thuis</t>
  </si>
  <si>
    <t>a - uit</t>
  </si>
  <si>
    <t>b - thuis</t>
  </si>
  <si>
    <t>b - uit</t>
  </si>
  <si>
    <t>c - thuis</t>
  </si>
  <si>
    <t>c - uit</t>
  </si>
  <si>
    <t>suggestie - thuis</t>
  </si>
  <si>
    <t>suggestie - uit</t>
  </si>
  <si>
    <t>BRON INSTELLEN VOOR
SUGGESTIES 1/8 FINALES</t>
  </si>
  <si>
    <t>bron instellen</t>
  </si>
  <si>
    <r>
      <rPr>
        <sz val="10"/>
        <color theme="0"/>
        <rFont val="Calibri"/>
        <family val="2"/>
      </rPr>
      <t>←</t>
    </r>
    <r>
      <rPr>
        <i/>
        <sz val="10"/>
        <color theme="0"/>
        <rFont val="Calibri"/>
        <family val="2"/>
        <scheme val="minor"/>
      </rPr>
      <t xml:space="preserve"> voorrang bij</t>
    </r>
  </si>
  <si>
    <t>De Openvragen</t>
  </si>
  <si>
    <t>De Benaderingsvragen</t>
  </si>
  <si>
    <t>De Stellingen</t>
  </si>
  <si>
    <t>5.</t>
  </si>
  <si>
    <t>Reglement aanwezig? (0 = Nee, 1 = Ja) --&gt;</t>
  </si>
  <si>
    <t>BRON INSTELLEN VOOR
SUGGESTIES BONUSVRAGEN</t>
  </si>
  <si>
    <t>Type reglement</t>
  </si>
  <si>
    <t>Groepswedstrijden - TOTO voorspellen</t>
  </si>
  <si>
    <t>Eindstand in de groep voorspellen</t>
  </si>
  <si>
    <t>Finale wedstrijden - uitslag voorspellen</t>
  </si>
  <si>
    <t>Finale wedstrijden - TOTO voorspellen</t>
  </si>
  <si>
    <t>Finale wedstrijden - landen voorspellen</t>
  </si>
  <si>
    <t>Groepswedstrijden - uitslag voorspellen</t>
  </si>
  <si>
    <t>Bron Groepswedstrijden:</t>
  </si>
  <si>
    <t>Bron Eindstand Groep:</t>
  </si>
  <si>
    <t>Bron Finale Wedstrijden:</t>
  </si>
  <si>
    <t>geen suggestie mogelijk</t>
  </si>
  <si>
    <t>GROEP</t>
  </si>
  <si>
    <t>TOTAAL</t>
  </si>
  <si>
    <t>BRONGEGEVENS VOOR BONUSVRAGEN</t>
  </si>
  <si>
    <t>A-B</t>
  </si>
  <si>
    <t>C-D</t>
  </si>
  <si>
    <t>E-F</t>
  </si>
  <si>
    <t>G-H</t>
  </si>
  <si>
    <t>winst</t>
  </si>
  <si>
    <t>verlies</t>
  </si>
  <si>
    <t>TF</t>
  </si>
  <si>
    <t xml:space="preserve"> </t>
  </si>
  <si>
    <t>WANNEER LANDEN BEKEND ZIJN DEZE OP ALFABETISCHE VOLGORDE SORTEREN</t>
  </si>
  <si>
    <t>BLAD</t>
  </si>
  <si>
    <t xml:space="preserve">ALLES VOORSPELD </t>
  </si>
  <si>
    <t>De Deelnamecode</t>
  </si>
  <si>
    <t>Controle Onderdelen</t>
  </si>
  <si>
    <t>NAAMCODE</t>
  </si>
  <si>
    <t>naamcode :</t>
  </si>
  <si>
    <t>veldcontrole :</t>
  </si>
  <si>
    <t>De naamcode is zonder foutmeldingen gegenereerd.</t>
  </si>
  <si>
    <t>naamlengte :</t>
  </si>
  <si>
    <t>lengtecontrole :</t>
  </si>
  <si>
    <t>uitslag controle :</t>
  </si>
  <si>
    <t>Het genereren van de deelnamecode voor de groepswedstrijden is niet mogelijk in verband met het ontbreken</t>
  </si>
  <si>
    <t>GROEPSCODE</t>
  </si>
  <si>
    <t>Bij het genereren van de deelnamecode voor de groepswedstrijden is er een fout geconstateerd. Controleer uw</t>
  </si>
  <si>
    <t>groepscode :</t>
  </si>
  <si>
    <t>Bij het genereren van de deelnamecode voor de groepswedstrijden zijn er fouten geconstateerd. Controleer uw</t>
  </si>
  <si>
    <t>aantal leeg :</t>
  </si>
  <si>
    <t>De deelnamecode voor de groepswedstrijden is zonder foutmeldingen gegenereerd.</t>
  </si>
  <si>
    <t>aantal hoog :</t>
  </si>
  <si>
    <t>aantal ongeldig :</t>
  </si>
  <si>
    <t>aantal goed :</t>
  </si>
  <si>
    <t>POULECODE</t>
  </si>
  <si>
    <t>poulecode :</t>
  </si>
  <si>
    <t>aantal dubbel :</t>
  </si>
  <si>
    <t>Het genereren van de deelnamecode voor de finalewedstrijden is niet mogelijk in verband met het ontbreken</t>
  </si>
  <si>
    <t>Bij het genereren van de deelnamecode voor de finalewedstrijden is er een fout geconstateerd. Controleer uw</t>
  </si>
  <si>
    <t>FINALECODE</t>
  </si>
  <si>
    <t>Bij het genereren van de deelnamecode voor de finalewedstrijden zijn er fouten geconstateerd. Controleer uw</t>
  </si>
  <si>
    <t>finalecode :</t>
  </si>
  <si>
    <t>De deelnamecode voor de finalewedstrijden is zonder foutmeldingen gegenereerd.</t>
  </si>
  <si>
    <t>WINNAARCODE</t>
  </si>
  <si>
    <t>winnaarcode :</t>
  </si>
  <si>
    <t>Het genereren van de deelnamecode voor de bonusvragen is niet mogelijk in verband met het ontbreken</t>
  </si>
  <si>
    <t>3 = goed / 4 = leeg</t>
  </si>
  <si>
    <t>Bij het genereren van de deelnamecode voor de bonusvragen is er een fout geconstateerd. Controleer uw</t>
  </si>
  <si>
    <t>VRAGENCODE</t>
  </si>
  <si>
    <t>Bij het genereren van de deelnamecode voor de bonusvragen zijn er fouten geconstateerd. Controleer uw</t>
  </si>
  <si>
    <t>vragencode :</t>
  </si>
  <si>
    <t>De deelnamecode voor de bonusvragen is zonder foutmeldingen gegenereerd.</t>
  </si>
  <si>
    <t>lengte 1:</t>
  </si>
  <si>
    <t>lengte 2:</t>
  </si>
  <si>
    <t>LEGE REGEL</t>
  </si>
  <si>
    <t>Onderdeel</t>
  </si>
  <si>
    <t>AANTAL</t>
  </si>
  <si>
    <t>LEEG</t>
  </si>
  <si>
    <t>GOED</t>
  </si>
  <si>
    <t>FOUT</t>
  </si>
  <si>
    <t>Aantal Regels (23 benodigd) --&gt;</t>
  </si>
  <si>
    <t>1 = ALLES GOED</t>
  </si>
  <si>
    <t>2 = LEEG (1 of meer)</t>
  </si>
  <si>
    <t>3 = FOUT (1 of meer)</t>
  </si>
  <si>
    <t>TOTAAL UITSLAG</t>
  </si>
  <si>
    <t>4 = LEEG &amp; FOUT (2 of meer)</t>
  </si>
  <si>
    <t>TEKST BIJ FOUT OF LEEG</t>
  </si>
  <si>
    <t>.</t>
  </si>
  <si>
    <t>TEKST BIJ ALLES GOED (6x)</t>
  </si>
  <si>
    <t>Bron Bonusvragen</t>
  </si>
  <si>
    <t>Alle wedstrijden gespeeld in de groep</t>
  </si>
  <si>
    <t>Reglement aanwezig?</t>
  </si>
  <si>
    <t>#d, #e, #h en i#</t>
  </si>
  <si>
    <t>→</t>
  </si>
  <si>
    <t>Eindstand juist</t>
  </si>
  <si>
    <t>punten Eindstand bij Finalewedstrijden</t>
  </si>
  <si>
    <t>SORTEREN OP LAND</t>
  </si>
  <si>
    <t>SORTEREN OP AFKORTING</t>
  </si>
  <si>
    <t>Prijzengeld</t>
  </si>
  <si>
    <t>(alles / benodigd / deelnemer)</t>
  </si>
  <si>
    <t>alles</t>
  </si>
  <si>
    <t>Win.</t>
  </si>
  <si>
    <t>3e</t>
  </si>
  <si>
    <t>Het genereren van de deelnamecode voor de eindstand in de groep is niet mogelijk in verband met het</t>
  </si>
  <si>
    <t>Bij het genereren van de deelnamecode voor de eindstand in de groep is er een fout geconstateerd.</t>
  </si>
  <si>
    <t>Bij het genereren van de deelnamecode voor de eindstand in de groep zijn er fouten geconstateerd.</t>
  </si>
  <si>
    <t>De deelnamecode voor de eindstand in de groep is zonder foutmeldingen gegenereerd.</t>
  </si>
  <si>
    <t>Inleg via bankoverschrijving</t>
  </si>
  <si>
    <t>rekeningnummer</t>
  </si>
  <si>
    <t>ter name van</t>
  </si>
  <si>
    <t>onder vermelding van</t>
  </si>
  <si>
    <t>goede doel</t>
  </si>
  <si>
    <t>Troostprijzen</t>
  </si>
  <si>
    <t>Aftrek Verschil eindstand</t>
  </si>
  <si>
    <t>TOTO juist voor punten eindstand</t>
  </si>
  <si>
    <t>deel van de punten indien het land niet op de juiste plek staat.</t>
  </si>
  <si>
    <t>SORTEREN OP CODE</t>
  </si>
  <si>
    <t>Belgisch</t>
  </si>
  <si>
    <t>Duits</t>
  </si>
  <si>
    <t>Engels</t>
  </si>
  <si>
    <t>Frans</t>
  </si>
  <si>
    <t>IJslands</t>
  </si>
  <si>
    <t>Kroatisch</t>
  </si>
  <si>
    <t>Pools</t>
  </si>
  <si>
    <t>Portugees</t>
  </si>
  <si>
    <t>Russisch</t>
  </si>
  <si>
    <t>Spaans</t>
  </si>
  <si>
    <t>Zweeds</t>
  </si>
  <si>
    <t>Zwitsers</t>
  </si>
  <si>
    <t>BONUSVRAGEN</t>
  </si>
  <si>
    <t>2e open vraag</t>
  </si>
  <si>
    <t>Beoordeling benaderingsvragen</t>
  </si>
  <si>
    <t>Eerste stelling</t>
  </si>
  <si>
    <t>Tweede stelling</t>
  </si>
  <si>
    <t>Derde stelling</t>
  </si>
  <si>
    <t>Vierde stelling</t>
  </si>
  <si>
    <t>Vijfde stelling</t>
  </si>
  <si>
    <t>/</t>
  </si>
  <si>
    <t>TOTO Groepswedstrijden</t>
  </si>
  <si>
    <t>0. punten in groep</t>
  </si>
  <si>
    <t>1. punten onderling</t>
  </si>
  <si>
    <t>2. doelsaldo onderling</t>
  </si>
  <si>
    <t>3. doelpunten voor onderling</t>
  </si>
  <si>
    <t>5. doelsaldo groep</t>
  </si>
  <si>
    <t>6. doelpunten voor groep</t>
  </si>
  <si>
    <t>www.excel-pool.nl/4beste3</t>
  </si>
  <si>
    <t>¹:</t>
  </si>
  <si>
    <t>Tevens vind u hier ook de verdeelsleutel voor het bepalen welk team in welke achtste finale speelt.</t>
  </si>
  <si>
    <t>STELLINGEN CONTROLEREN OP UITKOMST OP BASIS VAN VOORSPELLING</t>
  </si>
  <si>
    <t>Brongegegevens</t>
  </si>
  <si>
    <t>finale</t>
  </si>
  <si>
    <t>aantal wedstrijden winst/verlies</t>
  </si>
  <si>
    <t>aantal wedstrijden gelijkspel</t>
  </si>
  <si>
    <t>Voetregel:</t>
  </si>
  <si>
    <t>nvt</t>
  </si>
  <si>
    <t>Eerste rij:</t>
  </si>
  <si>
    <t>Aantal tussenrijen:</t>
  </si>
  <si>
    <t>Laatste rij:</t>
  </si>
  <si>
    <t>Beide landen juist bij finalewedstrijden</t>
  </si>
  <si>
    <t>Beide landen en de toto juist bij de finalewedstrijden</t>
  </si>
  <si>
    <t>TOTO en eindstand juist bij groeps- en finalewedstrijden</t>
  </si>
  <si>
    <t>TOTO en eindstand juist bij goepswedstrijden</t>
  </si>
  <si>
    <t>TOTO en eindstand juist bij groeps- en finalewedstrijden (+ landen bij finales)</t>
  </si>
  <si>
    <t>Eindstand finalewedstrijden na 90min. of verlenging</t>
  </si>
  <si>
    <t>90min. Of verlenging</t>
  </si>
  <si>
    <t>x</t>
  </si>
  <si>
    <t>y</t>
  </si>
  <si>
    <t>z</t>
  </si>
  <si>
    <t>E-mail adres verplicht</t>
  </si>
  <si>
    <t>gelijkspel</t>
  </si>
  <si>
    <t>winst/verlies</t>
  </si>
  <si>
    <t>tip: het programma van het vorige EK / WK (4 jaar geleden) is praktisch identiek</t>
  </si>
  <si>
    <t>AB</t>
  </si>
  <si>
    <t>EFGH</t>
  </si>
  <si>
    <t>aantal onvoldoende gegevens :</t>
  </si>
  <si>
    <t>aantal JA :</t>
  </si>
  <si>
    <t>aantal NEE :</t>
  </si>
  <si>
    <t>België</t>
  </si>
  <si>
    <t>BE</t>
  </si>
  <si>
    <t>Frankrijk</t>
  </si>
  <si>
    <t>Portugal</t>
  </si>
  <si>
    <t>FR</t>
  </si>
  <si>
    <t>PT</t>
  </si>
  <si>
    <t>SE</t>
  </si>
  <si>
    <t>DK</t>
  </si>
  <si>
    <t>PL</t>
  </si>
  <si>
    <t>HR</t>
  </si>
  <si>
    <t>ES</t>
  </si>
  <si>
    <t>GB</t>
  </si>
  <si>
    <t>CH</t>
  </si>
  <si>
    <t>Argentijns</t>
  </si>
  <si>
    <t>Australisch</t>
  </si>
  <si>
    <t>Braziliaans</t>
  </si>
  <si>
    <t>Colombiaans</t>
  </si>
  <si>
    <t>Costa Ricaans</t>
  </si>
  <si>
    <t>Deens</t>
  </si>
  <si>
    <t>Egyptisch</t>
  </si>
  <si>
    <t>Japans</t>
  </si>
  <si>
    <t>Marokkaans</t>
  </si>
  <si>
    <t>Mexicaans</t>
  </si>
  <si>
    <t>Nigeriaans</t>
  </si>
  <si>
    <t>Panamees</t>
  </si>
  <si>
    <t>Saoedi-Arabisch</t>
  </si>
  <si>
    <t>Senegalees</t>
  </si>
  <si>
    <t>Servisch</t>
  </si>
  <si>
    <t>Tunesisch</t>
  </si>
  <si>
    <t>Zuid-Koreaans</t>
  </si>
  <si>
    <t>Iraans</t>
  </si>
  <si>
    <t>Peruviaans</t>
  </si>
  <si>
    <t>Uruguayaans</t>
  </si>
  <si>
    <t>corrigeer bij switch EK-WK</t>
  </si>
  <si>
    <t>E-mailcode</t>
  </si>
  <si>
    <t>SPATIES</t>
  </si>
  <si>
    <t>BEVAT @</t>
  </si>
  <si>
    <t>BEVAT PUNT</t>
  </si>
  <si>
    <t>E-mail Lengte :</t>
  </si>
  <si>
    <t>E-mail Code :</t>
  </si>
  <si>
    <t>E-mail Controle :</t>
  </si>
  <si>
    <t>e-mail ingevuld :</t>
  </si>
  <si>
    <t>e-mail verplicht :</t>
  </si>
  <si>
    <t>Controle e-mail op :</t>
  </si>
  <si>
    <t>Resultaat controle :</t>
  </si>
  <si>
    <t>E-MAILCODE</t>
  </si>
  <si>
    <t>e-mailcode :</t>
  </si>
  <si>
    <t>e-maillengte :</t>
  </si>
  <si>
    <t>naam verplicht :</t>
  </si>
  <si>
    <t>De naamcode inclusief e-mailadres is zonder foutmeldingen gegenereerd.</t>
  </si>
  <si>
    <t>van gegevens. Controleer of alle velden zijn ingevuld op het werkblad "Groepswedstrijden".</t>
  </si>
  <si>
    <t>invoer op het werkblad "Groepswedstrijden".</t>
  </si>
  <si>
    <t>ontbreken van gegevens. Controleer of alle velden zijn ingevuld op het werkblad "Eindstand Groep".</t>
  </si>
  <si>
    <t>Controleer uw invoer op het werkblad "Eindstand Groep".</t>
  </si>
  <si>
    <t>van gegevens. Controleer of alle velden zijn ingevuld op het werkblad "Finalewedstrijden".</t>
  </si>
  <si>
    <t>invoer op het werkblad "Finalewedstrijden".</t>
  </si>
  <si>
    <t>uw invoer  op het werkblad "Finalewedstrijden".</t>
  </si>
  <si>
    <t>van gegevens. Controleer of alle velden zijn ingevuld op het werkblad "Bonusvragen".</t>
  </si>
  <si>
    <t>invoer op het werkblad "Bonusvragen".</t>
  </si>
  <si>
    <t>bovenaan het werkblad "Groepswedstrijden".</t>
  </si>
  <si>
    <t>Het generen van de naamcode is niet mogelijk in verband met het ontbreken van uw naam. Voer uw naam in</t>
  </si>
  <si>
    <t>e-mailadres in bovenaan het werkblad "Groepswedstrijden".</t>
  </si>
  <si>
    <t>Het generen van de naamcode is niet mogelijk in verband met het ontbreken van uw e-mailadres. Voer uw</t>
  </si>
  <si>
    <t>werkblad "Groepswedstrijden".</t>
  </si>
  <si>
    <t>Bij het genereren van de naamcode is er een fout geconstateerd. Controleer uw e-mailadres bovenaan het</t>
  </si>
  <si>
    <t>Bij het genereren van de naamcode is er een fout geconstateerd. Controleer uw naam bovenaan het</t>
  </si>
  <si>
    <t>e-mailadres bovenaan het werkblad "Groepswedstrijden".</t>
  </si>
  <si>
    <t>Bij het genereren van de naamcode met e-mailadres is er een fout geconstateerd. Controleer uw naam en</t>
  </si>
  <si>
    <t>gegevens. Voer uw naam en e-mailadres in bovenaan het werkblad "Groepswedstrijden".</t>
  </si>
  <si>
    <t>Het generen van de naamcode incluslief e-mailadres is niet mogelijk in verband met het ontbreken van</t>
  </si>
  <si>
    <t>Opmerkingen indien één van de velden leeg is bij de NAAMCODE</t>
  </si>
  <si>
    <t>Opmerkingen indien één van de velden fout is bij de NAAMCODE</t>
  </si>
  <si>
    <t>Opmerkingen wanneer alles goed is.</t>
  </si>
  <si>
    <t>GELIJK AAN LAND</t>
  </si>
  <si>
    <t>Tekst bij DEMO/BETA-versie</t>
  </si>
  <si>
    <t>Versie van de pool</t>
  </si>
  <si>
    <t>Kenmerk</t>
  </si>
  <si>
    <t>Nederlands</t>
  </si>
  <si>
    <t>UEFA European Championship 2020: Europe</t>
  </si>
  <si>
    <t>UEFA Europees Kampioenschap 2020: Europa</t>
  </si>
  <si>
    <t>Nog één dag tot de start van het EK</t>
  </si>
  <si>
    <t>Nog ### dagen tot de start van het EK</t>
  </si>
  <si>
    <t>One more day until the start of the European Championship</t>
  </si>
  <si>
    <t>### days left until the start of the European Championship</t>
  </si>
  <si>
    <t>Europa</t>
  </si>
  <si>
    <t>Europe</t>
  </si>
  <si>
    <t>Het Beheerders Bestand</t>
  </si>
  <si>
    <t>The Manager File</t>
  </si>
  <si>
    <t>Het Deelname Fomulier</t>
  </si>
  <si>
    <t>Het Excel Deelname Formulier</t>
  </si>
  <si>
    <t>The Excel Participation Form</t>
  </si>
  <si>
    <t>Externe Ranglijst</t>
  </si>
  <si>
    <t>External Ranking</t>
  </si>
  <si>
    <t>Extra Beheerdersmodule voor de Organisatoren</t>
  </si>
  <si>
    <t>Uitbreidingsmodule voor het Beheerders Bestand</t>
  </si>
  <si>
    <t>Update voor de Excel EK-Pool naar versie</t>
  </si>
  <si>
    <t>Additional Administrator Module for the Organizers</t>
  </si>
  <si>
    <t>The Participation Form</t>
  </si>
  <si>
    <t>Extension Module for the Manager's File</t>
  </si>
  <si>
    <t>Update for the Excel EC Pool to version</t>
  </si>
  <si>
    <t>LET OP: Deze module maakt gebruik van macro's. Het word geadviseerd om deze in te schakelen.</t>
  </si>
  <si>
    <t>LET OP: Dit formulier bevat geen reglement. Vraag uw organisator om het reglement toe te voegen.</t>
  </si>
  <si>
    <t>LET OP: Deze module maakt gebruikt van macro's en is geschikt voor maximaal ### deelnemers.</t>
  </si>
  <si>
    <t>LET OP: Deze ranglijst maakt gebruikt van macro's en is geschikt voor maximaal ### deelnemers.</t>
  </si>
  <si>
    <t>LET OP: Deze update maakt gebruik van macro's. Geadviseerd wordt om deze in te schakelen.</t>
  </si>
  <si>
    <t>PLEASE NOTE: This module uses macros and is suitable for maximum ### participants.</t>
  </si>
  <si>
    <t>PLEASE NOTE: This external ranking uses macros and is suitable for maximum ### participants.</t>
  </si>
  <si>
    <t>PLEASE NOTE: For optional use of the manager's file, it is recommended to enable the macros.</t>
  </si>
  <si>
    <t>PLEASE NOTE: This module makes use of macros. It's recommended to enable the macros.</t>
  </si>
  <si>
    <t>PLEASE NOTE: This update makes use of macros. It's recommended to enable the macros.</t>
  </si>
  <si>
    <t>Helpbestand voor Excel-pool.nl</t>
  </si>
  <si>
    <t>Help File fot Excel-pool.nl</t>
  </si>
  <si>
    <t>Voorblad</t>
  </si>
  <si>
    <t>Choose your language</t>
  </si>
  <si>
    <t>Dutch</t>
  </si>
  <si>
    <t>English</t>
  </si>
  <si>
    <t>Group A</t>
  </si>
  <si>
    <t>Russia</t>
  </si>
  <si>
    <t>Group B</t>
  </si>
  <si>
    <t>Spain</t>
  </si>
  <si>
    <t>Group C</t>
  </si>
  <si>
    <t>France</t>
  </si>
  <si>
    <t>Denmark</t>
  </si>
  <si>
    <t>Group D</t>
  </si>
  <si>
    <t>Croatia</t>
  </si>
  <si>
    <t>Group E</t>
  </si>
  <si>
    <t>Switzerland</t>
  </si>
  <si>
    <t>Group F</t>
  </si>
  <si>
    <t>Germany</t>
  </si>
  <si>
    <t>Sweden</t>
  </si>
  <si>
    <t>Group G</t>
  </si>
  <si>
    <t>Belgium</t>
  </si>
  <si>
    <t>England</t>
  </si>
  <si>
    <t>Group H</t>
  </si>
  <si>
    <t>Poland</t>
  </si>
  <si>
    <t>Keuze</t>
  </si>
  <si>
    <t>Demo</t>
  </si>
  <si>
    <t>Demo Versie</t>
  </si>
  <si>
    <t>Demo Version</t>
  </si>
  <si>
    <t>Deelnemers</t>
  </si>
  <si>
    <t>Participants</t>
  </si>
  <si>
    <t>EK2020</t>
  </si>
  <si>
    <t>EC2020</t>
  </si>
  <si>
    <t>Uitkomst Keuzelijst</t>
  </si>
  <si>
    <t>Gekozen taal (rij)</t>
  </si>
  <si>
    <t>Voorblad / Algemeen</t>
  </si>
  <si>
    <t>Reglement</t>
  </si>
  <si>
    <t>Prijzenpot</t>
  </si>
  <si>
    <t>Groepswedstrijden</t>
  </si>
  <si>
    <t>Finalewedstrijden</t>
  </si>
  <si>
    <t>Deelnamecode</t>
  </si>
  <si>
    <t>Reglement Display</t>
  </si>
  <si>
    <t>Beheerders Display</t>
  </si>
  <si>
    <t>Uitslagen</t>
  </si>
  <si>
    <t>Openvragen</t>
  </si>
  <si>
    <t>Punten Groepswedstrijden</t>
  </si>
  <si>
    <t>Punten Eindstand Groepsdase</t>
  </si>
  <si>
    <t>Punten Finalewedstrijden</t>
  </si>
  <si>
    <t>Punten Bonusvragen</t>
  </si>
  <si>
    <t>Ranglijst</t>
  </si>
  <si>
    <t>Voorspellingen</t>
  </si>
  <si>
    <t>Kladblok</t>
  </si>
  <si>
    <t>Cover</t>
  </si>
  <si>
    <t>Rules</t>
  </si>
  <si>
    <t>PLEASE NOTE: This form does not contain any rules. Ask your organizer to add these.</t>
  </si>
  <si>
    <t>Prize pool</t>
  </si>
  <si>
    <t>Group Matches</t>
  </si>
  <si>
    <t>Final Matches</t>
  </si>
  <si>
    <t>Bonus Questions</t>
  </si>
  <si>
    <t>Participation Code</t>
  </si>
  <si>
    <t>Rules Display</t>
  </si>
  <si>
    <t>Managers Display</t>
  </si>
  <si>
    <t>Results</t>
  </si>
  <si>
    <t>Open Questions</t>
  </si>
  <si>
    <t>Points Group Matches</t>
  </si>
  <si>
    <t>Points Final Matches</t>
  </si>
  <si>
    <t>Points Bonus Questions</t>
  </si>
  <si>
    <t>Ranking</t>
  </si>
  <si>
    <t>Notepad</t>
  </si>
  <si>
    <t>Predictions</t>
  </si>
  <si>
    <t>The Rules</t>
  </si>
  <si>
    <t>The Participation Rules</t>
  </si>
  <si>
    <t>Ook de inleg dient voor de sluitingsdatum betaald te worden.</t>
  </si>
  <si>
    <t>Wanneer dit niet tijdig is gebeurd wordt de deelname ongeldig verklaard.</t>
  </si>
  <si>
    <t>The Participation Code and / or the Participation Form must be submitted to $$$ (&amp;&amp;&amp;) before ###.</t>
  </si>
  <si>
    <t>The buy-in must also be paid before the closing date.</t>
  </si>
  <si>
    <t>If this is not done on time, the participation will be declared invalid.</t>
  </si>
  <si>
    <t>At this pool, participation is free and therefore no buy-in is required to participate.</t>
  </si>
  <si>
    <t>Bij deze pool is deelname gratis en is er dus geen inleg verplicht om mee te spelen.</t>
  </si>
  <si>
    <t>(zie werkblad 'Prijzenpot' voor meer info).</t>
  </si>
  <si>
    <t>(zie de volgende pagina voor meer info).</t>
  </si>
  <si>
    <t>(see the next page for more info).</t>
  </si>
  <si>
    <t>As a participant, it is permitted to submit multiple participation forms.</t>
  </si>
  <si>
    <t>As a participant, it is not permitted to submit multiple participation forms.</t>
  </si>
  <si>
    <t>Het is wel toegestaan om als deelnemer meerdere deelname formulieren in te leveren.</t>
  </si>
  <si>
    <t>Het is niet toegestaan om als deelnemer meerdere deelname formulieren in te leveren.</t>
  </si>
  <si>
    <t>Het is niet mogelijk om uitslagen te voorspellen waarin één land meer dan 9 doelpunten maakt. Wanneer een land toch meer dan 9 doelpunten maakt tijdens één wedstrijd zal bij de uitslag 9 doelpunten genoteerd worden.</t>
  </si>
  <si>
    <t>It is not possible to predict results in which one team will score more than 9 goals. If a team scores more than 9 goals during one match, 9 goals will be noted for the result.</t>
  </si>
  <si>
    <t>For predicting the TOTO, enter a 1 when you think the home team will win, a 2 if you think the away team will win and when you expect a draw, you enter a 3.</t>
  </si>
  <si>
    <t>In de finalewedstrijden wordt de uitslag aangehouden die bereikt is na het verstrijken van de reguliere speeltijd inclusief de blessuretijd.</t>
  </si>
  <si>
    <t>In de finalewedstrijden wordt de uitslag aangehouden die bereikt is na het verstrijken van de eventuele verlenging inclusief de blessuretijd.</t>
  </si>
  <si>
    <t>Een gelijkspel in de finalewedstrijden is dus ook mogelijk.</t>
  </si>
  <si>
    <t>In all cases for which these regulations do not provide the organiser will make the final decision.</t>
  </si>
  <si>
    <t>By submitting the participation form you agree to these competition rules.</t>
  </si>
  <si>
    <t>Door het inleveren van het deelname formulier gaat u akkoord met dit wedstrijdreglement.</t>
  </si>
  <si>
    <t>January</t>
  </si>
  <si>
    <t>February</t>
  </si>
  <si>
    <t>March</t>
  </si>
  <si>
    <t>April</t>
  </si>
  <si>
    <t>May</t>
  </si>
  <si>
    <t>June</t>
  </si>
  <si>
    <t>July</t>
  </si>
  <si>
    <t>August</t>
  </si>
  <si>
    <t>September</t>
  </si>
  <si>
    <t>October</t>
  </si>
  <si>
    <t>November</t>
  </si>
  <si>
    <t>December</t>
  </si>
  <si>
    <t>The Score</t>
  </si>
  <si>
    <t>The Participation Code and / or the Participation Form must be emailed to "&amp;&amp;&amp;" before ###.</t>
  </si>
  <si>
    <t>This pool has a mandatory buy-in of €### for participation</t>
  </si>
  <si>
    <t>Deze pool heeft voor deelname een verplichte inleg van €###</t>
  </si>
  <si>
    <t>(pagina #)</t>
  </si>
  <si>
    <t>(page #)</t>
  </si>
  <si>
    <t>Punt</t>
  </si>
  <si>
    <t>Point</t>
  </si>
  <si>
    <t>Points</t>
  </si>
  <si>
    <t>Het voorspellen van de landen in de finalewedstrijden</t>
  </si>
  <si>
    <t>voor het goed voorspellen van de winnaar van het EK.</t>
  </si>
  <si>
    <t>for correctly predicting the winner of the European Championship.</t>
  </si>
  <si>
    <t>the country must be in the right position</t>
  </si>
  <si>
    <t>the country does not have to be in the right position</t>
  </si>
  <si>
    <t>het land hoeft niet op de juiste positie te staan</t>
  </si>
  <si>
    <t>het land dient op de juiste positie te staan</t>
  </si>
  <si>
    <t>voor elk goed voorspelde land in de finale</t>
  </si>
  <si>
    <t>voor elk goed voorspelde land in de troostfinale</t>
  </si>
  <si>
    <t>voor elk goed voorspelde land in de halve finales</t>
  </si>
  <si>
    <t>voor elk goed voorspelde land in de kwartfinales</t>
  </si>
  <si>
    <t>voor elk goed voorspelde land in de achtste finales</t>
  </si>
  <si>
    <t>behaald dan ontvangt men alsnog de helft van het aantal punten voor het juist voorspellen van het land.</t>
  </si>
  <si>
    <t>behaald dan ontvangt men alsnog het volledig aantal punten voor het juist voorspellen van het land.</t>
  </si>
  <si>
    <t>Heeft men het land niet op de juiste positie voorspeld maar het heeft wel de betreffende finaleronde</t>
  </si>
  <si>
    <t>Het is toegestaan om een land meerdere keren te voorspellen in één finaleronde.</t>
  </si>
  <si>
    <t>Het is niet toegestaan om een land meerdere keren te voorspellen in één finaleronde.</t>
  </si>
  <si>
    <t>de uitslag van de betreffende wedstrijd bekend is.</t>
  </si>
  <si>
    <t>de uitslag van de betreffende wedstrijd bekend is of als het voorspelde land zijn wedstrijd heeft gespeeld.</t>
  </si>
  <si>
    <t>Punten voor het goed voorspellen van een land in de finaleronden worden pas meegeteld op het moment dat</t>
  </si>
  <si>
    <t>is known or when the predicted country has played its match.</t>
  </si>
  <si>
    <t>Het voorspellen van de eindstand in de groep</t>
  </si>
  <si>
    <t>voor elk goed voorspelde land bij de eindstand in de groep.</t>
  </si>
  <si>
    <t>Elk land mag maar één keer ingevuld worden bij de voorspelling van de eindstand in de groep.</t>
  </si>
  <si>
    <t>Het voorspellen van de uitslag</t>
  </si>
  <si>
    <t>Het voorspellen van de TOTO</t>
  </si>
  <si>
    <t>voor het goed voorspellen van de TOTO (winst / verlies of gelijkspel).</t>
  </si>
  <si>
    <t>Predicting the TOTO</t>
  </si>
  <si>
    <t>for correctly predicting the TOTO (win / loss or draw).</t>
  </si>
  <si>
    <t>predicting the TOTO.</t>
  </si>
  <si>
    <t>Predicting the match result</t>
  </si>
  <si>
    <t>voor het goed voorspellen van het aantal gescoorde doelpunten per spelend team.</t>
  </si>
  <si>
    <t>for correctly predicting the number of goals scored per team.</t>
  </si>
  <si>
    <t>the TOTO.</t>
  </si>
  <si>
    <t>for correctly predicting the number of goals scored per team, provided that you have correctly predicted</t>
  </si>
  <si>
    <t>heeft voorspeld.</t>
  </si>
  <si>
    <t>aftrek voor elk doelpunt dat de voorspelling afwijkt van de uitslag.</t>
  </si>
  <si>
    <t>deduction for each goal that the prediction deviates from the result.</t>
  </si>
  <si>
    <t>De aftrek van punten zal nooit hoger zijn dan de standaard verkregen punten.</t>
  </si>
  <si>
    <t>The deduction of points will never be more than the standard points obtained.</t>
  </si>
  <si>
    <t>De aftrek van punten zal per land nooit hoger zijn dan de standaard verkregen punten per land.</t>
  </si>
  <si>
    <t>The deduction of points per country will never be more than the standard points obtained per country.</t>
  </si>
  <si>
    <t>deduction for each goal that the prediction deviates from the result (from the correctly predicted country).</t>
  </si>
  <si>
    <t>aftrek voor elk doelpunt dat de voorspelling afwijkt van de uitslag (van het juist voorspelde land).</t>
  </si>
  <si>
    <t>Bonuspunten</t>
  </si>
  <si>
    <t>Bonus points</t>
  </si>
  <si>
    <t>Bonus$$$ voor iedere groepswedstrijd waarbij zowel de TOTO als de uitslag juist zijn voorspeld.</t>
  </si>
  <si>
    <t>Bonus$$$ voor iedere finalewedstrijd waarbij beide landen op de juiste positie zijn voorspeld.</t>
  </si>
  <si>
    <t>Bonus$$$ voor iedere finalewedstrijd waarbij zowel de TOTO als de beide landen juist zijn voorspeld.</t>
  </si>
  <si>
    <t>Bonus $$$ for each group match where both the TOTO and the result are correctly predicted.</t>
  </si>
  <si>
    <t>De bonusvragen</t>
  </si>
  <si>
    <t>The bonus questions</t>
  </si>
  <si>
    <t>De punten voor de bonusvragen worden pas meegeteld als de winnaar van het EK bekend is.</t>
  </si>
  <si>
    <t>The points for the bonus questions are added when the winner of the European Championship is known.</t>
  </si>
  <si>
    <t>The points for correctly answering the bonus questions are shown on the worksheet with the bonus questions.</t>
  </si>
  <si>
    <t>The points for correctly answering the bonus questions are shown on the page with the bonus questions.</t>
  </si>
  <si>
    <t>(see worksheet 'Prijzenpot' for more info).</t>
  </si>
  <si>
    <t>(bij de finalewedstrijden dienen ook de beide landen juist voorspeld te zijn).</t>
  </si>
  <si>
    <t>De Prijzenpot</t>
  </si>
  <si>
    <t>The Prize Pool</t>
  </si>
  <si>
    <t>Om deel te nemen aan deze pool bent u verplicht de vastgestelde inleg te betalen. De vastgestelde inleg</t>
  </si>
  <si>
    <t>noodzakelijk.</t>
  </si>
  <si>
    <t>Deelname aan deze pool is kosteloos. Om aanspraak te maken op de prijzenpot is dan ook geen inleg</t>
  </si>
  <si>
    <t>Indien meerdere spelers op dezelfde positie staan en recht hebben op prijzengeld zal de totale som</t>
  </si>
  <si>
    <t>van het prijzengeld voor de gedeelde plekken verdeeld worden onder de rechthebbenden.</t>
  </si>
  <si>
    <t>De verdeling van het prijzengeld gebeurt als volgt:</t>
  </si>
  <si>
    <t>Tevens zijn er diverse troostprijzen beschikbaar voor degene die net naast de prijzen grijpen.</t>
  </si>
  <si>
    <t>Tevens zijn er voor de nr. ### en $$$ troostprijzen beschikbaar voor degene die net naast de prijzen grijpen.</t>
  </si>
  <si>
    <t>Tevens zijn er voor de nr. ### t/m $$$ troostprijzen beschikbaar voor degene die net naast de prijzen grijpen.</t>
  </si>
  <si>
    <t>Tevens is er voor de nr. ### een troostprijs beschikbaar als troost voor het net naast de prijzen grijpen.</t>
  </si>
  <si>
    <t>Daarnaast zijn er diverse poedelprijzen beschikbaar voor degenen die onderaan eindigen.</t>
  </si>
  <si>
    <t>Daarnaast ontvangt de laagst genoteerde deelnemer na afloop een poedelprijs.</t>
  </si>
  <si>
    <t>Daarnaast ontvangen de ### laagst genoteerde deelnemers na afloop ieder een poedelprijs.</t>
  </si>
  <si>
    <t>Wanneer een niet betalende deelnemer in aanmerkingen komt voor de prijzenpot zal de prijs worden</t>
  </si>
  <si>
    <r>
      <t>aan deze pool. U kunt dan ook geen aanspraak maken op de prijzenpot aan het einde van het toernooi</t>
    </r>
    <r>
      <rPr>
        <sz val="11"/>
        <rFont val="Calibri"/>
        <family val="2"/>
      </rPr>
      <t>¹</t>
    </r>
    <r>
      <rPr>
        <sz val="11"/>
        <rFont val="Calibri"/>
        <family val="2"/>
        <scheme val="minor"/>
      </rPr>
      <t>.</t>
    </r>
  </si>
  <si>
    <t>doorgeschoven naar de eerst volgende betalende deelnemer op de ranglijst.</t>
  </si>
  <si>
    <t>To participate in this pool, you are obliged to pay the buy-in.</t>
  </si>
  <si>
    <t>However, you cannot claim any of the prizes at the end of the tournament¹.</t>
  </si>
  <si>
    <t>required to claim any of the prizes at the end of the tournament.</t>
  </si>
  <si>
    <t>Participation in this pool is free of charge. Therefore, no buy-in is</t>
  </si>
  <si>
    <t>bank account</t>
  </si>
  <si>
    <t>payment reference</t>
  </si>
  <si>
    <t>account name</t>
  </si>
  <si>
    <t>sum of the prize money for the shared places will be divided among the relevant players.</t>
  </si>
  <si>
    <t>If several players are in the same position and are entitled to one of the prizes. Then the total</t>
  </si>
  <si>
    <t>The distribution of the prize money is as follows:</t>
  </si>
  <si>
    <t>No.</t>
  </si>
  <si>
    <t>Also for the no. ### and $$$ consolation prizes are available for those who just grab next to the prizes.</t>
  </si>
  <si>
    <t>Also for the number ### there is a consolation prize available as consolation for grasping the prizes.</t>
  </si>
  <si>
    <t>Also there are consolation prizes available for no. ### to $$$ for those who grab just next to the prizes.</t>
  </si>
  <si>
    <t>Also there are various consolation prizes available for those who grab next to the prizes.</t>
  </si>
  <si>
    <t>In addition, there are various poodle prices available for those that end at the bottom.</t>
  </si>
  <si>
    <t>In addition, the lowest listed participant will receive a poodle prize afterwards.</t>
  </si>
  <si>
    <t>In addition, the ### lowest-rated participants will each receive a poodle prize afterwards.</t>
  </si>
  <si>
    <t>paying participant in the rankings.</t>
  </si>
  <si>
    <t>If a non-paying participant is eligible for one of the prizes, the prize will be passed on to the next</t>
  </si>
  <si>
    <t>Deelname zonder</t>
  </si>
  <si>
    <t>inleg toegestaan</t>
  </si>
  <si>
    <t>voor deze pool is ###.</t>
  </si>
  <si>
    <t>De inleg voor deelname aan deze pool is ###. U kunt er ook voor kiezen om zonder inleg deel te nemen</t>
  </si>
  <si>
    <t>The buy-in for this pool is ###.</t>
  </si>
  <si>
    <t>The buy-in for participation in this pool is ###. You can also choose to participate for free.</t>
  </si>
  <si>
    <t>Van de inleg komt ### ten goede aan het goede doel ($$$).</t>
  </si>
  <si>
    <t>### of the buy-in goes to charity ($$$).</t>
  </si>
  <si>
    <t>of the prize pool</t>
  </si>
  <si>
    <t>van de prijzenpot</t>
  </si>
  <si>
    <t>Tussentijds updaten</t>
  </si>
  <si>
    <t>toegestaan</t>
  </si>
  <si>
    <t>deelnamecode is</t>
  </si>
  <si>
    <t>points for correctly predicting the position of the countries in each group after the group stage.</t>
  </si>
  <si>
    <t>The points for each correct prediction are only added when the last match of the group has been played.</t>
  </si>
  <si>
    <t>Bonus $$$ for each match (group and finals) where both the TOTO and the result are correctly predicted.</t>
  </si>
  <si>
    <t>Bonus $$$ for each match (group and finals) where both the TOTO and the result are correctly predicted</t>
  </si>
  <si>
    <t>De punten voor elke juiste voorspelling worden pas opgeteld als de laatste wedstrijd van de groep is gespeeld.</t>
  </si>
  <si>
    <t>Bonus$$$ voor iedere groeps- en finalewedstrijden waarbij de TOTO en de uitslag juist zijn voorspeld.</t>
  </si>
  <si>
    <t>Bonus$$$ voor iedere groeps- en finalewedstrijden waarbij de TOTO en de uitslag juist zijn voorspeld</t>
  </si>
  <si>
    <t>Zie het werkblad met de bonusvragen voor de puntentelling bij het juist beantwoorden van de bonusvragen.</t>
  </si>
  <si>
    <t>Zie de pagina met de bonusvragen voor de puntentelling bij het juist beantwoorden van de bonusvragen.</t>
  </si>
  <si>
    <t>Troostfinale aanwezig</t>
  </si>
  <si>
    <t>Bij de finalewedstrijden is het niet noodzakelijk om de landen juist voorspeld te hebben om aanspraak te</t>
  </si>
  <si>
    <t>Bij de finalewedstrijden dient men één of beide landen juist voorspeld te hebben om aanspraak te</t>
  </si>
  <si>
    <t>Bij de finalewedstrijden dient men beide landen juist voorspeld te hebben om aanspraak te</t>
  </si>
  <si>
    <t>maken op de punten voor het juist voorspellen van de TOTO.</t>
  </si>
  <si>
    <t>De eventuele inleg dient voor aanvang van het toernooi betaald te worden aan de organisator.</t>
  </si>
  <si>
    <t>De inleg dient contant betaald te worden of via een betaalverzoek welke de organisator u zal toesturen.</t>
  </si>
  <si>
    <t>De inleg dient voor aanvang van het toernooi betaald te worden aan de organisator.</t>
  </si>
  <si>
    <t>De inleg dient betaald te worden via een betaalverzoek welke de organisator u zal toesturen.</t>
  </si>
  <si>
    <t>De inleg dient door middel van een bankoverschrijving overgemaakt worden.</t>
  </si>
  <si>
    <t>De inleg dient contant betaald te worden of door middel van een bankoverschrijving overgemaakt te worden.</t>
  </si>
  <si>
    <t>De inleg dient met door middel van een contante betaling te voldoen.</t>
  </si>
  <si>
    <t>The buy-in must be paid in cash or transferred by bank transfer.</t>
  </si>
  <si>
    <t>The buy-in must be paid via a payment request that the organizer will send you.</t>
  </si>
  <si>
    <t>The buy-in must be paid in cash or through a payment request that the organizer will send you.</t>
  </si>
  <si>
    <t>The buy-in must be paid in cash.</t>
  </si>
  <si>
    <t>The buy-in must be paid by bank transfer.</t>
  </si>
  <si>
    <t>Is dit niet op tijd gedaan dan zal uw deelname ongeldig worden verklaard.</t>
  </si>
  <si>
    <t>If this is not done on time, your participation will be declared invalid.</t>
  </si>
  <si>
    <t xml:space="preserve">The buy-in must be paid to the organizer before the start of the tournament.
</t>
  </si>
  <si>
    <t>Is dit niet op tijd gedaan dan zal u ook niet deelnemen in de prijzenpot.</t>
  </si>
  <si>
    <t>If this is not done on time, you will not participate in the prize pool either.</t>
  </si>
  <si>
    <t xml:space="preserve">The optional buy-in must be paid to the organizer before the start of the tournament.
</t>
  </si>
  <si>
    <t>Deze pool heeft voor deelname een optionele inleg van €###</t>
  </si>
  <si>
    <t>This pool has an optional buy-in of €### for participation</t>
  </si>
  <si>
    <t>Ondanks de prijzenpot is deelname aan deze pool gratis</t>
  </si>
  <si>
    <t>Despite the prize pool, participation in this pool is free</t>
  </si>
  <si>
    <t>Na de start van de openingsceremonie is het niet meer mogelijk om uw voorspellingen aan te passen.</t>
  </si>
  <si>
    <t>After the start of the opening ceremony it is no longer possible to adjust your predictions.</t>
  </si>
  <si>
    <t>Voor aanvang van de eerste 1/8 finale is het eenmalige mogelijk om uw voorspellingen voor de finalewedstrijden aan te passen.</t>
  </si>
  <si>
    <t>Land G1</t>
  </si>
  <si>
    <t>Land G2</t>
  </si>
  <si>
    <t>Land G3</t>
  </si>
  <si>
    <t>Land G4</t>
  </si>
  <si>
    <t>Land H1</t>
  </si>
  <si>
    <t>Land H2</t>
  </si>
  <si>
    <t>Land H3</t>
  </si>
  <si>
    <t>Land H4</t>
  </si>
  <si>
    <t>Excel Deelname Formulier</t>
  </si>
  <si>
    <t>Deelname Formulier</t>
  </si>
  <si>
    <t>Participation Form</t>
  </si>
  <si>
    <t>Excel Participation Form</t>
  </si>
  <si>
    <t>Group Stage</t>
  </si>
  <si>
    <t>Naam</t>
  </si>
  <si>
    <t>E-mail</t>
  </si>
  <si>
    <t>(maximaal ## tekens)</t>
  </si>
  <si>
    <t>Name</t>
  </si>
  <si>
    <t>(max. ## characters)</t>
  </si>
  <si>
    <t>Notes on completing the Form</t>
  </si>
  <si>
    <t>De achtergrondkleur van de in te vullen velden geeft de status van het veld aan. Deze status correspondeert met de tabel hier rechts.</t>
  </si>
  <si>
    <t>The background color of the fields to be filled in indicates the status of the field. This status corresponds to the table on the right.</t>
  </si>
  <si>
    <t>Entered correctly</t>
  </si>
  <si>
    <t>No value entered</t>
  </si>
  <si>
    <t>Incorrectly entered</t>
  </si>
  <si>
    <t>De Groepswedstrijden - Groep A t/m F</t>
  </si>
  <si>
    <t>Voorspel welk team de wedstrijd wint of een gelijkspel en vul dit in op dit blad.</t>
  </si>
  <si>
    <t>Date</t>
  </si>
  <si>
    <t>Time</t>
  </si>
  <si>
    <t>Match</t>
  </si>
  <si>
    <t>Score</t>
  </si>
  <si>
    <t>All times are Central European Time (UCT + 1)</t>
  </si>
  <si>
    <t>Group</t>
  </si>
  <si>
    <t>Final</t>
  </si>
  <si>
    <t>Round of 16</t>
  </si>
  <si>
    <t>Quarter-finals</t>
  </si>
  <si>
    <t>Semi-finals</t>
  </si>
  <si>
    <t>Consolation Final</t>
  </si>
  <si>
    <t>Achtste Finale</t>
  </si>
  <si>
    <t>Kwartfinale</t>
  </si>
  <si>
    <t>Halve finale</t>
  </si>
  <si>
    <t>1 win for the home team, 2 win for the away team, 3 draw</t>
  </si>
  <si>
    <t>The Group Stage - Groups A to F</t>
  </si>
  <si>
    <t>Predict which team will win the match or a draw and fill this in on this sheet.</t>
  </si>
  <si>
    <t>Eindstand Groep A t/m F</t>
  </si>
  <si>
    <t>Voorspel de eindstand van de verschillende groepen en vul deze in op dit blad.</t>
  </si>
  <si>
    <t>Predict the results of the group matches and fill this in on this sheet.</t>
  </si>
  <si>
    <t>Voorspel de uitslag van de groepswedstrijden en vul deze in op dit blad.</t>
  </si>
  <si>
    <t>Each country may only be entered once when predicting the results of the groups.</t>
  </si>
  <si>
    <t>Indeling van de groepen</t>
  </si>
  <si>
    <t>To help you on your way, you can be given a suggestion based on previous predictions, provided that they have been fully completed. You are not required to follow this suggestion.</t>
  </si>
  <si>
    <t>suggesties niet weergeven</t>
  </si>
  <si>
    <t>hide suggestions after completion</t>
  </si>
  <si>
    <t>▼</t>
  </si>
  <si>
    <t>åß©þæ¥çµ®×ñø</t>
  </si>
  <si>
    <t>abcåß©þæ¥def</t>
  </si>
  <si>
    <t>ghiçµ®×ñøjkl</t>
  </si>
  <si>
    <t>Turkey</t>
  </si>
  <si>
    <t>Italy</t>
  </si>
  <si>
    <t>Wales</t>
  </si>
  <si>
    <t>Finland</t>
  </si>
  <si>
    <t>Netherlands</t>
  </si>
  <si>
    <t>Ukraine</t>
  </si>
  <si>
    <t>Austria</t>
  </si>
  <si>
    <t>Country G1</t>
  </si>
  <si>
    <t>Country G2</t>
  </si>
  <si>
    <t>Country G3</t>
  </si>
  <si>
    <t>Country G4</t>
  </si>
  <si>
    <t>Country H2</t>
  </si>
  <si>
    <t>Country H3</t>
  </si>
  <si>
    <t>Country H4</t>
  </si>
  <si>
    <t>Country H1</t>
  </si>
  <si>
    <t>Italië</t>
  </si>
  <si>
    <t>Zwitserland</t>
  </si>
  <si>
    <t>Denemarken</t>
  </si>
  <si>
    <t>Nederland</t>
  </si>
  <si>
    <t>Oekraïne</t>
  </si>
  <si>
    <t>Oostenrijk</t>
  </si>
  <si>
    <t>Engeland</t>
  </si>
  <si>
    <t>Kroatië</t>
  </si>
  <si>
    <t>Tsjechië</t>
  </si>
  <si>
    <t>Spanje</t>
  </si>
  <si>
    <t>Zweden</t>
  </si>
  <si>
    <t>Polen</t>
  </si>
  <si>
    <t>TR</t>
  </si>
  <si>
    <t>IT</t>
  </si>
  <si>
    <t>FI</t>
  </si>
  <si>
    <t>NL</t>
  </si>
  <si>
    <t>UA</t>
  </si>
  <si>
    <t>AT</t>
  </si>
  <si>
    <t>CZ</t>
  </si>
  <si>
    <t>XA</t>
  </si>
  <si>
    <t>XB</t>
  </si>
  <si>
    <t>XC</t>
  </si>
  <si>
    <t>XD</t>
  </si>
  <si>
    <t>XE</t>
  </si>
  <si>
    <t>XF</t>
  </si>
  <si>
    <t>XG</t>
  </si>
  <si>
    <t>XH</t>
  </si>
  <si>
    <t>WA</t>
  </si>
  <si>
    <t>Eindstand in de groep op basis van eerdere voorspellingen</t>
  </si>
  <si>
    <t>Goals for</t>
  </si>
  <si>
    <t>Goals against</t>
  </si>
  <si>
    <t>LET OP: niet alle wedstrijden in groep # zijn ingevuld.</t>
  </si>
  <si>
    <t>NOTE: not all matches in group # contain a prediction.</t>
  </si>
  <si>
    <t>Lang G4</t>
  </si>
  <si>
    <t>Reglement + Prijzenpot</t>
  </si>
  <si>
    <t>Deelname Formlieren</t>
  </si>
  <si>
    <t>Landen</t>
  </si>
  <si>
    <t>Alfabetische volgorde van de landen</t>
  </si>
  <si>
    <t>Preview Versie</t>
  </si>
  <si>
    <t>Preview Version</t>
  </si>
  <si>
    <t>Beta Versie</t>
  </si>
  <si>
    <t>Beta Version</t>
  </si>
  <si>
    <t>Type document:</t>
  </si>
  <si>
    <t>(0 = BETA, 1 = DEMO, 2 = RELEASE, 3 = PREVIEW)</t>
  </si>
  <si>
    <t>N. Macedonia</t>
  </si>
  <si>
    <t>Czech Rep.</t>
  </si>
  <si>
    <t>N.-Macedonië</t>
  </si>
  <si>
    <t>Turkije</t>
  </si>
  <si>
    <t>Alfabetisch</t>
  </si>
  <si>
    <t>The Knockout Phase</t>
  </si>
  <si>
    <t>Knockout Phase</t>
  </si>
  <si>
    <t>Before the start of the first 1/8 final it is possible to adjust your predictions for the knockout phase once.</t>
  </si>
  <si>
    <t>During the knockout phase, the result that is reached after the end of the regular playing time including the injury time will be used.</t>
  </si>
  <si>
    <t>A draw in the knockout phase is therefore also possible.</t>
  </si>
  <si>
    <t>Predicting the countries in the knockout phase</t>
  </si>
  <si>
    <t>In the knockout phase, it is not necessary to have correctly predicted the countries to claim points for</t>
  </si>
  <si>
    <t>In the knockout phase, one or both countries must have been correctly predicted in order to claim points for</t>
  </si>
  <si>
    <t>In the knockout phase, both countries must have been correctly predicted in order to claim points for</t>
  </si>
  <si>
    <t>(in the knockout phase, both countries must also have been correctly predicted).</t>
  </si>
  <si>
    <t>During the knockout phase, the result that is reached after the possible extra time, including the injury time, will be used.</t>
  </si>
  <si>
    <t>Voorspel de landen en de uitslag van de Finalewedstrijden en vul deze in op dit blad.</t>
  </si>
  <si>
    <t>Voorspel de landen en welk team de wedstrijd wint of een gelijkspel en vul dit in op dit blad.</t>
  </si>
  <si>
    <t>Voorspel de landen in de Finalewedstrijden en vul deze in op dit blad.</t>
  </si>
  <si>
    <t>For each final round, predict the countries and which team will win the match or a draw and enter this on this sheet.</t>
  </si>
  <si>
    <t>For each final round, predict the countries and enter them on this sheet.</t>
  </si>
  <si>
    <t>For each final round, predict the countries and the results and enter them on this sheet.</t>
  </si>
  <si>
    <t>Final Ranking Group Stage</t>
  </si>
  <si>
    <t>Final Ranking Group A to F</t>
  </si>
  <si>
    <t>Predict the final ranking of the groups and fill this in on this sheet.</t>
  </si>
  <si>
    <t>Overview of the groups</t>
  </si>
  <si>
    <t>Final ranking in the group based on previous predictions</t>
  </si>
  <si>
    <t>Each country may only be entered once when predicting the final ranking in the group.</t>
  </si>
  <si>
    <t>Final Ranking Group</t>
  </si>
  <si>
    <t>Points Final Ranking Group</t>
  </si>
  <si>
    <t>www.excel-pool.nl/4best3</t>
  </si>
  <si>
    <t>Via onderstaande link kunt u de criteria vinden voor het bepalen van de 4 beste nummers 3 in de groepsfase.</t>
  </si>
  <si>
    <t>Via the link below you can find the criteria for determining the 4 best numbers 3 in the group phase.</t>
  </si>
  <si>
    <t>You will also find a table here to determine which team plays in which 1/8 final.</t>
  </si>
  <si>
    <t>Nr.1 Groep</t>
  </si>
  <si>
    <t>Nr.3 Groep</t>
  </si>
  <si>
    <t>Nr.2 Groep</t>
  </si>
  <si>
    <t>No.1 Group</t>
  </si>
  <si>
    <t>No.2 Group</t>
  </si>
  <si>
    <t>No.3 Group</t>
  </si>
  <si>
    <t>Win. Wedstrijd</t>
  </si>
  <si>
    <t>Verl. Wedstrijd</t>
  </si>
  <si>
    <t>Winner Match</t>
  </si>
  <si>
    <t>Loser Match</t>
  </si>
  <si>
    <t>Winnaar EK2020</t>
  </si>
  <si>
    <t>Winner EC2020</t>
  </si>
  <si>
    <t>VERTICAAL ZOEKEN</t>
  </si>
  <si>
    <t>ABCDEFGH</t>
  </si>
  <si>
    <t>ABC</t>
  </si>
  <si>
    <r>
      <t xml:space="preserve">LANDEN IN GROEP </t>
    </r>
    <r>
      <rPr>
        <b/>
        <sz val="18"/>
        <rFont val="Calibri"/>
        <family val="2"/>
      </rPr>
      <t>→</t>
    </r>
  </si>
  <si>
    <t>CELLEN T.B.V. ZOEKEN EN SORTEREN LANDEN I.V.M. MEERDERE TALEN</t>
  </si>
  <si>
    <t>DEF</t>
  </si>
  <si>
    <t>ADEF</t>
  </si>
  <si>
    <t>WEDSTRIJD →</t>
  </si>
  <si>
    <t>41 uit</t>
  </si>
  <si>
    <t>43 uit</t>
  </si>
  <si>
    <t>39 uit</t>
  </si>
  <si>
    <t>40 uit</t>
  </si>
  <si>
    <t>45 thuis</t>
  </si>
  <si>
    <t>45 uit</t>
  </si>
  <si>
    <t>46 thuis</t>
  </si>
  <si>
    <t>46 uit</t>
  </si>
  <si>
    <t>47 thuis</t>
  </si>
  <si>
    <t>47 uit</t>
  </si>
  <si>
    <t>48 thuis</t>
  </si>
  <si>
    <t>48 uit</t>
  </si>
  <si>
    <t>ABCF</t>
  </si>
  <si>
    <t>ABDEF</t>
  </si>
  <si>
    <t>AC</t>
  </si>
  <si>
    <t>CDEF</t>
  </si>
  <si>
    <t>ABCDE</t>
  </si>
  <si>
    <t>DF</t>
  </si>
  <si>
    <t>ABCDEF</t>
  </si>
  <si>
    <t>kwartfinales</t>
  </si>
  <si>
    <t>49, 50,51 thuis/uit</t>
  </si>
  <si>
    <t>DEF3</t>
  </si>
  <si>
    <t>ADEF3</t>
  </si>
  <si>
    <t>ABC3</t>
  </si>
  <si>
    <t>ABCD3</t>
  </si>
  <si>
    <t>1/8 Finales</t>
  </si>
  <si>
    <t>A-F</t>
  </si>
  <si>
    <t>wedstrijd 38</t>
  </si>
  <si>
    <t>Alfabetische volgorde van de landen (afhankelijk van taal)</t>
  </si>
  <si>
    <t>uit (landen)</t>
  </si>
  <si>
    <t>thuis (landen)</t>
  </si>
  <si>
    <t>thuis code</t>
  </si>
  <si>
    <t>uit code</t>
  </si>
  <si>
    <t>thuis menu</t>
  </si>
  <si>
    <t>uit menu</t>
  </si>
  <si>
    <t>n.v.t.</t>
  </si>
  <si>
    <t>suggestie - winnaar</t>
  </si>
  <si>
    <t>W</t>
  </si>
  <si>
    <t>winnaar code</t>
  </si>
  <si>
    <t>winnaar menu</t>
  </si>
  <si>
    <t>winaar (landen)</t>
  </si>
  <si>
    <t>(LET OP: code is met winnaar van het toernooi)</t>
  </si>
  <si>
    <t>Code 1e</t>
  </si>
  <si>
    <t>Code 2e</t>
  </si>
  <si>
    <t>Code 3e</t>
  </si>
  <si>
    <t>Code 4e</t>
  </si>
  <si>
    <t>Het is niet toegestaan een land meerdere keren in te vullen in dezelfde speelronde.</t>
  </si>
  <si>
    <t>It is not allowed to predict a country multiple times in the same round.</t>
  </si>
  <si>
    <t>één rode kaart wordt geteld als twee gele kaarten, bij indirect rood worden de gele kaarten niet meegeteld.</t>
  </si>
  <si>
    <t>afhankelijk van het reglement worden de doelpunten gescoord tijdens de verlenging wel of niet meegeteld.</t>
  </si>
  <si>
    <t>alleen de doelpunten gescoord gedurende de reguliere speeltijd inclusief blessuretijd worden meegeteld.</t>
  </si>
  <si>
    <t>alleen de doelpunten gescoord gedurende de reguliere speeltijd, blessuretijd en eventuele verlenging worden meegeteld.</t>
  </si>
  <si>
    <t>The Open Questions</t>
  </si>
  <si>
    <t>only the goals scored during the regular playing time including injury time are counted.</t>
  </si>
  <si>
    <t>You receive ## point for every well-answered open question.</t>
  </si>
  <si>
    <t>You receive ## points for each well-answered open question.</t>
  </si>
  <si>
    <t>Voorspel de topscorer van het toernooi</t>
  </si>
  <si>
    <t>Voorspel een ​​speler die een eigen doelpunt scoort</t>
  </si>
  <si>
    <t>Voorspel een ​​speler die een rode kaart ontvangt</t>
  </si>
  <si>
    <t>Predict the top scorer of the tournament</t>
  </si>
  <si>
    <t>Predict a player who scores an own goal</t>
  </si>
  <si>
    <t>Predict a player who receives a red card</t>
  </si>
  <si>
    <t>Predict the top scorer of the national team</t>
  </si>
  <si>
    <t>Voorspel de topscorer van het Nationale elftal</t>
  </si>
  <si>
    <t>Voorspel de topscorer van het</t>
  </si>
  <si>
    <t>Predict the top scorer of the</t>
  </si>
  <si>
    <t>Predict the team with the most goals against</t>
  </si>
  <si>
    <t>Voorspel het elftal met de meeste doelpunten</t>
  </si>
  <si>
    <t>Voorspel het elftal met de meeste rode en gele kaarten</t>
  </si>
  <si>
    <t>Voorspel het elftal met de meeste doelpunten tegen</t>
  </si>
  <si>
    <t>Predict the country with the most red and yellow cards</t>
  </si>
  <si>
    <t>depending on the rules, the goals scored during the extra time may or may not be included in the count.</t>
  </si>
  <si>
    <t>only the goals scored during the regular playing time, injury time and possible extra time are counted.</t>
  </si>
  <si>
    <t>one red card will be counted as two yellow cards, in the case of indirect red the yellow cards will not be counted.</t>
  </si>
  <si>
    <t>Belgische elftal</t>
  </si>
  <si>
    <t>Deense elftal</t>
  </si>
  <si>
    <t>Duitse elftal</t>
  </si>
  <si>
    <t>Engelse elftal</t>
  </si>
  <si>
    <t>Finse elftal</t>
  </si>
  <si>
    <t>Franse elftal</t>
  </si>
  <si>
    <t>Italiaanse elftal</t>
  </si>
  <si>
    <t>Kroatische elftal</t>
  </si>
  <si>
    <t>Nederlandse elftal</t>
  </si>
  <si>
    <t>Oekraïense elftal</t>
  </si>
  <si>
    <t>Oostenrijkse elftal</t>
  </si>
  <si>
    <t>Poolse elftal</t>
  </si>
  <si>
    <t>Russische elftal</t>
  </si>
  <si>
    <t>Spaanse elftal</t>
  </si>
  <si>
    <t>Tsjechische elftal</t>
  </si>
  <si>
    <t>Turkse elftal</t>
  </si>
  <si>
    <t>Welshe elftal</t>
  </si>
  <si>
    <t>Zweedse elftal</t>
  </si>
  <si>
    <t>Zwitserse elftal</t>
  </si>
  <si>
    <t>Portugese elftal</t>
  </si>
  <si>
    <t>Danish national team</t>
  </si>
  <si>
    <t>German national team</t>
  </si>
  <si>
    <t>English national team</t>
  </si>
  <si>
    <t>Finnish national team</t>
  </si>
  <si>
    <t>French national team</t>
  </si>
  <si>
    <t>Italian national team</t>
  </si>
  <si>
    <t>Dutch national team</t>
  </si>
  <si>
    <t>Russian national team</t>
  </si>
  <si>
    <t>Swedish national team</t>
  </si>
  <si>
    <t>Swiss national team</t>
  </si>
  <si>
    <t>Totaal aantal gegeven gele kaarten tijdens het gehele toernooi</t>
  </si>
  <si>
    <t>Totaal aantal gegeven rode kaarten tijdens het gehele toernooi</t>
  </si>
  <si>
    <t>Aantal wedstrijden die eindigen in een gelijkspel voor beide teams</t>
  </si>
  <si>
    <t>Totaal aantal gescoorde doelpunten tijdens het gehele toernooi</t>
  </si>
  <si>
    <t>Aantal wedstrijden die eindigen in winst voor één van de teams</t>
  </si>
  <si>
    <t>de stand na de reguliere speeltijd inclusief blessuretijd wordt aangehouden.</t>
  </si>
  <si>
    <t>de stand na de reguliere speeltijd, blessurre tijd en eventuele verlenging wordt aangehouden.</t>
  </si>
  <si>
    <t>The Estimation Questions</t>
  </si>
  <si>
    <t>You receive ## points for each correctly answered estimination question.</t>
  </si>
  <si>
    <t>For each estimation question, the prediction that is closest to the outcome is rewarded with ## points.</t>
  </si>
  <si>
    <t>For each estimation question, the $$ predictions that are closest to the outcome are rewarded with ## points.</t>
  </si>
  <si>
    <t>For each estimation question, the prediction that is closest to the outcome is rewarded with  ## point.</t>
  </si>
  <si>
    <t>For each estimation question, the $$ predictions that are closest to the outcome are rewarded with ## point.</t>
  </si>
  <si>
    <t>You receive ## point for every correctly answered estimination question.</t>
  </si>
  <si>
    <t>For each point that the prediction deviates from the outcome, $$ points deduction applies to a maximum of ## points per estimation question. By default they receive ##points for each estimation question.</t>
  </si>
  <si>
    <t>For each point that the prediction deviates from the outcome, $$ point deduction applies to a maximum of ## points per estimation question. By default, people receive ## points for each estimation question.</t>
  </si>
  <si>
    <t>Total number of yellow cards given during the entire tournament</t>
  </si>
  <si>
    <t>Total number of red cards given during the entire tournament</t>
  </si>
  <si>
    <t>Total number of goals scored during the entire tournament</t>
  </si>
  <si>
    <t>Number of matches that end in a draw for both teams</t>
  </si>
  <si>
    <t>Number of matches that end in a win for one of the teams</t>
  </si>
  <si>
    <t>twee gele kaarten voor één speler in een wedstrijd zal worden geteld als één rode kaart.</t>
  </si>
  <si>
    <t>two yellow cards for one player in a match will be counted as one red card.</t>
  </si>
  <si>
    <t>the score after the regular playing time including injury time is normative.</t>
  </si>
  <si>
    <t>the score after the regular playing time, injury time and possible extra time is normative.</t>
  </si>
  <si>
    <t>Het toernooi bestaat uit 51 wedstrijden waarvan 36 groepswedstrijden en 15 finales.</t>
  </si>
  <si>
    <t>The tournament consists of 51 matches of which 36 group matches and 15 finals.</t>
  </si>
  <si>
    <t>TIP</t>
  </si>
  <si>
    <t>HINT</t>
  </si>
  <si>
    <t>To help you on your way, you can be given a suggestion based on previous predictions, provided that they have been fully completed. You are not obliged to follow this up.</t>
  </si>
  <si>
    <t>To help you on your way, you can be given a suggestion based on previous predictions, provided that they have been fully completed. You are not obliged to follow this up.. The predicted final ranking of the groups is used for the round of 16.</t>
  </si>
  <si>
    <t>do not display the suggestions</t>
  </si>
  <si>
    <t>always show the suggestions</t>
  </si>
  <si>
    <t>The Theses</t>
  </si>
  <si>
    <t>Voor elk goed beantwoorde openvraag ontvangt u ## punt.</t>
  </si>
  <si>
    <t>Voor elk goed beantwoorde openvraag ontvangt u ## punten.</t>
  </si>
  <si>
    <t>Voor elk goed beantwoorde benaderingsvraag ontvangt u ## punt.</t>
  </si>
  <si>
    <t>Voor elk goed beantwoorde benaderingsvraag ontvangt u ## punten.</t>
  </si>
  <si>
    <t>Men ontvangt standaard ### $$$ voor elk land tijdens de groepswedstrijden, mits de TOTO juist is.</t>
  </si>
  <si>
    <t>Men ontvangt standaard ### $$$ voor elk land tijdens de groepswedstrijden.</t>
  </si>
  <si>
    <t>Men ontvangt standaard ### $$$ per groepswedstrijd, mits de TOTO juist is.</t>
  </si>
  <si>
    <t>Men ontvangt standaard ### $$$ per groepswedstrijd.</t>
  </si>
  <si>
    <t>Men ontvangt standaard ### $$$ per finalewedstrijd, mits de TOTO juist is.</t>
  </si>
  <si>
    <t>Men ontvangt standaard ### $$$ per finalewedstrijd.</t>
  </si>
  <si>
    <t>Men ontvangt standaard ### $$$ per finalewedstrijd mits één of beide landen en de TOTO juist zijn.</t>
  </si>
  <si>
    <t>Men ontvangt standaard ### $$$ per finalewedstrijd mits één of beide landen juist zijn voorspeld.</t>
  </si>
  <si>
    <t>Men ontvangt standaard ### $$$ per juist voorspelde land tijdens de finalewedstrijden, mits de TOTO juist is.</t>
  </si>
  <si>
    <t>Men ontvangt standaard ### $$$ per juist voorspelde land tijdens de finalewedstrijden.</t>
  </si>
  <si>
    <t>Men ontvangt standaard ### $$$ per finalewedstrijd mits beide landen en de TOTO juist zijn voorspeld.</t>
  </si>
  <si>
    <t>Men ontvangt standaard ### $$$ per finalewedstrijd mits beide landen juist zijn voorspeld.</t>
  </si>
  <si>
    <t>You receive standard ### $$$ for each country during the group matches, provided the TOTO is correct.</t>
  </si>
  <si>
    <t>You receive standard ### $$$ for each country during the group matches.</t>
  </si>
  <si>
    <t>You receive standard ### $$$ per group match provided the TOTO is correct.</t>
  </si>
  <si>
    <t>You receive standard ### $$$ per group match.</t>
  </si>
  <si>
    <t>You receive standard ### $$$ per finals provided that the TOTO is predicted correctly.</t>
  </si>
  <si>
    <t>You receive standard ### $$$ per finals.</t>
  </si>
  <si>
    <t>You receive standard ### $$$ per finals provided that one or both countries and the TOTO is correct.</t>
  </si>
  <si>
    <t>You receive standard ### $$$ per finals provided that one or both countries are predicted correctly.</t>
  </si>
  <si>
    <t>You receive standard ### $$$ per correctly predicted country during the finals, provided the TOTO is correct.</t>
  </si>
  <si>
    <t>You receive standard ### $$$ per correctly predicted country during the finals.</t>
  </si>
  <si>
    <t>You receive standard ### $$$ per finals provided that both countries and the TOTO are predicted correctly.</t>
  </si>
  <si>
    <t>You receive standard ### $$$ per finals provided that both countries are predicted correctly.</t>
  </si>
  <si>
    <t>Voor elk goed beantwoorde stelling ontvangt u ## punt.</t>
  </si>
  <si>
    <t>Voor elk goed beantwoorde stelling ontvangt u ## punten.</t>
  </si>
  <si>
    <t>You receive ## point for each correct answer.</t>
  </si>
  <si>
    <t>You receive ## points for each correct answer.</t>
  </si>
  <si>
    <t>Eens</t>
  </si>
  <si>
    <t>Oneens</t>
  </si>
  <si>
    <t>True</t>
  </si>
  <si>
    <t>False</t>
  </si>
  <si>
    <t>The tournament</t>
  </si>
  <si>
    <t>consists of 51</t>
  </si>
  <si>
    <t>matches of which</t>
  </si>
  <si>
    <t>36 group matches</t>
  </si>
  <si>
    <t>and 15 finals.</t>
  </si>
  <si>
    <t>waarvan 36 groeps-</t>
  </si>
  <si>
    <t>Het toernooi bestaat</t>
  </si>
  <si>
    <t>uit 51 wedstrijden</t>
  </si>
  <si>
    <t>wedstrijden en 15</t>
  </si>
  <si>
    <t>finales.</t>
  </si>
  <si>
    <t>To help you on your way, you can be given a suggestion based on previous predictions, provided that they have been fully completed.</t>
  </si>
  <si>
    <t>Om u op weg te helpen kan op basis van voorgaande voorspellingen, mits volledig ingevuld, u een suggestie gegeven worden.</t>
  </si>
  <si>
    <t>Om u op weg te helpen kan op basis van voorgaande voorspellingen, mits volledig ingevuld, u een suggestie gegeven worden. U bent niet verplicht deze suggestie op te volgen. Voor de achste finales wordt de voorspelde eindstand van de groepen gebruikt.</t>
  </si>
  <si>
    <t>Om u op weg te helpen kan op basis van voorgaande voorspellingen, mits volledig ingevuld, u een suggestie gegeven worden. U bent niet verplicht deze suggestie op te volgen.</t>
  </si>
  <si>
    <t>stellingen</t>
  </si>
  <si>
    <t>De groepshoofden, de landen welke zich als eerste hebben geplaatst (België, Duitsland, Engeland, Italië, Oekraïne en Spanje), weten allen de groepsfase te overleven.</t>
  </si>
  <si>
    <t>Van de zes groepswinnaars weten er minimaal vijf de achtste finales te overleven en zo ook de kwartfinales te bereiken.</t>
  </si>
  <si>
    <t>Van de vier landen die als beste nr. 3 doorgaan naar de achtste finales weet er minimaal één ook de kwartfinales te bereiken.</t>
  </si>
  <si>
    <t>Van de vijftien finale wedstrijden worden zes wedstrijden of meer beslist door een verlenging of strafschoppenserie.</t>
  </si>
  <si>
    <t>De winnaar van het toernooi weet al zijn finalewedstrijden, 4 stuks, te winnen binnen de reguliere speeltijd (inclusief blessuretijd).</t>
  </si>
  <si>
    <t>Van alle gescoorde doelpunten tijdens het toernooi worden er minimaal vier in eigen doel gescoord.</t>
  </si>
  <si>
    <t>In case of inconsistencies due to incorrect translation, the Dutch regulations prevail.</t>
  </si>
  <si>
    <t>In geval van tegenstrijdigheden als gevolg van incorrecte vertaling is het Nederlandstalige reglement maatgevend.</t>
  </si>
  <si>
    <t>The teams who first qualified themselves for the tournament (Belgium, Germany, England, Italy, Spain and Ukraine) all know how to survive the group stage.</t>
  </si>
  <si>
    <t>Of the four teams that go through to the eighth finals as the best number 3, at least one also managed to reach the quarter-finals</t>
  </si>
  <si>
    <t>Of the six group winners, at least five manage to survive the round of 16 and thus reach the quarter-finals.</t>
  </si>
  <si>
    <t>Of the fifteen final matches, six matches or more are decided during the extra time or penalty series.</t>
  </si>
  <si>
    <t>The winner of the tournament knows all his final matches, 4 matches, to win within the regular playing time (including injury time).</t>
  </si>
  <si>
    <t>The winner of the tournament has a superior goal difference compare to the other teams. In case of  an equal goal difference, the goals scored are decisive.</t>
  </si>
  <si>
    <t>De winnaar van het toernooi heeft een beter doelsaldo dan de andere teams. In geval van een gelijk doelsaldo zijn de gescoorde doelpunten doorslaggevend.</t>
  </si>
  <si>
    <t>Het Belgisch elftal kan een beter doelsaldo weerleggen dan het Nederlands elftal. In geval van een gelijk doelsaldo zijn de gescoorde doelpunten doorslaggevend.</t>
  </si>
  <si>
    <t>Het Nederlands elftal kan een beter doelsaldo weerleggen dan het Belgisch elftal. In geval van een gelijk doelsaldo zijn de gescoorde doelpunten doorslaggevend.</t>
  </si>
  <si>
    <t>The Belgian national team has a superior goal difference compared to the Dutch national team. In case of  an equal goal difference, the goals scored are decisive.</t>
  </si>
  <si>
    <t>The Dutch national team has a superior goal difference compared to the Belgian national team. In case of  an equal goal difference, the goals scored are decisive.</t>
  </si>
  <si>
    <t>De winnaar van het toernooi levert tevens ook de  topscorer van het toernooi of één van de topscorers.</t>
  </si>
  <si>
    <t>The winner of the tournament also supplies the top scorer of the tournament or one of the top scorers.</t>
  </si>
  <si>
    <t>Tijdens het toernooi weet een speler in één wedstrijd drie keer of zelfs meer te scoren. Een zogenaamde hattrick. Benutte penalty tijdens een strafschoppenserie tellen niet mee.</t>
  </si>
  <si>
    <t>During the tournament, a player manages to score three times or even more in one match. A so-called hat-trick. Goals during a penalty shootout do not count.</t>
  </si>
  <si>
    <t>Of all the goals scored during the tournament, at least four are scored in their own goal.</t>
  </si>
  <si>
    <t>Gedurende het toernooi weet de scheidsrechter in één of meerdere wedstrijden zijn kaarten op zak te houden.</t>
  </si>
  <si>
    <t>During the tournament, the referee manages to keep his cards in his pocket in one or more matches.</t>
  </si>
  <si>
    <t>finalisten 1/8 finales</t>
  </si>
  <si>
    <t>alle landen ingevuld</t>
  </si>
  <si>
    <t>wed. 46u</t>
  </si>
  <si>
    <t>wed. 46t</t>
  </si>
  <si>
    <t>wed. 47t</t>
  </si>
  <si>
    <t>wed. 48u</t>
  </si>
  <si>
    <t>wed. 48t</t>
  </si>
  <si>
    <t>wed. 45t</t>
  </si>
  <si>
    <t>wed. 40u</t>
  </si>
  <si>
    <t>wed. 39u</t>
  </si>
  <si>
    <t>wed. 41u</t>
  </si>
  <si>
    <t>wed. 43u</t>
  </si>
  <si>
    <t>eis JA minimaal :</t>
  </si>
  <si>
    <t>eis gelijk minimaal :</t>
  </si>
  <si>
    <t>eindstand voorspellen na eventuele verlenging :</t>
  </si>
  <si>
    <t>Landen groep F</t>
  </si>
  <si>
    <t>wed. 51t</t>
  </si>
  <si>
    <t>wed. 51u</t>
  </si>
  <si>
    <t>6.</t>
  </si>
  <si>
    <t>winnaar</t>
  </si>
  <si>
    <t>aantal winst :</t>
  </si>
  <si>
    <t>aantal geen winst :</t>
  </si>
  <si>
    <t>7.</t>
  </si>
  <si>
    <t>8.</t>
  </si>
  <si>
    <t>9.</t>
  </si>
  <si>
    <t>10.</t>
  </si>
  <si>
    <t>11.</t>
  </si>
  <si>
    <t>12.</t>
  </si>
  <si>
    <t>13.</t>
  </si>
  <si>
    <t>14.</t>
  </si>
  <si>
    <t>15.</t>
  </si>
  <si>
    <t>zie werkblad bonusvragen</t>
  </si>
  <si>
    <t>aanwezig/winst</t>
  </si>
  <si>
    <t>1/8 f</t>
  </si>
  <si>
    <t>1/4 f</t>
  </si>
  <si>
    <t>1/2 f</t>
  </si>
  <si>
    <t>eis winst minimaal :</t>
  </si>
  <si>
    <t>wijkt af ten opzichte van F2e en F3e</t>
  </si>
  <si>
    <t>onvoldoende gegevens voor suggestie</t>
  </si>
  <si>
    <t>doelpunt</t>
  </si>
  <si>
    <t>doelpunten</t>
  </si>
  <si>
    <t>geen enkele keer gelijkspel voorspeld</t>
  </si>
  <si>
    <t>keer gelijkspel voorspeld</t>
  </si>
  <si>
    <t>keer winst/verlies voorspeld</t>
  </si>
  <si>
    <t>suggestie is op basis van enkel de groepswedstrijden</t>
  </si>
  <si>
    <t>geen enkele keer winst / verlies voorspeld</t>
  </si>
  <si>
    <t>goal</t>
  </si>
  <si>
    <t>goals</t>
  </si>
  <si>
    <t>no draw predicted</t>
  </si>
  <si>
    <t>times draw predicted</t>
  </si>
  <si>
    <t>no win / loss predicted</t>
  </si>
  <si>
    <t>times win / loss predicted</t>
  </si>
  <si>
    <t>insufficient data for suggestion</t>
  </si>
  <si>
    <t>no suggestion possible</t>
  </si>
  <si>
    <t>suggestion is based on the group matches only</t>
  </si>
  <si>
    <t>The Participation Code</t>
  </si>
  <si>
    <t>In the field below, your participation code will be generated if all fields are filled in completely and correctly.</t>
  </si>
  <si>
    <t>In het onderstaande veld zal uw deelnamecode gegenereerd worden als alle velden volledig en goed zijn ingevuld.</t>
  </si>
  <si>
    <t>Het genereren van de deelnamecode voor de winnaar van het EK is niet mogelijk in verband met het ontbreken</t>
  </si>
  <si>
    <t>van gegevens. Voorspel een winnaar van het EK  op het werkblad "Finalewedstrijden".</t>
  </si>
  <si>
    <t>De deelnamecode voor de winnaar van het EK is zonder foutmeldingen gegenereerd.</t>
  </si>
  <si>
    <t>Gegevens Deelnemer</t>
  </si>
  <si>
    <t>Generating the name code is not possible due to the lack of your name. Enter your name at the top of</t>
  </si>
  <si>
    <t>the "Group Matches" worksheet.</t>
  </si>
  <si>
    <t>Generating the name code is not possible due to the lack of your e-mail address. Enter your e-mail</t>
  </si>
  <si>
    <t>address at the top of the "Group competitions" worksheet.</t>
  </si>
  <si>
    <t>Generating the name code including e-mail address is not possible due to the lack of data. Enter</t>
  </si>
  <si>
    <t>your name and e-mail address at the top of the "Group Matches" worksheet.</t>
  </si>
  <si>
    <t>The name code including e-mail address is generated without any errors.</t>
  </si>
  <si>
    <t>The name code is generated without any errors.</t>
  </si>
  <si>
    <t>An error was detected when generating the name code. Check your name at the top of the</t>
  </si>
  <si>
    <t>"Group Matches" worksheet.</t>
  </si>
  <si>
    <t>An error was detected when generating the name code. Check your e-mail address at the top of</t>
  </si>
  <si>
    <t>An error was detected when generating the name code with e-mail address. Check your name</t>
  </si>
  <si>
    <t>and e-mail address at the top of the "Group Matches" worksheet.</t>
  </si>
  <si>
    <t>Voorspellingen Groepswedstrijden</t>
  </si>
  <si>
    <t>Predictions Group Matches</t>
  </si>
  <si>
    <t>The participation code for the group matches is generated without errors.</t>
  </si>
  <si>
    <t>It is not possible to generate the participation code for the group matches due to the lack of data.</t>
  </si>
  <si>
    <t>Check that all fields are filled in on the "Group Matches" worksheet.</t>
  </si>
  <si>
    <t>An error was detected when generating the participation code for the group matches. Check your</t>
  </si>
  <si>
    <t>entry on the "Group Matches" worksheet.</t>
  </si>
  <si>
    <t>Errors were found when generating the participation code for the group matches. Check your entry</t>
  </si>
  <si>
    <t>on the "Group Matches" worksheet.</t>
  </si>
  <si>
    <t>The participation code for the final matches is generated without errors.</t>
  </si>
  <si>
    <t>The participation code for the final ranking in the group is generated without errors.</t>
  </si>
  <si>
    <t>The participation code for the winner of the European Championship is generated without errors.</t>
  </si>
  <si>
    <t>The participation code for the bonus questions is generated without errors.</t>
  </si>
  <si>
    <t>Predictions Final matches</t>
  </si>
  <si>
    <t>Voorspellingen Finalewedstrijden</t>
  </si>
  <si>
    <t>Voorspellingen Eindstand in de Groep</t>
  </si>
  <si>
    <t>Voorspelling Winnaar EK2020</t>
  </si>
  <si>
    <t>It is not possible to generate the participation code for the final matches due to the lack of data.</t>
  </si>
  <si>
    <t>Check that all fields are filled in on the "Final Matches" worksheet.</t>
  </si>
  <si>
    <t>An error was detected when generating the participation code for the final matches. Check your entry</t>
  </si>
  <si>
    <t>on the "Final Matches" worksheet.</t>
  </si>
  <si>
    <t>Errors were found when generating the participation code for the final matches. Check your entry on</t>
  </si>
  <si>
    <t>the "Final Matches" worksheet.</t>
  </si>
  <si>
    <t>It is not possible to generate the participation code for the final ranking in the group due to the lack</t>
  </si>
  <si>
    <t>of data. Check whether all fields are filled in on the "Final Ranking Group" worksheet.</t>
  </si>
  <si>
    <t>An error was detected when generating the participation code for the final ranking in the group.</t>
  </si>
  <si>
    <t>Errors were found when generating the participation code for the final ranking in the group. Check</t>
  </si>
  <si>
    <t>your entry on the "Final Ranking Group" worksheet.</t>
  </si>
  <si>
    <t>Check your entry on the "Final Ranking Group" worksheet.</t>
  </si>
  <si>
    <t>Prediction Winner European Championship</t>
  </si>
  <si>
    <t>Bij het genereren van de deelnamecode voor de winnaar van het EK is er een fout geconstateerd. Controleer</t>
  </si>
  <si>
    <t>It is not possible to generate the participation code for the winner of the European Championship due</t>
  </si>
  <si>
    <t>to the lack of data. Predict a winner of the European Championship on the worksheet "Final Matches".</t>
  </si>
  <si>
    <t>An error was detected when generating the participation code for the winner of the European</t>
  </si>
  <si>
    <t>Championship. Check your entry on the "Final Matches" worksheet.</t>
  </si>
  <si>
    <t>Bonus questions</t>
  </si>
  <si>
    <t>It is not possible to generate the participation code for the bonus questions due to the lack of data.</t>
  </si>
  <si>
    <t>Check if all fields are filled in on the "Bonus Questions" worksheet.</t>
  </si>
  <si>
    <t>An error was detected when generating the participation code for the bonus questions. Check your</t>
  </si>
  <si>
    <t>entry on the "Bonus Questions" worksheet.</t>
  </si>
  <si>
    <t>Errors were found when generating the participation code for the bonus questions. Check your entry</t>
  </si>
  <si>
    <t>on the "Bonus Questions" worksheet.</t>
  </si>
  <si>
    <t>Predicting the final ranking of the countries in the group stage</t>
  </si>
  <si>
    <t>Predictions Final Ranking Group Stage</t>
  </si>
  <si>
    <t>Name Participant</t>
  </si>
  <si>
    <t>De deelnamecode kan niet worden gegenereerd door het ontbreken van gegevens of foutieve waarden. Het gaat om de volgende onderdelen</t>
  </si>
  <si>
    <t>The participation code cannot be generated due to the absence of the rules. Ask your organizer to add the rules to your participation form.</t>
  </si>
  <si>
    <t>This participation form concerns a demo version for the EC2020 in Europe. The participation code is disabled here regardless of whether all components have been entered correctly.</t>
  </si>
  <si>
    <t>Checking the Form's Input Fields</t>
  </si>
  <si>
    <t>De deelnamecode kan niet worden gegenereerd door het ontbreken van gegevens of foutieve waarden. Het gaat om het volgende onderdeel</t>
  </si>
  <si>
    <t>The entry code cannot be generated due to lack of data or incorrect values. It involves the following input field</t>
  </si>
  <si>
    <t>The entry code cannot be generated due to lack of data or incorrect values. It concerns the following input fields</t>
  </si>
  <si>
    <t>Aantal landen</t>
  </si>
  <si>
    <t>Aantal groepen</t>
  </si>
  <si>
    <t>Aantal groepswedstrijden</t>
  </si>
  <si>
    <t>Aantal finales</t>
  </si>
  <si>
    <t>g1/e1/f1</t>
  </si>
  <si>
    <t>g2/f2</t>
  </si>
  <si>
    <t>f3</t>
  </si>
  <si>
    <t>LENGTE CODE</t>
  </si>
  <si>
    <t>AANTAL GOED</t>
  </si>
  <si>
    <t>EK VERSUS WK - CONTROLE CODE</t>
  </si>
  <si>
    <r>
      <rPr>
        <sz val="10"/>
        <color theme="0"/>
        <rFont val="Arial"/>
        <family val="2"/>
      </rPr>
      <t>└</t>
    </r>
    <r>
      <rPr>
        <sz val="10"/>
        <color theme="0"/>
        <rFont val="Calibri"/>
        <family val="2"/>
      </rPr>
      <t xml:space="preserve"> code zonder winnaar :</t>
    </r>
  </si>
  <si>
    <t>LET OP: Voor een optimaal gebruik van dit bestand wordt geadviseerd om de macro's in te schakelen.</t>
  </si>
  <si>
    <t>e-mailadres is niet verplicht</t>
  </si>
  <si>
    <t>e-mail address is not required</t>
  </si>
  <si>
    <t>Het Algemeen Reglement</t>
  </si>
  <si>
    <t>De Deelnamecode en/of het Deelname Formulier dienen voor ### gemaild worden naar &amp;&amp;&amp;.</t>
  </si>
  <si>
    <t>De Deelnamecode en/of het Deelname Formulier dienen voor ### ingeleverd worden bij $$$ (&amp;&amp;&amp;).</t>
  </si>
  <si>
    <t>De deelnamecode kan niet worden gegenereerd door het ontbreken van het reglement. Vraag uw organisator om het reglement toe te voegen aan uw deelname formulier.</t>
  </si>
  <si>
    <t>Dit deelname formulier betreft een demo-versie voor het EK2020 in Europa. Het generenen van een deelnamecode is hierin uitgeschakeld ongeacht of alle onderdelen juist zijn ingevuld.</t>
  </si>
  <si>
    <t>Schotland</t>
  </si>
  <si>
    <t>Slowakije</t>
  </si>
  <si>
    <t>Hongarije</t>
  </si>
  <si>
    <t>Scotland</t>
  </si>
  <si>
    <t>Slovakia</t>
  </si>
  <si>
    <t>Hungary</t>
  </si>
  <si>
    <t>B3B1F4D1B2F3F1A2D2C1C4C2C3E3F2B4D3E4E1D4A1A3E2A4G1G2G3G4H1H2H3H4</t>
  </si>
  <si>
    <t>C3B3D2D4B1D1B2F3F4F1A2C1C4E3F2B4D3E4E1E2A4A1C2A3G1G2G3G4H1H2H3H4</t>
  </si>
  <si>
    <t>MK</t>
  </si>
  <si>
    <t>SK</t>
  </si>
  <si>
    <t>HU</t>
  </si>
  <si>
    <t>SC</t>
  </si>
  <si>
    <t>N. Macedonische elftal</t>
  </si>
  <si>
    <t>Schotse elftal</t>
  </si>
  <si>
    <t>Slowaakse elftal</t>
  </si>
  <si>
    <t>Hongaarse elftal</t>
  </si>
  <si>
    <t>Belgian national team</t>
  </si>
  <si>
    <t>Croatian national team</t>
  </si>
  <si>
    <t>Ukrainian national team</t>
  </si>
  <si>
    <t>Austrian national team</t>
  </si>
  <si>
    <t>N. Macedonian national team</t>
  </si>
  <si>
    <t>Scottish national team</t>
  </si>
  <si>
    <t>Slovak national team</t>
  </si>
  <si>
    <t>Hungarian national team</t>
  </si>
  <si>
    <t>Polish national team</t>
  </si>
  <si>
    <t>Portuguese national team</t>
  </si>
  <si>
    <t>Spanish national team</t>
  </si>
  <si>
    <t>Czech national team</t>
  </si>
  <si>
    <t>Turkish national team</t>
  </si>
  <si>
    <t>Welsh national team</t>
  </si>
  <si>
    <t>De topscorer van het toernooi of één van de topscorers speelde gedurende het seizoen 2020/2021 in de Italiaanse competitie.</t>
  </si>
  <si>
    <t>The top scorer of the tournament or one of the top scorers played in the Italian league during the 2020/2021 season.</t>
  </si>
  <si>
    <t>One of the finalists of the tournament will come from group F, the group of death (France, Germany, Hungary or Portugal).</t>
  </si>
  <si>
    <t>Eén van de finalisten van het toernooi zal voortkomen uit groep F, de groep des doods (Duitsland, Frankrijk, Hongarije of Portugal).</t>
  </si>
  <si>
    <t>During the tournament, at least seven goals that were initially approved will be rejected by the intervention of the VAR.</t>
  </si>
  <si>
    <t>voor het goed voorspellen van het aantal gescoorde doelpunten per spelend team, mits u de TOTO juist</t>
  </si>
  <si>
    <t>Dit bestand betreft een …. versie :</t>
  </si>
  <si>
    <t>Gedurende het toernooi worden minimaal zeven doelpunten die in eerste instantie zijn goedgekeurd alsnog afgekeurd door tussenkomst van de VAR.</t>
  </si>
  <si>
    <t>Deel van inleg naar …</t>
  </si>
  <si>
    <t>deel inleg</t>
  </si>
  <si>
    <t>Van de inleg gaat ### naar de prijzenpot. Het restant komt ten goede aan de organisatie van de pool.</t>
  </si>
  <si>
    <t>From the buy-in, ### goes to the prize pool. The remainder will go the organization of the pool.</t>
  </si>
  <si>
    <t>Voor iedere deelnemer zal de organisatie van de pool ### extra inleggen in de prijzenpot.</t>
  </si>
  <si>
    <t>For each participant, the organization of the pool will put an extra ### in the prize pool.</t>
  </si>
  <si>
    <t>Voor elk punt dat de voorspelling afwijkt van de uitkomst $$ punt aftrek tot een maximum van ## punten per benaderingsvraag. Standaard ontvangt men voor elke benaderingsvraag ## punten.</t>
  </si>
  <si>
    <t>Voor elk punt dat de voorspelling afwijkt van de uitkomst $$ punten aftrek tot een maximum van ## punten per benaderingsvraag. Standaard ontvangt men voor elke benaderingsvraag ## punten.</t>
  </si>
  <si>
    <t>Per benaderingsvraag wordt de voorspelling die het dichtst bij de uitkomst ligt beloond met ## punt.</t>
  </si>
  <si>
    <t>Per benaderingsvraag wordt de voorspelling die het dichtst bij de uitkomst ligt beloond met ## punten.</t>
  </si>
  <si>
    <t>Per benaderingsvraag worden de $$ voorspellingen die het dichtst bij de uitkomst liggen beloond met ## punt.</t>
  </si>
  <si>
    <t>Per benaderingsvraag worden de $$ voorspellingen die het dichtst bij de uitkomst liggen beloond met ## punten.</t>
  </si>
  <si>
    <t>Predict the team that will score the most goals.</t>
  </si>
  <si>
    <t>for every correctly predicted country in the final</t>
  </si>
  <si>
    <t>for every correctly predicted country in the consolation final</t>
  </si>
  <si>
    <t>for every correctly predicted country in the semi-finals</t>
  </si>
  <si>
    <t>for every correctly predicted country in the quarterfinals</t>
  </si>
  <si>
    <t>for every correctly predicted country in the round of 16</t>
  </si>
  <si>
    <t>If you have not predicted the country in the correctly position but it has achieved the same knockout round,</t>
  </si>
  <si>
    <t>you will still receive half of the points for correctly predicting the country.</t>
  </si>
  <si>
    <t>you will receive the full points for correctly predicting the country.</t>
  </si>
  <si>
    <t>It is not allowed to predict a country multiple times in one knockout round.</t>
  </si>
  <si>
    <t>It is allowed to predict a country multiple times in one knockout round.</t>
  </si>
  <si>
    <t>Points for correctly predicting a country in the knockout phase are added when the result of the match</t>
  </si>
  <si>
    <t>in question is known.</t>
  </si>
  <si>
    <t>Bonus $$$ for every knockout match where both countries are predicted in the right position.</t>
  </si>
  <si>
    <t>Bonus $$$ for every knockout match where both the TOTO and the two countries are correctly predicted.</t>
  </si>
  <si>
    <t>reglement dubbel :</t>
  </si>
  <si>
    <t>©2021 Eric de Jong v20.00dj</t>
  </si>
  <si>
    <t>|dj|F321514|31#521|SV*#Marum*#jeugd*#JO7*#t/m*#JO11|Marleen*#Dekker|jac@svmarum.nl||15|#8|#0|#6|#4|#2|#4|#2|#2|##|#2|#4|BBJA|</t>
  </si>
  <si>
    <t>downloaden.1_131-705546.jpg</t>
  </si>
  <si>
    <t>FF</t>
  </si>
  <si>
    <t>D8</t>
  </si>
  <si>
    <t>82</t>
  </si>
  <si>
    <t>45</t>
  </si>
  <si>
    <t>78</t>
  </si>
  <si>
    <t>69</t>
  </si>
  <si>
    <t>66</t>
  </si>
  <si>
    <t>00</t>
  </si>
  <si>
    <t>4D</t>
  </si>
  <si>
    <t>2A</t>
  </si>
  <si>
    <t>12</t>
  </si>
  <si>
    <t>1A</t>
  </si>
  <si>
    <t>62</t>
  </si>
  <si>
    <t>1B</t>
  </si>
  <si>
    <t>6A</t>
  </si>
  <si>
    <t>28</t>
  </si>
  <si>
    <t>31</t>
  </si>
  <si>
    <t>72</t>
  </si>
  <si>
    <t>32</t>
  </si>
  <si>
    <t>14</t>
  </si>
  <si>
    <t>9A</t>
  </si>
  <si>
    <t>87</t>
  </si>
  <si>
    <t>B0</t>
  </si>
  <si>
    <t>DC</t>
  </si>
  <si>
    <t>0A</t>
  </si>
  <si>
    <t>FC</t>
  </si>
  <si>
    <t>80</t>
  </si>
  <si>
    <t>27</t>
  </si>
  <si>
    <t>10</t>
  </si>
  <si>
    <t>41</t>
  </si>
  <si>
    <t>64</t>
  </si>
  <si>
    <t>6F</t>
  </si>
  <si>
    <t>65</t>
  </si>
  <si>
    <t>20</t>
  </si>
  <si>
    <t>50</t>
  </si>
  <si>
    <t>68</t>
  </si>
  <si>
    <t>74</t>
  </si>
  <si>
    <t>73</t>
  </si>
  <si>
    <t>70</t>
  </si>
  <si>
    <t>6C</t>
  </si>
  <si>
    <t>6D</t>
  </si>
  <si>
    <t>6E</t>
  </si>
  <si>
    <t>37</t>
  </si>
  <si>
    <t>2E</t>
  </si>
  <si>
    <t>30</t>
  </si>
  <si>
    <t>57</t>
  </si>
  <si>
    <t>77</t>
  </si>
  <si>
    <t>29</t>
  </si>
  <si>
    <t>3A</t>
  </si>
  <si>
    <t>35</t>
  </si>
  <si>
    <t>34</t>
  </si>
  <si>
    <t>33</t>
  </si>
  <si>
    <t>A0</t>
  </si>
  <si>
    <t>E8</t>
  </si>
  <si>
    <t>40</t>
  </si>
  <si>
    <t>48</t>
  </si>
  <si>
    <t>ED</t>
  </si>
  <si>
    <t>0C</t>
  </si>
  <si>
    <t>5F</t>
  </si>
  <si>
    <t>43</t>
  </si>
  <si>
    <t>EE</t>
  </si>
  <si>
    <t>0E</t>
  </si>
  <si>
    <t>DB</t>
  </si>
  <si>
    <t>84</t>
  </si>
  <si>
    <t>11</t>
  </si>
  <si>
    <t>0B</t>
  </si>
  <si>
    <t>15</t>
  </si>
  <si>
    <t>0F</t>
  </si>
  <si>
    <t>18</t>
  </si>
  <si>
    <t>13</t>
  </si>
  <si>
    <t>0D</t>
  </si>
  <si>
    <t>C0</t>
  </si>
  <si>
    <t>22</t>
  </si>
  <si>
    <t>DD</t>
  </si>
  <si>
    <t>3F</t>
  </si>
  <si>
    <t>21</t>
  </si>
  <si>
    <t>51</t>
  </si>
  <si>
    <t>61</t>
  </si>
  <si>
    <t>71</t>
  </si>
  <si>
    <t>81</t>
  </si>
  <si>
    <t>91</t>
  </si>
  <si>
    <t>42</t>
  </si>
  <si>
    <t>23</t>
  </si>
  <si>
    <t>24</t>
  </si>
  <si>
    <t>52</t>
  </si>
  <si>
    <t>25</t>
  </si>
  <si>
    <t>92</t>
  </si>
  <si>
    <t>53</t>
  </si>
  <si>
    <t>F0</t>
  </si>
  <si>
    <t>63</t>
  </si>
  <si>
    <t>16</t>
  </si>
  <si>
    <t>83</t>
  </si>
  <si>
    <t>26</t>
  </si>
  <si>
    <t>44</t>
  </si>
  <si>
    <t>93</t>
  </si>
  <si>
    <t>54</t>
  </si>
  <si>
    <t>36</t>
  </si>
  <si>
    <t>17</t>
  </si>
  <si>
    <t>55</t>
  </si>
  <si>
    <t>75</t>
  </si>
  <si>
    <t>46</t>
  </si>
  <si>
    <t>94</t>
  </si>
  <si>
    <t>85</t>
  </si>
  <si>
    <t>95</t>
  </si>
  <si>
    <t>A5</t>
  </si>
  <si>
    <t>B5</t>
  </si>
  <si>
    <t>C5</t>
  </si>
  <si>
    <t>D5</t>
  </si>
  <si>
    <t>E5</t>
  </si>
  <si>
    <t>F5</t>
  </si>
  <si>
    <t>56</t>
  </si>
  <si>
    <t>76</t>
  </si>
  <si>
    <t>86</t>
  </si>
  <si>
    <t>96</t>
  </si>
  <si>
    <t>A6</t>
  </si>
  <si>
    <t>B6</t>
  </si>
  <si>
    <t>C6</t>
  </si>
  <si>
    <t>D6</t>
  </si>
  <si>
    <t>E6</t>
  </si>
  <si>
    <t>F6</t>
  </si>
  <si>
    <t>47</t>
  </si>
  <si>
    <t>67</t>
  </si>
  <si>
    <t>97</t>
  </si>
  <si>
    <t>A7</t>
  </si>
  <si>
    <t>B7</t>
  </si>
  <si>
    <t>C7</t>
  </si>
  <si>
    <t>D7</t>
  </si>
  <si>
    <t>E7</t>
  </si>
  <si>
    <t>F7</t>
  </si>
  <si>
    <t>DA</t>
  </si>
  <si>
    <t>49</t>
  </si>
  <si>
    <t>38</t>
  </si>
  <si>
    <t>BF</t>
  </si>
  <si>
    <t>5C</t>
  </si>
  <si>
    <t>FA</t>
  </si>
  <si>
    <t>90</t>
  </si>
  <si>
    <t>E9</t>
  </si>
  <si>
    <t>7F</t>
  </si>
  <si>
    <t>BA</t>
  </si>
  <si>
    <t>60</t>
  </si>
  <si>
    <t>AF</t>
  </si>
  <si>
    <t>8B</t>
  </si>
  <si>
    <t>79</t>
  </si>
  <si>
    <t>5B</t>
  </si>
  <si>
    <t>BD</t>
  </si>
  <si>
    <t>58</t>
  </si>
  <si>
    <t>B8</t>
  </si>
  <si>
    <t>8F</t>
  </si>
  <si>
    <t>A9</t>
  </si>
  <si>
    <t>8E</t>
  </si>
  <si>
    <t>88</t>
  </si>
  <si>
    <t>9E</t>
  </si>
  <si>
    <t>8D</t>
  </si>
  <si>
    <t>6B</t>
  </si>
  <si>
    <t>19</t>
  </si>
  <si>
    <t>1D</t>
  </si>
  <si>
    <t>59</t>
  </si>
  <si>
    <t>BB</t>
  </si>
  <si>
    <t>CE</t>
  </si>
  <si>
    <t>9F</t>
  </si>
  <si>
    <t>1F</t>
  </si>
  <si>
    <t>B9</t>
  </si>
  <si>
    <t>7C</t>
  </si>
  <si>
    <t>98</t>
  </si>
  <si>
    <t>CF</t>
  </si>
  <si>
    <t>3E</t>
  </si>
  <si>
    <t>89</t>
  </si>
  <si>
    <t>7A</t>
  </si>
  <si>
    <t>AD</t>
  </si>
  <si>
    <t>F8</t>
  </si>
  <si>
    <t>1E</t>
  </si>
  <si>
    <t>EF</t>
  </si>
  <si>
    <t>CA</t>
  </si>
  <si>
    <t>AA</t>
  </si>
  <si>
    <t>D9</t>
  </si>
  <si>
    <t>3B</t>
  </si>
  <si>
    <t>5E</t>
  </si>
  <si>
    <t>7B</t>
  </si>
  <si>
    <t>EC</t>
  </si>
  <si>
    <t>F9</t>
  </si>
  <si>
    <t>7D</t>
  </si>
  <si>
    <t>4E</t>
  </si>
  <si>
    <t>2C</t>
  </si>
  <si>
    <t>EB</t>
  </si>
  <si>
    <t>3D</t>
  </si>
  <si>
    <t>A8</t>
  </si>
  <si>
    <t>9C</t>
  </si>
  <si>
    <t>9D</t>
  </si>
  <si>
    <t>39</t>
  </si>
  <si>
    <t>8A</t>
  </si>
  <si>
    <t>4F</t>
  </si>
  <si>
    <t>D0</t>
  </si>
  <si>
    <t>AE</t>
  </si>
  <si>
    <t>FE</t>
  </si>
  <si>
    <t>CB</t>
  </si>
  <si>
    <t>EA</t>
  </si>
  <si>
    <t>FD</t>
  </si>
  <si>
    <t>CD</t>
  </si>
  <si>
    <t>FB</t>
  </si>
  <si>
    <t>8C</t>
  </si>
  <si>
    <t>C9</t>
  </si>
  <si>
    <t>5D</t>
  </si>
  <si>
    <t>2F</t>
  </si>
  <si>
    <t>9B</t>
  </si>
  <si>
    <t>7E</t>
  </si>
  <si>
    <t>CC</t>
  </si>
  <si>
    <t>99</t>
  </si>
  <si>
    <t>C8</t>
  </si>
  <si>
    <t>4C</t>
  </si>
  <si>
    <t>4A</t>
  </si>
  <si>
    <t>4B</t>
  </si>
  <si>
    <t>2D</t>
  </si>
  <si>
    <t>BC</t>
  </si>
  <si>
    <t>E0</t>
  </si>
  <si>
    <t>2B</t>
  </si>
  <si>
    <t>1C</t>
  </si>
  <si>
    <t>5A</t>
  </si>
  <si>
    <t>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</si>
</sst>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3]d/mmm;@"/>
    <numFmt numFmtId="165" formatCode="h:mm;@"/>
    <numFmt numFmtId="166" formatCode="0.0"/>
  </numFmts>
  <fonts count="106" x14ac:knownFonts="1">
    <font>
      <sz val="11"/>
      <color theme="1"/>
      <name val="Calibri"/>
      <family val="2"/>
      <scheme val="minor"/>
    </font>
    <font>
      <b/>
      <sz val="11"/>
      <color theme="1"/>
      <name val="Calibri"/>
      <family val="2"/>
      <scheme val="minor"/>
    </font>
    <font>
      <i/>
      <sz val="11"/>
      <color theme="1"/>
      <name val="Calibri"/>
      <family val="2"/>
      <scheme val="minor"/>
    </font>
    <font>
      <sz val="20"/>
      <color theme="1"/>
      <name val="Calibri"/>
      <family val="2"/>
      <scheme val="minor"/>
    </font>
    <font>
      <b/>
      <sz val="20"/>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11"/>
      <color theme="0" tint="-0.499984740745262"/>
      <name val="Calibri"/>
      <family val="2"/>
      <scheme val="minor"/>
    </font>
    <font>
      <b/>
      <i/>
      <sz val="11"/>
      <color theme="1"/>
      <name val="Calibri"/>
      <family val="2"/>
      <scheme val="minor"/>
    </font>
    <font>
      <i/>
      <sz val="9"/>
      <color theme="1"/>
      <name val="Calibri"/>
      <family val="2"/>
      <scheme val="minor"/>
    </font>
    <font>
      <sz val="11"/>
      <name val="Calibri"/>
      <family val="2"/>
      <scheme val="minor"/>
    </font>
    <font>
      <sz val="11"/>
      <color theme="0"/>
      <name val="Calibri"/>
      <family val="2"/>
      <scheme val="minor"/>
    </font>
    <font>
      <sz val="8"/>
      <color theme="1"/>
      <name val="Calibri"/>
      <family val="2"/>
      <scheme val="minor"/>
    </font>
    <font>
      <i/>
      <sz val="11"/>
      <color theme="0"/>
      <name val="Calibri"/>
      <family val="2"/>
      <scheme val="minor"/>
    </font>
    <font>
      <b/>
      <sz val="14"/>
      <color theme="1"/>
      <name val="Calibri"/>
      <family val="2"/>
      <scheme val="minor"/>
    </font>
    <font>
      <b/>
      <sz val="11"/>
      <name val="Calibri"/>
      <family val="2"/>
      <scheme val="minor"/>
    </font>
    <font>
      <i/>
      <sz val="11"/>
      <name val="Calibri"/>
      <family val="2"/>
      <scheme val="minor"/>
    </font>
    <font>
      <sz val="14"/>
      <color theme="1"/>
      <name val="Calibri"/>
      <family val="2"/>
      <scheme val="minor"/>
    </font>
    <font>
      <b/>
      <sz val="11"/>
      <color rgb="FFFF0000"/>
      <name val="Calibri"/>
      <family val="2"/>
      <scheme val="minor"/>
    </font>
    <font>
      <b/>
      <sz val="11"/>
      <color theme="0"/>
      <name val="Calibri"/>
      <family val="2"/>
      <scheme val="minor"/>
    </font>
    <font>
      <sz val="11"/>
      <color rgb="FFFF0000"/>
      <name val="Calibri"/>
      <family val="2"/>
      <scheme val="minor"/>
    </font>
    <font>
      <sz val="11"/>
      <color theme="0" tint="-0.34998626667073579"/>
      <name val="Calibri"/>
      <family val="2"/>
      <scheme val="minor"/>
    </font>
    <font>
      <b/>
      <i/>
      <sz val="11"/>
      <color rgb="FFFF0000"/>
      <name val="Calibri"/>
      <family val="2"/>
      <scheme val="minor"/>
    </font>
    <font>
      <b/>
      <sz val="20"/>
      <name val="Calibri"/>
      <family val="2"/>
      <scheme val="minor"/>
    </font>
    <font>
      <i/>
      <sz val="14"/>
      <color theme="1"/>
      <name val="Calibri"/>
      <family val="2"/>
      <scheme val="minor"/>
    </font>
    <font>
      <sz val="26"/>
      <color theme="0"/>
      <name val="Calibri"/>
      <family val="2"/>
      <scheme val="minor"/>
    </font>
    <font>
      <b/>
      <sz val="16"/>
      <name val="Calibri"/>
      <family val="2"/>
      <scheme val="minor"/>
    </font>
    <font>
      <sz val="10"/>
      <color theme="0" tint="-0.34998626667073579"/>
      <name val="Calibri"/>
      <family val="2"/>
      <scheme val="minor"/>
    </font>
    <font>
      <i/>
      <sz val="9"/>
      <color theme="1" tint="0.34998626667073579"/>
      <name val="Calibri"/>
      <family val="2"/>
      <scheme val="minor"/>
    </font>
    <font>
      <b/>
      <sz val="11"/>
      <color theme="3" tint="-0.249977111117893"/>
      <name val="Calibri"/>
      <family val="2"/>
      <scheme val="minor"/>
    </font>
    <font>
      <b/>
      <sz val="24"/>
      <color theme="3" tint="-0.249977111117893"/>
      <name val="Calibri"/>
      <family val="2"/>
      <scheme val="minor"/>
    </font>
    <font>
      <b/>
      <sz val="18"/>
      <color theme="1"/>
      <name val="Calibri"/>
      <family val="2"/>
      <scheme val="minor"/>
    </font>
    <font>
      <sz val="9"/>
      <color theme="0"/>
      <name val="Calibri"/>
      <family val="2"/>
      <scheme val="minor"/>
    </font>
    <font>
      <b/>
      <i/>
      <sz val="11"/>
      <name val="Calibri"/>
      <family val="2"/>
      <scheme val="minor"/>
    </font>
    <font>
      <sz val="10"/>
      <color theme="0" tint="-0.499984740745262"/>
      <name val="Calibri"/>
      <family val="2"/>
      <scheme val="minor"/>
    </font>
    <font>
      <sz val="12"/>
      <color theme="1"/>
      <name val="Calibri"/>
      <family val="2"/>
      <scheme val="minor"/>
    </font>
    <font>
      <i/>
      <sz val="11"/>
      <color theme="1" tint="0.34998626667073579"/>
      <name val="Calibri"/>
      <family val="2"/>
      <scheme val="minor"/>
    </font>
    <font>
      <b/>
      <sz val="14"/>
      <color theme="0"/>
      <name val="Calibri"/>
      <family val="2"/>
      <scheme val="minor"/>
    </font>
    <font>
      <i/>
      <sz val="10"/>
      <color theme="1"/>
      <name val="Calibri"/>
      <family val="2"/>
      <scheme val="minor"/>
    </font>
    <font>
      <b/>
      <sz val="11"/>
      <color theme="1" tint="0.34998626667073579"/>
      <name val="Calibri"/>
      <family val="2"/>
      <scheme val="minor"/>
    </font>
    <font>
      <sz val="11"/>
      <color theme="1"/>
      <name val="Calibri"/>
      <family val="2"/>
    </font>
    <font>
      <sz val="10"/>
      <color theme="1" tint="0.499984740745262"/>
      <name val="Calibri"/>
      <family val="2"/>
      <scheme val="minor"/>
    </font>
    <font>
      <sz val="11"/>
      <color theme="1" tint="0.499984740745262"/>
      <name val="Calibri"/>
      <family val="2"/>
      <scheme val="minor"/>
    </font>
    <font>
      <b/>
      <sz val="12"/>
      <color theme="0"/>
      <name val="Calibri"/>
      <family val="2"/>
      <scheme val="minor"/>
    </font>
    <font>
      <i/>
      <sz val="10"/>
      <color theme="0"/>
      <name val="Calibri"/>
      <family val="2"/>
      <scheme val="minor"/>
    </font>
    <font>
      <sz val="10"/>
      <color theme="0"/>
      <name val="Calibri"/>
      <family val="2"/>
    </font>
    <font>
      <b/>
      <sz val="11"/>
      <color theme="3" tint="0.79998168889431442"/>
      <name val="Calibri"/>
      <family val="2"/>
      <scheme val="minor"/>
    </font>
    <font>
      <sz val="11"/>
      <color theme="3" tint="0.79998168889431442"/>
      <name val="Calibri"/>
      <family val="2"/>
      <scheme val="minor"/>
    </font>
    <font>
      <sz val="9"/>
      <color theme="1"/>
      <name val="Calibri"/>
      <family val="2"/>
    </font>
    <font>
      <b/>
      <i/>
      <sz val="11"/>
      <color theme="0"/>
      <name val="Calibri"/>
      <family val="2"/>
      <scheme val="minor"/>
    </font>
    <font>
      <b/>
      <sz val="10"/>
      <color theme="1"/>
      <name val="Calibri"/>
      <family val="2"/>
      <scheme val="minor"/>
    </font>
    <font>
      <b/>
      <sz val="10"/>
      <name val="Calibri"/>
      <family val="2"/>
      <scheme val="minor"/>
    </font>
    <font>
      <sz val="10"/>
      <name val="Calibri"/>
      <family val="2"/>
      <scheme val="minor"/>
    </font>
    <font>
      <b/>
      <sz val="12"/>
      <name val="Calibri"/>
      <family val="2"/>
      <scheme val="minor"/>
    </font>
    <font>
      <sz val="10"/>
      <color theme="0"/>
      <name val="Calibri"/>
      <family val="2"/>
      <scheme val="minor"/>
    </font>
    <font>
      <sz val="10"/>
      <color theme="0"/>
      <name val="Arial"/>
      <family val="2"/>
    </font>
    <font>
      <i/>
      <sz val="9"/>
      <color theme="1" tint="0.499984740745262"/>
      <name val="Calibri"/>
      <family val="2"/>
      <scheme val="minor"/>
    </font>
    <font>
      <b/>
      <sz val="11"/>
      <color theme="0" tint="-0.249977111117893"/>
      <name val="Calibri"/>
      <family val="2"/>
      <scheme val="minor"/>
    </font>
    <font>
      <sz val="10"/>
      <color theme="0"/>
      <name val="Arial Narrow"/>
      <family val="2"/>
    </font>
    <font>
      <sz val="14"/>
      <color theme="0"/>
      <name val="Calibri"/>
      <family val="2"/>
      <scheme val="minor"/>
    </font>
    <font>
      <b/>
      <sz val="14"/>
      <name val="Calibri"/>
      <family val="2"/>
      <scheme val="minor"/>
    </font>
    <font>
      <sz val="14"/>
      <name val="Calibri"/>
      <family val="2"/>
      <scheme val="minor"/>
    </font>
    <font>
      <sz val="8"/>
      <color theme="0" tint="-0.34998626667073579"/>
      <name val="Calibri"/>
      <family val="2"/>
      <scheme val="minor"/>
    </font>
    <font>
      <sz val="9"/>
      <name val="Calibri"/>
      <family val="2"/>
      <scheme val="minor"/>
    </font>
    <font>
      <b/>
      <sz val="9"/>
      <name val="Calibri"/>
      <family val="2"/>
      <scheme val="minor"/>
    </font>
    <font>
      <sz val="11"/>
      <color theme="5"/>
      <name val="Calibri"/>
      <family val="2"/>
      <scheme val="minor"/>
    </font>
    <font>
      <sz val="9"/>
      <color theme="5"/>
      <name val="Calibri"/>
      <family val="2"/>
      <scheme val="minor"/>
    </font>
    <font>
      <i/>
      <sz val="9"/>
      <color theme="5"/>
      <name val="Calibri"/>
      <family val="2"/>
      <scheme val="minor"/>
    </font>
    <font>
      <sz val="12"/>
      <color theme="0"/>
      <name val="Calibri"/>
      <family val="2"/>
      <scheme val="minor"/>
    </font>
    <font>
      <b/>
      <sz val="24"/>
      <color theme="3"/>
      <name val="Calibri"/>
      <family val="2"/>
      <scheme val="minor"/>
    </font>
    <font>
      <sz val="36"/>
      <color theme="1"/>
      <name val="Calibri"/>
      <family val="2"/>
      <scheme val="minor"/>
    </font>
    <font>
      <b/>
      <sz val="11"/>
      <color rgb="FFF3F3F3"/>
      <name val="Calibri"/>
      <family val="2"/>
      <scheme val="minor"/>
    </font>
    <font>
      <i/>
      <sz val="11"/>
      <color rgb="FFFF0000"/>
      <name val="Calibri"/>
      <family val="2"/>
      <scheme val="minor"/>
    </font>
    <font>
      <sz val="20"/>
      <name val="Calibri"/>
      <family val="2"/>
      <scheme val="minor"/>
    </font>
    <font>
      <i/>
      <sz val="9"/>
      <color theme="1" tint="0.249977111117893"/>
      <name val="Calibri"/>
      <family val="2"/>
      <scheme val="minor"/>
    </font>
    <font>
      <sz val="9"/>
      <color rgb="FFFF0000"/>
      <name val="Calibri"/>
      <family val="2"/>
      <scheme val="minor"/>
    </font>
    <font>
      <b/>
      <i/>
      <strike/>
      <sz val="11"/>
      <color theme="1"/>
      <name val="Calibri"/>
      <family val="2"/>
      <scheme val="minor"/>
    </font>
    <font>
      <i/>
      <strike/>
      <sz val="11"/>
      <color theme="1"/>
      <name val="Calibri"/>
      <family val="2"/>
      <scheme val="minor"/>
    </font>
    <font>
      <strike/>
      <sz val="11"/>
      <color theme="1"/>
      <name val="Calibri"/>
      <family val="2"/>
      <scheme val="minor"/>
    </font>
    <font>
      <b/>
      <i/>
      <sz val="10"/>
      <color theme="1"/>
      <name val="Calibri"/>
      <family val="2"/>
      <scheme val="minor"/>
    </font>
    <font>
      <i/>
      <sz val="10"/>
      <color theme="1" tint="0.499984740745262"/>
      <name val="Calibri"/>
      <family val="2"/>
      <scheme val="minor"/>
    </font>
    <font>
      <b/>
      <i/>
      <sz val="12"/>
      <color theme="0"/>
      <name val="Calibri"/>
      <family val="2"/>
      <scheme val="minor"/>
    </font>
    <font>
      <b/>
      <i/>
      <u/>
      <sz val="11"/>
      <color theme="1"/>
      <name val="Calibri"/>
      <family val="2"/>
      <scheme val="minor"/>
    </font>
    <font>
      <i/>
      <sz val="10"/>
      <name val="Calibri"/>
      <family val="2"/>
      <scheme val="minor"/>
    </font>
    <font>
      <i/>
      <sz val="10"/>
      <color theme="0" tint="-0.499984740745262"/>
      <name val="Calibri"/>
      <family val="2"/>
      <scheme val="minor"/>
    </font>
    <font>
      <b/>
      <sz val="11"/>
      <color theme="4"/>
      <name val="Calibri"/>
      <family val="2"/>
      <scheme val="minor"/>
    </font>
    <font>
      <sz val="11"/>
      <color theme="4"/>
      <name val="Calibri"/>
      <family val="2"/>
      <scheme val="minor"/>
    </font>
    <font>
      <b/>
      <i/>
      <sz val="24"/>
      <color theme="0"/>
      <name val="Calibri"/>
      <family val="2"/>
      <scheme val="minor"/>
    </font>
    <font>
      <b/>
      <i/>
      <sz val="10"/>
      <name val="Calibri"/>
      <family val="2"/>
      <scheme val="minor"/>
    </font>
    <font>
      <i/>
      <u/>
      <sz val="10"/>
      <name val="Calibri"/>
      <family val="2"/>
      <scheme val="minor"/>
    </font>
    <font>
      <i/>
      <u/>
      <sz val="11"/>
      <name val="Calibri"/>
      <family val="2"/>
      <scheme val="minor"/>
    </font>
    <font>
      <i/>
      <sz val="11"/>
      <color theme="1" tint="0.499984740745262"/>
      <name val="Calibri"/>
      <family val="2"/>
      <scheme val="minor"/>
    </font>
    <font>
      <sz val="11"/>
      <name val="Calibri"/>
      <family val="2"/>
    </font>
    <font>
      <sz val="12"/>
      <color theme="1" tint="0.249977111117893"/>
      <name val="Calibri"/>
      <family val="2"/>
      <scheme val="minor"/>
    </font>
    <font>
      <sz val="11"/>
      <color theme="4" tint="0.79998168889431442"/>
      <name val="Calibri"/>
      <family val="2"/>
      <scheme val="minor"/>
    </font>
    <font>
      <b/>
      <sz val="11"/>
      <color theme="4" tint="0.79998168889431442"/>
      <name val="Calibri"/>
      <family val="2"/>
      <scheme val="minor"/>
    </font>
    <font>
      <b/>
      <sz val="14"/>
      <color theme="0" tint="-0.249977111117893"/>
      <name val="Calibri"/>
      <family val="2"/>
      <scheme val="minor"/>
    </font>
    <font>
      <b/>
      <sz val="18"/>
      <name val="Calibri"/>
      <family val="2"/>
      <scheme val="minor"/>
    </font>
    <font>
      <b/>
      <sz val="18"/>
      <name val="Calibri"/>
      <family val="2"/>
    </font>
    <font>
      <b/>
      <i/>
      <sz val="18"/>
      <name val="Calibri"/>
      <family val="2"/>
      <scheme val="minor"/>
    </font>
    <font>
      <sz val="12"/>
      <name val="Calibri"/>
      <family val="2"/>
      <scheme val="minor"/>
    </font>
    <font>
      <b/>
      <i/>
      <sz val="11"/>
      <color theme="6" tint="-0.249977111117893"/>
      <name val="Calibri"/>
      <family val="2"/>
      <scheme val="minor"/>
    </font>
    <font>
      <sz val="9"/>
      <name val="Calibri"/>
      <family val="2"/>
    </font>
    <font>
      <sz val="9"/>
      <color theme="1" tint="0.34998626667073579"/>
      <name val="Calibri"/>
      <family val="2"/>
      <scheme val="minor"/>
    </font>
    <font>
      <b/>
      <sz val="16"/>
      <color theme="5"/>
      <name val="Calibri"/>
      <family val="2"/>
      <scheme val="minor"/>
    </font>
  </fonts>
  <fills count="4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FFFF99"/>
        <bgColor indexed="64"/>
      </patternFill>
    </fill>
    <fill>
      <patternFill patternType="solid">
        <fgColor theme="3" tint="0.59999389629810485"/>
        <bgColor indexed="64"/>
      </patternFill>
    </fill>
    <fill>
      <patternFill patternType="solid">
        <fgColor theme="5"/>
        <bgColor indexed="64"/>
      </patternFill>
    </fill>
    <fill>
      <patternFill patternType="solid">
        <fgColor theme="6" tint="-0.499984740745262"/>
        <bgColor indexed="64"/>
      </patternFill>
    </fill>
    <fill>
      <patternFill patternType="solid">
        <fgColor theme="7"/>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rgb="FF006600"/>
        <bgColor indexed="64"/>
      </patternFill>
    </fill>
    <fill>
      <patternFill patternType="solid">
        <fgColor theme="4"/>
        <bgColor indexed="64"/>
      </patternFill>
    </fill>
    <fill>
      <patternFill patternType="solid">
        <fgColor theme="0" tint="-0.499984740745262"/>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rgb="FFFFCC00"/>
        <bgColor indexed="64"/>
      </patternFill>
    </fill>
    <fill>
      <patternFill patternType="solid">
        <fgColor theme="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66"/>
        <bgColor indexed="64"/>
      </patternFill>
    </fill>
    <fill>
      <patternFill patternType="solid">
        <fgColor rgb="FFFFFFCC"/>
        <bgColor indexed="64"/>
      </patternFill>
    </fill>
    <fill>
      <patternFill patternType="solid">
        <fgColor rgb="FFCCFFCC"/>
        <bgColor indexed="64"/>
      </patternFill>
    </fill>
    <fill>
      <patternFill patternType="solid">
        <fgColor theme="9" tint="-0.249977111117893"/>
        <bgColor indexed="64"/>
      </patternFill>
    </fill>
    <fill>
      <patternFill patternType="solid">
        <fgColor rgb="FF66FFCC"/>
        <bgColor indexed="64"/>
      </patternFill>
    </fill>
    <fill>
      <patternFill patternType="solid">
        <fgColor theme="1"/>
        <bgColor indexed="64"/>
      </patternFill>
    </fill>
    <fill>
      <patternFill patternType="solid">
        <fgColor rgb="FFF6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thin">
        <color auto="1"/>
      </bottom>
      <diagonal/>
    </border>
    <border>
      <left/>
      <right style="double">
        <color auto="1"/>
      </right>
      <top/>
      <bottom style="thin">
        <color auto="1"/>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theme="0"/>
      </top>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tint="-0.24994659260841701"/>
      </bottom>
      <diagonal/>
    </border>
    <border>
      <left style="thin">
        <color theme="0"/>
      </left>
      <right/>
      <top style="thin">
        <color theme="0"/>
      </top>
      <bottom style="thin">
        <color theme="0" tint="-0.24994659260841701"/>
      </bottom>
      <diagonal/>
    </border>
    <border>
      <left/>
      <right/>
      <top style="thin">
        <color theme="0"/>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bottom>
      <diagonal/>
    </border>
    <border>
      <left style="thin">
        <color theme="0"/>
      </left>
      <right/>
      <top style="thin">
        <color theme="0" tint="-0.24994659260841701"/>
      </top>
      <bottom style="thin">
        <color theme="0"/>
      </bottom>
      <diagonal/>
    </border>
    <border>
      <left/>
      <right/>
      <top style="thin">
        <color theme="0" tint="-0.24994659260841701"/>
      </top>
      <bottom style="thin">
        <color theme="0"/>
      </bottom>
      <diagonal/>
    </border>
    <border>
      <left/>
      <right/>
      <top/>
      <bottom style="double">
        <color rgb="FFFF8001"/>
      </bottom>
      <diagonal/>
    </border>
    <border>
      <left style="thin">
        <color indexed="64"/>
      </left>
      <right/>
      <top style="thin">
        <color auto="1"/>
      </top>
      <bottom style="thin">
        <color theme="0"/>
      </bottom>
      <diagonal/>
    </border>
    <border>
      <left/>
      <right/>
      <top style="thin">
        <color auto="1"/>
      </top>
      <bottom style="thin">
        <color theme="0"/>
      </bottom>
      <diagonal/>
    </border>
    <border>
      <left/>
      <right style="thin">
        <color indexed="64"/>
      </right>
      <top style="thin">
        <color auto="1"/>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4">
    <xf numFmtId="0" fontId="0" fillId="0" borderId="0"/>
    <xf numFmtId="0" fontId="17" fillId="0" borderId="0" applyNumberFormat="0" applyFill="0" applyBorder="0" applyAlignment="0" applyProtection="0"/>
    <xf numFmtId="0" fontId="17" fillId="0" borderId="44" applyNumberFormat="0" applyFill="0" applyAlignment="0" applyProtection="0"/>
    <xf numFmtId="0" fontId="17" fillId="0" borderId="0" applyNumberFormat="0" applyFill="0" applyBorder="0" applyAlignment="0" applyProtection="0"/>
  </cellStyleXfs>
  <cellXfs count="1311">
    <xf numFmtId="0" fontId="0" fillId="0" borderId="0" xfId="0"/>
    <xf numFmtId="0" fontId="0" fillId="7" borderId="0" xfId="0" applyFill="1" applyProtection="1">
      <protection hidden="1"/>
    </xf>
    <xf numFmtId="0" fontId="0" fillId="12" borderId="0" xfId="0" applyFill="1" applyProtection="1">
      <protection hidden="1"/>
    </xf>
    <xf numFmtId="0" fontId="0" fillId="6" borderId="0" xfId="0" applyFill="1" applyProtection="1">
      <protection hidden="1"/>
    </xf>
    <xf numFmtId="0" fontId="0" fillId="7" borderId="0" xfId="0" applyFill="1" applyAlignment="1" applyProtection="1">
      <alignment horizontal="center"/>
      <protection hidden="1"/>
    </xf>
    <xf numFmtId="0" fontId="0" fillId="7" borderId="0" xfId="0" applyFont="1" applyFill="1" applyProtection="1">
      <protection hidden="1"/>
    </xf>
    <xf numFmtId="0" fontId="0" fillId="7" borderId="0" xfId="0" applyFont="1" applyFill="1" applyAlignment="1" applyProtection="1">
      <alignment horizontal="center"/>
      <protection hidden="1"/>
    </xf>
    <xf numFmtId="0" fontId="0" fillId="2" borderId="10" xfId="0" applyFill="1" applyBorder="1" applyProtection="1">
      <protection hidden="1"/>
    </xf>
    <xf numFmtId="0" fontId="0" fillId="2" borderId="11" xfId="0" applyFill="1" applyBorder="1" applyProtection="1">
      <protection hidden="1"/>
    </xf>
    <xf numFmtId="0" fontId="0" fillId="2" borderId="12" xfId="0" applyFill="1" applyBorder="1" applyProtection="1">
      <protection hidden="1"/>
    </xf>
    <xf numFmtId="0" fontId="4" fillId="2" borderId="0" xfId="0" applyFont="1" applyFill="1" applyBorder="1" applyProtection="1">
      <protection hidden="1"/>
    </xf>
    <xf numFmtId="0" fontId="0" fillId="2" borderId="13" xfId="0" applyFill="1" applyBorder="1" applyProtection="1">
      <protection hidden="1"/>
    </xf>
    <xf numFmtId="0" fontId="0" fillId="5" borderId="0" xfId="0" applyFill="1" applyProtection="1">
      <protection hidden="1"/>
    </xf>
    <xf numFmtId="0" fontId="0" fillId="7" borderId="0" xfId="0" applyFill="1" applyBorder="1" applyAlignment="1" applyProtection="1">
      <alignment horizontal="center"/>
      <protection hidden="1"/>
    </xf>
    <xf numFmtId="0" fontId="5" fillId="2" borderId="4" xfId="0" applyNumberFormat="1" applyFont="1" applyFill="1" applyBorder="1" applyAlignment="1" applyProtection="1">
      <alignment horizontal="center"/>
      <protection hidden="1"/>
    </xf>
    <xf numFmtId="20" fontId="5" fillId="2" borderId="4" xfId="0" applyNumberFormat="1" applyFont="1" applyFill="1" applyBorder="1" applyAlignment="1" applyProtection="1">
      <alignment horizontal="center"/>
      <protection hidden="1"/>
    </xf>
    <xf numFmtId="20" fontId="5" fillId="2" borderId="4" xfId="0" applyNumberFormat="1" applyFont="1" applyFill="1" applyBorder="1" applyAlignment="1" applyProtection="1">
      <alignment horizontal="right"/>
      <protection hidden="1"/>
    </xf>
    <xf numFmtId="0" fontId="7" fillId="2" borderId="0" xfId="0" applyFont="1" applyFill="1" applyBorder="1" applyProtection="1">
      <protection hidden="1"/>
    </xf>
    <xf numFmtId="0" fontId="0" fillId="5" borderId="0" xfId="0" applyFill="1" applyBorder="1" applyAlignment="1" applyProtection="1">
      <alignment horizontal="center"/>
      <protection hidden="1"/>
    </xf>
    <xf numFmtId="0" fontId="0" fillId="2" borderId="0" xfId="0" applyFont="1" applyFill="1" applyBorder="1" applyProtection="1">
      <protection hidden="1"/>
    </xf>
    <xf numFmtId="0" fontId="0" fillId="2" borderId="14" xfId="0" applyFill="1" applyBorder="1" applyProtection="1">
      <protection hidden="1"/>
    </xf>
    <xf numFmtId="0" fontId="6" fillId="2" borderId="0" xfId="0" applyFont="1" applyFill="1" applyBorder="1" applyAlignment="1" applyProtection="1">
      <alignment horizontal="center"/>
      <protection hidden="1"/>
    </xf>
    <xf numFmtId="0" fontId="0" fillId="5" borderId="0" xfId="0" applyFont="1" applyFill="1" applyAlignment="1" applyProtection="1">
      <alignment horizontal="center"/>
      <protection hidden="1"/>
    </xf>
    <xf numFmtId="164" fontId="5" fillId="2" borderId="4" xfId="0" applyNumberFormat="1" applyFont="1" applyFill="1" applyBorder="1" applyAlignment="1" applyProtection="1">
      <alignment horizontal="center"/>
      <protection hidden="1"/>
    </xf>
    <xf numFmtId="0" fontId="0" fillId="2" borderId="4" xfId="0" applyFill="1" applyBorder="1" applyProtection="1">
      <protection hidden="1"/>
    </xf>
    <xf numFmtId="0" fontId="8" fillId="5" borderId="0" xfId="0" applyFont="1" applyFill="1" applyAlignment="1" applyProtection="1">
      <alignment horizontal="center"/>
      <protection hidden="1"/>
    </xf>
    <xf numFmtId="0" fontId="0" fillId="11" borderId="0" xfId="0" applyFill="1" applyAlignment="1" applyProtection="1">
      <alignment horizontal="right"/>
      <protection hidden="1"/>
    </xf>
    <xf numFmtId="0" fontId="0" fillId="3" borderId="10" xfId="0" applyFill="1" applyBorder="1" applyProtection="1">
      <protection hidden="1"/>
    </xf>
    <xf numFmtId="0" fontId="0" fillId="3" borderId="11" xfId="0" applyFill="1" applyBorder="1" applyProtection="1">
      <protection hidden="1"/>
    </xf>
    <xf numFmtId="0" fontId="0" fillId="3" borderId="12" xfId="0" applyFill="1" applyBorder="1" applyProtection="1">
      <protection hidden="1"/>
    </xf>
    <xf numFmtId="0" fontId="0" fillId="3" borderId="13" xfId="0" applyFill="1" applyBorder="1" applyProtection="1">
      <protection hidden="1"/>
    </xf>
    <xf numFmtId="0" fontId="0" fillId="2" borderId="10" xfId="0" applyFill="1" applyBorder="1" applyAlignment="1" applyProtection="1">
      <protection hidden="1"/>
    </xf>
    <xf numFmtId="0" fontId="0" fillId="2" borderId="2" xfId="0" applyFill="1" applyBorder="1" applyAlignment="1" applyProtection="1">
      <protection hidden="1"/>
    </xf>
    <xf numFmtId="0" fontId="0" fillId="2" borderId="11" xfId="0" applyFill="1" applyBorder="1" applyAlignment="1" applyProtection="1">
      <protection hidden="1"/>
    </xf>
    <xf numFmtId="0" fontId="0" fillId="2" borderId="0" xfId="0" applyFill="1" applyBorder="1" applyAlignment="1" applyProtection="1">
      <protection hidden="1"/>
    </xf>
    <xf numFmtId="0" fontId="0" fillId="3" borderId="0" xfId="0" applyFill="1" applyBorder="1" applyAlignment="1" applyProtection="1">
      <alignment horizontal="center" wrapText="1"/>
      <protection hidden="1"/>
    </xf>
    <xf numFmtId="0" fontId="0" fillId="9" borderId="1" xfId="0" applyFill="1" applyBorder="1" applyAlignment="1" applyProtection="1">
      <alignment wrapText="1"/>
      <protection hidden="1"/>
    </xf>
    <xf numFmtId="0" fontId="0" fillId="10" borderId="1" xfId="0" applyFill="1" applyBorder="1" applyAlignment="1" applyProtection="1">
      <alignment wrapText="1"/>
      <protection hidden="1"/>
    </xf>
    <xf numFmtId="0" fontId="0" fillId="8" borderId="1" xfId="0" applyFill="1" applyBorder="1" applyProtection="1">
      <protection hidden="1"/>
    </xf>
    <xf numFmtId="0" fontId="0" fillId="3" borderId="14" xfId="0" applyFill="1" applyBorder="1" applyProtection="1">
      <protection hidden="1"/>
    </xf>
    <xf numFmtId="0" fontId="0" fillId="3" borderId="15" xfId="0" applyFill="1" applyBorder="1" applyProtection="1">
      <protection hidden="1"/>
    </xf>
    <xf numFmtId="0" fontId="2" fillId="14" borderId="0" xfId="0" applyFont="1" applyFill="1" applyProtection="1">
      <protection hidden="1"/>
    </xf>
    <xf numFmtId="0" fontId="0" fillId="2" borderId="0" xfId="0" applyFill="1" applyBorder="1" applyAlignment="1" applyProtection="1">
      <alignment vertical="top" wrapText="1"/>
      <protection hidden="1"/>
    </xf>
    <xf numFmtId="0" fontId="1" fillId="6" borderId="2" xfId="0" applyFont="1" applyFill="1" applyBorder="1" applyProtection="1">
      <protection hidden="1"/>
    </xf>
    <xf numFmtId="164" fontId="0" fillId="6" borderId="2" xfId="0" applyNumberFormat="1" applyFill="1" applyBorder="1" applyProtection="1">
      <protection hidden="1"/>
    </xf>
    <xf numFmtId="0" fontId="0" fillId="2" borderId="1" xfId="0" applyNumberFormat="1" applyFill="1" applyBorder="1" applyAlignment="1" applyProtection="1">
      <alignment horizontal="center"/>
      <protection hidden="1"/>
    </xf>
    <xf numFmtId="0" fontId="0" fillId="2" borderId="1" xfId="0" applyNumberFormat="1" applyFill="1" applyBorder="1" applyAlignment="1" applyProtection="1">
      <alignment horizontal="center" vertical="center"/>
      <protection hidden="1"/>
    </xf>
    <xf numFmtId="0" fontId="0" fillId="14" borderId="0" xfId="0" applyFill="1" applyProtection="1">
      <protection hidden="1"/>
    </xf>
    <xf numFmtId="0" fontId="1" fillId="13" borderId="0" xfId="0" applyFont="1" applyFill="1" applyAlignment="1" applyProtection="1">
      <alignment horizontal="center"/>
      <protection hidden="1"/>
    </xf>
    <xf numFmtId="0" fontId="0" fillId="2" borderId="0" xfId="0" applyFill="1" applyAlignment="1" applyProtection="1">
      <alignment vertical="center"/>
      <protection hidden="1"/>
    </xf>
    <xf numFmtId="0" fontId="0" fillId="3" borderId="0" xfId="0" applyFill="1" applyBorder="1" applyAlignment="1" applyProtection="1">
      <alignment vertical="top" wrapText="1"/>
      <protection hidden="1"/>
    </xf>
    <xf numFmtId="0" fontId="0" fillId="3" borderId="0" xfId="0" applyFill="1" applyProtection="1">
      <protection hidden="1"/>
    </xf>
    <xf numFmtId="0" fontId="0" fillId="1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11" borderId="0" xfId="0" applyFill="1" applyProtection="1">
      <protection hidden="1"/>
    </xf>
    <xf numFmtId="0" fontId="1" fillId="7" borderId="0" xfId="0" applyFont="1" applyFill="1" applyProtection="1">
      <protection hidden="1"/>
    </xf>
    <xf numFmtId="0" fontId="1" fillId="2" borderId="0" xfId="0" applyFont="1" applyFill="1" applyBorder="1" applyProtection="1">
      <protection hidden="1"/>
    </xf>
    <xf numFmtId="0" fontId="0" fillId="3" borderId="0" xfId="0" applyFill="1" applyBorder="1" applyProtection="1">
      <protection hidden="1"/>
    </xf>
    <xf numFmtId="0" fontId="5" fillId="2" borderId="0" xfId="0" applyFont="1" applyFill="1" applyBorder="1" applyProtection="1">
      <protection hidden="1"/>
    </xf>
    <xf numFmtId="0" fontId="5" fillId="2" borderId="0" xfId="0" applyFont="1" applyFill="1" applyBorder="1" applyAlignment="1" applyProtection="1">
      <alignment horizontal="center"/>
      <protection hidden="1"/>
    </xf>
    <xf numFmtId="0" fontId="0" fillId="16" borderId="0" xfId="0" applyFill="1" applyProtection="1">
      <protection hidden="1"/>
    </xf>
    <xf numFmtId="0" fontId="2" fillId="13" borderId="0" xfId="0" applyFont="1" applyFill="1" applyProtection="1">
      <protection hidden="1"/>
    </xf>
    <xf numFmtId="0" fontId="0" fillId="5" borderId="2" xfId="0" applyFill="1" applyBorder="1" applyProtection="1">
      <protection hidden="1"/>
    </xf>
    <xf numFmtId="0" fontId="0" fillId="5" borderId="3" xfId="0" applyFill="1" applyBorder="1" applyProtection="1">
      <protection hidden="1"/>
    </xf>
    <xf numFmtId="0" fontId="5" fillId="16" borderId="1" xfId="0" applyFont="1" applyFill="1" applyBorder="1" applyAlignment="1" applyProtection="1">
      <alignment horizontal="center"/>
      <protection hidden="1"/>
    </xf>
    <xf numFmtId="0" fontId="0" fillId="5" borderId="3" xfId="0" applyFill="1" applyBorder="1" applyAlignment="1" applyProtection="1">
      <alignment horizontal="center"/>
      <protection hidden="1"/>
    </xf>
    <xf numFmtId="1" fontId="0" fillId="2" borderId="4" xfId="0" applyNumberFormat="1" applyFont="1" applyFill="1" applyBorder="1" applyAlignment="1" applyProtection="1">
      <alignment horizontal="center"/>
      <protection hidden="1"/>
    </xf>
    <xf numFmtId="164" fontId="5" fillId="2" borderId="0" xfId="0" applyNumberFormat="1" applyFont="1" applyFill="1" applyBorder="1" applyAlignment="1" applyProtection="1">
      <alignment horizontal="center"/>
      <protection hidden="1"/>
    </xf>
    <xf numFmtId="20" fontId="5" fillId="2" borderId="0" xfId="0" applyNumberFormat="1" applyFont="1" applyFill="1" applyBorder="1" applyAlignment="1" applyProtection="1">
      <alignment horizontal="center"/>
      <protection hidden="1"/>
    </xf>
    <xf numFmtId="1" fontId="5" fillId="2" borderId="0" xfId="0" applyNumberFormat="1" applyFont="1" applyFill="1" applyBorder="1" applyAlignment="1" applyProtection="1">
      <alignment horizontal="center"/>
      <protection hidden="1"/>
    </xf>
    <xf numFmtId="0" fontId="0" fillId="4" borderId="0" xfId="0" applyFill="1" applyProtection="1">
      <protection hidden="1"/>
    </xf>
    <xf numFmtId="0" fontId="0" fillId="2" borderId="2" xfId="0" applyFill="1" applyBorder="1" applyProtection="1">
      <protection hidden="1"/>
    </xf>
    <xf numFmtId="0" fontId="0" fillId="2" borderId="0" xfId="0" applyFill="1" applyBorder="1" applyProtection="1">
      <protection hidden="1"/>
    </xf>
    <xf numFmtId="0" fontId="0" fillId="2" borderId="3" xfId="0" applyFill="1" applyBorder="1" applyProtection="1">
      <protection hidden="1"/>
    </xf>
    <xf numFmtId="0" fontId="0" fillId="3" borderId="2" xfId="0" applyFill="1" applyBorder="1" applyProtection="1">
      <protection hidden="1"/>
    </xf>
    <xf numFmtId="0" fontId="0" fillId="3" borderId="3" xfId="0" applyFill="1" applyBorder="1" applyProtection="1">
      <protection hidden="1"/>
    </xf>
    <xf numFmtId="0" fontId="1" fillId="2" borderId="0" xfId="0" applyFont="1" applyFill="1" applyBorder="1" applyAlignment="1" applyProtection="1">
      <alignment horizontal="right"/>
      <protection hidden="1"/>
    </xf>
    <xf numFmtId="0" fontId="0" fillId="12" borderId="0" xfId="0" applyFont="1" applyFill="1" applyAlignment="1" applyProtection="1">
      <alignment horizontal="center"/>
      <protection hidden="1"/>
    </xf>
    <xf numFmtId="0" fontId="2" fillId="2" borderId="0" xfId="0" applyFont="1" applyFill="1" applyBorder="1" applyAlignment="1" applyProtection="1">
      <alignment horizontal="right"/>
      <protection hidden="1"/>
    </xf>
    <xf numFmtId="0" fontId="0" fillId="2" borderId="0" xfId="0" applyFill="1" applyProtection="1">
      <protection hidden="1"/>
    </xf>
    <xf numFmtId="0" fontId="0" fillId="3" borderId="0" xfId="0" applyFill="1" applyBorder="1" applyAlignment="1" applyProtection="1">
      <alignment wrapText="1"/>
      <protection hidden="1"/>
    </xf>
    <xf numFmtId="0" fontId="1" fillId="6" borderId="0" xfId="0" applyFont="1" applyFill="1" applyBorder="1" applyProtection="1">
      <protection hidden="1"/>
    </xf>
    <xf numFmtId="0" fontId="0" fillId="2" borderId="7" xfId="0" applyFill="1" applyBorder="1" applyAlignment="1" applyProtection="1">
      <alignment horizontal="center"/>
      <protection hidden="1"/>
    </xf>
    <xf numFmtId="0" fontId="0" fillId="2" borderId="7" xfId="0" applyNumberFormat="1" applyFill="1" applyBorder="1" applyAlignment="1" applyProtection="1">
      <alignment horizontal="center"/>
      <protection hidden="1"/>
    </xf>
    <xf numFmtId="0" fontId="0" fillId="10" borderId="2" xfId="0" applyFill="1" applyBorder="1" applyAlignment="1" applyProtection="1">
      <alignment horizontal="center"/>
      <protection hidden="1"/>
    </xf>
    <xf numFmtId="0" fontId="0" fillId="10" borderId="22" xfId="0" applyFill="1" applyBorder="1" applyProtection="1">
      <protection hidden="1"/>
    </xf>
    <xf numFmtId="0" fontId="0" fillId="10" borderId="0" xfId="0" applyFill="1" applyBorder="1" applyAlignment="1" applyProtection="1">
      <alignment horizontal="center"/>
      <protection hidden="1"/>
    </xf>
    <xf numFmtId="0" fontId="0" fillId="10" borderId="20" xfId="0" applyFill="1" applyBorder="1" applyProtection="1">
      <protection hidden="1"/>
    </xf>
    <xf numFmtId="0" fontId="0" fillId="10" borderId="3" xfId="0" applyFill="1" applyBorder="1" applyAlignment="1" applyProtection="1">
      <alignment horizontal="center"/>
      <protection hidden="1"/>
    </xf>
    <xf numFmtId="0" fontId="0" fillId="10" borderId="19" xfId="0" applyFill="1" applyBorder="1" applyProtection="1">
      <protection hidden="1"/>
    </xf>
    <xf numFmtId="0" fontId="0" fillId="5" borderId="0" xfId="0" applyFill="1" applyAlignment="1" applyProtection="1">
      <alignment horizontal="left"/>
      <protection hidden="1"/>
    </xf>
    <xf numFmtId="0" fontId="0" fillId="19" borderId="0" xfId="0" applyFill="1" applyAlignment="1" applyProtection="1">
      <alignment horizontal="center"/>
      <protection hidden="1"/>
    </xf>
    <xf numFmtId="0" fontId="0" fillId="19" borderId="0" xfId="0" applyFill="1" applyProtection="1">
      <protection hidden="1"/>
    </xf>
    <xf numFmtId="0" fontId="0" fillId="20" borderId="0" xfId="0" applyFill="1" applyProtection="1">
      <protection hidden="1"/>
    </xf>
    <xf numFmtId="0" fontId="0" fillId="6" borderId="20" xfId="0" applyFill="1" applyBorder="1" applyProtection="1">
      <protection hidden="1"/>
    </xf>
    <xf numFmtId="0" fontId="0" fillId="6" borderId="16" xfId="0" applyFill="1" applyBorder="1" applyProtection="1">
      <protection hidden="1"/>
    </xf>
    <xf numFmtId="0" fontId="0" fillId="21" borderId="0" xfId="0" applyFill="1" applyProtection="1">
      <protection hidden="1"/>
    </xf>
    <xf numFmtId="0" fontId="5" fillId="13" borderId="0" xfId="0" applyFont="1" applyFill="1" applyAlignment="1" applyProtection="1">
      <alignment horizontal="center"/>
      <protection hidden="1"/>
    </xf>
    <xf numFmtId="0" fontId="5" fillId="20" borderId="0" xfId="0" applyFont="1" applyFill="1" applyAlignment="1" applyProtection="1">
      <alignment horizontal="center"/>
      <protection hidden="1"/>
    </xf>
    <xf numFmtId="0" fontId="11" fillId="2" borderId="0" xfId="0" applyFont="1" applyFill="1" applyBorder="1" applyProtection="1">
      <protection hidden="1"/>
    </xf>
    <xf numFmtId="0" fontId="0" fillId="6" borderId="21" xfId="0" applyFill="1" applyBorder="1" applyProtection="1">
      <protection hidden="1"/>
    </xf>
    <xf numFmtId="0" fontId="0" fillId="6" borderId="23" xfId="0" applyFill="1" applyBorder="1" applyProtection="1">
      <protection hidden="1"/>
    </xf>
    <xf numFmtId="0" fontId="0" fillId="17" borderId="0" xfId="0" applyFill="1" applyAlignment="1" applyProtection="1">
      <alignment horizontal="center"/>
      <protection hidden="1"/>
    </xf>
    <xf numFmtId="0" fontId="0" fillId="6" borderId="0" xfId="0" applyFill="1" applyBorder="1" applyProtection="1">
      <protection hidden="1"/>
    </xf>
    <xf numFmtId="0" fontId="0" fillId="6" borderId="3" xfId="0" applyFill="1" applyBorder="1" applyProtection="1">
      <protection hidden="1"/>
    </xf>
    <xf numFmtId="0" fontId="0" fillId="6" borderId="2" xfId="0" applyFill="1" applyBorder="1" applyProtection="1">
      <protection hidden="1"/>
    </xf>
    <xf numFmtId="0" fontId="0" fillId="6" borderId="19" xfId="0" applyFill="1" applyBorder="1" applyProtection="1">
      <protection hidden="1"/>
    </xf>
    <xf numFmtId="0" fontId="11" fillId="15" borderId="0" xfId="0" applyFont="1" applyFill="1" applyBorder="1" applyProtection="1">
      <protection hidden="1"/>
    </xf>
    <xf numFmtId="0" fontId="9" fillId="2" borderId="0" xfId="0" applyFont="1" applyFill="1" applyBorder="1" applyAlignment="1" applyProtection="1">
      <protection hidden="1"/>
    </xf>
    <xf numFmtId="0" fontId="0" fillId="5" borderId="16" xfId="0" applyFill="1" applyBorder="1" applyProtection="1">
      <protection hidden="1"/>
    </xf>
    <xf numFmtId="0" fontId="0" fillId="23" borderId="16" xfId="0" applyFill="1" applyBorder="1" applyAlignment="1" applyProtection="1">
      <alignment horizontal="center"/>
      <protection hidden="1"/>
    </xf>
    <xf numFmtId="0" fontId="0" fillId="8" borderId="0" xfId="0" applyFill="1" applyProtection="1">
      <protection hidden="1"/>
    </xf>
    <xf numFmtId="0" fontId="0" fillId="21" borderId="0" xfId="0" applyFill="1" applyAlignment="1" applyProtection="1">
      <alignment horizontal="center"/>
      <protection hidden="1"/>
    </xf>
    <xf numFmtId="0" fontId="0" fillId="24" borderId="0" xfId="0" applyFill="1" applyProtection="1">
      <protection hidden="1"/>
    </xf>
    <xf numFmtId="0" fontId="0" fillId="11" borderId="0" xfId="0" applyFill="1" applyAlignment="1" applyProtection="1">
      <alignment horizontal="center"/>
      <protection hidden="1"/>
    </xf>
    <xf numFmtId="0" fontId="22" fillId="2" borderId="0" xfId="0" applyFont="1" applyFill="1" applyAlignment="1" applyProtection="1">
      <alignment horizontal="left" indent="1"/>
      <protection locked="0" hidden="1"/>
    </xf>
    <xf numFmtId="0" fontId="22" fillId="4" borderId="0" xfId="0" applyFont="1" applyFill="1" applyProtection="1">
      <protection hidden="1"/>
    </xf>
    <xf numFmtId="3" fontId="0" fillId="2" borderId="0" xfId="0" applyNumberFormat="1" applyFill="1" applyBorder="1" applyAlignment="1" applyProtection="1">
      <alignment horizontal="center"/>
      <protection hidden="1"/>
    </xf>
    <xf numFmtId="0" fontId="18" fillId="2" borderId="3" xfId="0" applyFont="1" applyFill="1" applyBorder="1" applyProtection="1">
      <protection hidden="1"/>
    </xf>
    <xf numFmtId="0" fontId="9" fillId="5" borderId="0" xfId="0" applyFont="1" applyFill="1" applyAlignment="1" applyProtection="1">
      <alignment horizontal="center"/>
      <protection hidden="1"/>
    </xf>
    <xf numFmtId="0" fontId="0" fillId="6" borderId="0" xfId="0" applyFill="1" applyBorder="1" applyAlignment="1" applyProtection="1">
      <alignment horizontal="right"/>
      <protection hidden="1"/>
    </xf>
    <xf numFmtId="0" fontId="20" fillId="4" borderId="0" xfId="0" applyFont="1" applyFill="1" applyAlignment="1" applyProtection="1">
      <protection hidden="1"/>
    </xf>
    <xf numFmtId="0" fontId="4" fillId="6" borderId="2" xfId="0" applyFont="1" applyFill="1" applyBorder="1" applyProtection="1">
      <protection hidden="1"/>
    </xf>
    <xf numFmtId="0" fontId="2" fillId="6" borderId="2" xfId="0" applyFont="1" applyFill="1" applyBorder="1" applyAlignment="1" applyProtection="1">
      <alignment horizontal="right" vertical="center"/>
      <protection hidden="1"/>
    </xf>
    <xf numFmtId="0" fontId="12" fillId="6" borderId="16" xfId="0" applyFont="1" applyFill="1" applyBorder="1" applyAlignment="1" applyProtection="1">
      <alignment horizontal="center"/>
      <protection hidden="1"/>
    </xf>
    <xf numFmtId="0" fontId="0" fillId="6" borderId="0" xfId="0" applyFill="1" applyBorder="1" applyAlignment="1" applyProtection="1">
      <alignment horizontal="left"/>
      <protection hidden="1"/>
    </xf>
    <xf numFmtId="14" fontId="0" fillId="6" borderId="0" xfId="0" applyNumberFormat="1" applyFill="1" applyBorder="1" applyProtection="1">
      <protection hidden="1"/>
    </xf>
    <xf numFmtId="0" fontId="12" fillId="6" borderId="23" xfId="0" applyFont="1" applyFill="1" applyBorder="1" applyAlignment="1" applyProtection="1">
      <alignment horizontal="center"/>
      <protection hidden="1"/>
    </xf>
    <xf numFmtId="0" fontId="22" fillId="2" borderId="0" xfId="0" applyFont="1" applyFill="1" applyAlignment="1" applyProtection="1">
      <alignment horizontal="left" indent="1"/>
      <protection hidden="1"/>
    </xf>
    <xf numFmtId="0" fontId="0" fillId="5" borderId="0" xfId="0" applyFill="1" applyAlignment="1" applyProtection="1">
      <protection hidden="1"/>
    </xf>
    <xf numFmtId="0" fontId="11" fillId="12" borderId="0" xfId="0" applyFont="1" applyFill="1" applyAlignment="1" applyProtection="1">
      <alignment horizontal="center"/>
      <protection hidden="1"/>
    </xf>
    <xf numFmtId="0" fontId="0" fillId="2" borderId="12" xfId="0" applyFill="1" applyBorder="1" applyAlignment="1" applyProtection="1">
      <protection hidden="1"/>
    </xf>
    <xf numFmtId="0" fontId="0" fillId="23" borderId="23" xfId="0" applyFill="1" applyBorder="1" applyAlignment="1" applyProtection="1">
      <alignment horizontal="center"/>
      <protection hidden="1"/>
    </xf>
    <xf numFmtId="0" fontId="1" fillId="2" borderId="1" xfId="0" applyFont="1" applyFill="1" applyBorder="1" applyAlignment="1" applyProtection="1">
      <alignment horizontal="center" vertical="center"/>
      <protection hidden="1"/>
    </xf>
    <xf numFmtId="0" fontId="0" fillId="19" borderId="16" xfId="0" applyFill="1" applyBorder="1" applyAlignment="1" applyProtection="1">
      <alignment horizontal="center"/>
      <protection hidden="1"/>
    </xf>
    <xf numFmtId="0" fontId="2" fillId="5" borderId="0" xfId="0" applyFont="1" applyFill="1" applyAlignment="1" applyProtection="1">
      <alignment horizontal="center"/>
      <protection hidden="1"/>
    </xf>
    <xf numFmtId="0" fontId="19" fillId="4" borderId="0" xfId="0" applyFont="1" applyFill="1" applyProtection="1">
      <protection hidden="1"/>
    </xf>
    <xf numFmtId="0" fontId="25" fillId="2" borderId="0" xfId="0" applyFont="1" applyFill="1" applyBorder="1" applyAlignment="1" applyProtection="1">
      <alignment vertical="center"/>
      <protection hidden="1"/>
    </xf>
    <xf numFmtId="0" fontId="0" fillId="2" borderId="1" xfId="0" applyFill="1" applyBorder="1" applyAlignment="1" applyProtection="1">
      <alignment horizontal="center"/>
      <protection hidden="1"/>
    </xf>
    <xf numFmtId="0" fontId="0" fillId="6" borderId="0" xfId="0" applyFill="1" applyBorder="1" applyAlignment="1" applyProtection="1">
      <alignment horizontal="center"/>
      <protection hidden="1"/>
    </xf>
    <xf numFmtId="0" fontId="0" fillId="6" borderId="20" xfId="0" applyFill="1" applyBorder="1" applyAlignment="1" applyProtection="1">
      <alignment horizontal="center"/>
      <protection hidden="1"/>
    </xf>
    <xf numFmtId="0" fontId="0" fillId="5" borderId="0" xfId="0" applyFont="1" applyFill="1" applyProtection="1">
      <protection hidden="1"/>
    </xf>
    <xf numFmtId="0" fontId="16" fillId="15" borderId="20" xfId="0" applyFont="1" applyFill="1" applyBorder="1" applyAlignment="1" applyProtection="1">
      <alignment horizontal="right"/>
      <protection hidden="1"/>
    </xf>
    <xf numFmtId="0" fontId="12" fillId="6" borderId="0" xfId="0" applyFont="1" applyFill="1" applyBorder="1" applyAlignment="1" applyProtection="1">
      <alignment horizontal="center"/>
      <protection hidden="1"/>
    </xf>
    <xf numFmtId="0" fontId="12" fillId="6" borderId="19" xfId="0" applyFont="1" applyFill="1" applyBorder="1" applyAlignment="1" applyProtection="1">
      <alignment horizontal="center"/>
      <protection hidden="1"/>
    </xf>
    <xf numFmtId="0" fontId="12" fillId="6" borderId="0" xfId="0" applyFont="1" applyFill="1" applyBorder="1" applyAlignment="1" applyProtection="1">
      <alignment horizontal="center" vertical="center"/>
      <protection hidden="1"/>
    </xf>
    <xf numFmtId="0" fontId="0" fillId="2" borderId="7" xfId="0" applyFill="1" applyBorder="1" applyAlignment="1" applyProtection="1">
      <alignment horizontal="left"/>
      <protection hidden="1"/>
    </xf>
    <xf numFmtId="0" fontId="11" fillId="6" borderId="16" xfId="0" applyFont="1" applyFill="1" applyBorder="1" applyProtection="1">
      <protection hidden="1"/>
    </xf>
    <xf numFmtId="0" fontId="0" fillId="6" borderId="0" xfId="0" applyFill="1" applyBorder="1" applyAlignment="1" applyProtection="1">
      <protection hidden="1"/>
    </xf>
    <xf numFmtId="0" fontId="0" fillId="6" borderId="20" xfId="0" applyFill="1" applyBorder="1" applyAlignment="1" applyProtection="1">
      <protection hidden="1"/>
    </xf>
    <xf numFmtId="0" fontId="0" fillId="6" borderId="3" xfId="0" applyFill="1" applyBorder="1" applyAlignment="1" applyProtection="1">
      <protection hidden="1"/>
    </xf>
    <xf numFmtId="0" fontId="0" fillId="6" borderId="19" xfId="0" applyFill="1" applyBorder="1" applyAlignment="1" applyProtection="1">
      <protection hidden="1"/>
    </xf>
    <xf numFmtId="0" fontId="0" fillId="6" borderId="2" xfId="0" applyFill="1" applyBorder="1" applyAlignment="1" applyProtection="1">
      <alignment horizontal="left"/>
      <protection hidden="1"/>
    </xf>
    <xf numFmtId="0" fontId="0" fillId="6" borderId="4" xfId="0" applyFill="1" applyBorder="1" applyAlignment="1" applyProtection="1">
      <alignment horizontal="left"/>
      <protection hidden="1"/>
    </xf>
    <xf numFmtId="0" fontId="0" fillId="23" borderId="22" xfId="0" applyFill="1" applyBorder="1" applyProtection="1">
      <protection hidden="1"/>
    </xf>
    <xf numFmtId="0" fontId="0" fillId="23" borderId="0" xfId="0" applyFill="1" applyBorder="1" applyAlignment="1" applyProtection="1">
      <alignment horizontal="left"/>
      <protection hidden="1"/>
    </xf>
    <xf numFmtId="0" fontId="0" fillId="23" borderId="20" xfId="0" applyFill="1" applyBorder="1" applyProtection="1">
      <protection hidden="1"/>
    </xf>
    <xf numFmtId="0" fontId="0" fillId="23" borderId="3" xfId="0" applyFill="1" applyBorder="1" applyAlignment="1" applyProtection="1">
      <alignment horizontal="left"/>
      <protection hidden="1"/>
    </xf>
    <xf numFmtId="0" fontId="0" fillId="23" borderId="19" xfId="0" applyFill="1" applyBorder="1" applyProtection="1">
      <protection hidden="1"/>
    </xf>
    <xf numFmtId="0" fontId="32" fillId="23" borderId="2" xfId="0" applyFont="1" applyFill="1" applyBorder="1" applyAlignment="1" applyProtection="1">
      <alignment horizontal="left" vertical="center"/>
      <protection hidden="1"/>
    </xf>
    <xf numFmtId="0" fontId="4" fillId="23" borderId="21" xfId="0" applyFont="1" applyFill="1" applyBorder="1" applyAlignment="1" applyProtection="1">
      <alignment horizontal="center" vertical="center"/>
      <protection hidden="1"/>
    </xf>
    <xf numFmtId="165" fontId="5" fillId="2" borderId="4" xfId="0" applyNumberFormat="1" applyFont="1" applyFill="1" applyBorder="1" applyAlignment="1" applyProtection="1">
      <alignment horizontal="center"/>
      <protection hidden="1"/>
    </xf>
    <xf numFmtId="0" fontId="0" fillId="5" borderId="21" xfId="0" applyFill="1" applyBorder="1" applyProtection="1">
      <protection hidden="1"/>
    </xf>
    <xf numFmtId="0" fontId="0" fillId="5" borderId="23" xfId="0" applyFill="1" applyBorder="1" applyProtection="1">
      <protection hidden="1"/>
    </xf>
    <xf numFmtId="0" fontId="2" fillId="5" borderId="2" xfId="0" applyFont="1" applyFill="1" applyBorder="1" applyProtection="1">
      <protection hidden="1"/>
    </xf>
    <xf numFmtId="0" fontId="1" fillId="7" borderId="0" xfId="0" applyFont="1" applyFill="1" applyBorder="1" applyAlignment="1" applyProtection="1">
      <alignment horizontal="center"/>
      <protection hidden="1"/>
    </xf>
    <xf numFmtId="0" fontId="0" fillId="4" borderId="0" xfId="0" applyFill="1" applyAlignment="1" applyProtection="1">
      <alignment horizontal="center"/>
      <protection hidden="1"/>
    </xf>
    <xf numFmtId="0" fontId="6" fillId="2" borderId="3" xfId="0" applyFont="1" applyFill="1" applyBorder="1" applyAlignment="1" applyProtection="1">
      <alignment horizontal="center"/>
      <protection hidden="1"/>
    </xf>
    <xf numFmtId="0" fontId="0" fillId="24" borderId="0" xfId="0" applyFill="1" applyAlignment="1" applyProtection="1">
      <alignment horizontal="center"/>
      <protection hidden="1"/>
    </xf>
    <xf numFmtId="0" fontId="33" fillId="2" borderId="0" xfId="0" applyFont="1" applyFill="1" applyBorder="1" applyProtection="1">
      <protection hidden="1"/>
    </xf>
    <xf numFmtId="0" fontId="0" fillId="5" borderId="0" xfId="0" applyFill="1" applyAlignment="1" applyProtection="1">
      <alignment horizontal="center"/>
      <protection hidden="1"/>
    </xf>
    <xf numFmtId="0" fontId="3" fillId="7" borderId="0" xfId="0" applyFont="1" applyFill="1" applyAlignment="1" applyProtection="1">
      <alignment horizontal="center"/>
      <protection hidden="1"/>
    </xf>
    <xf numFmtId="0" fontId="6" fillId="2" borderId="3" xfId="0" applyFont="1" applyFill="1" applyBorder="1" applyAlignment="1" applyProtection="1">
      <alignment horizontal="center"/>
      <protection hidden="1"/>
    </xf>
    <xf numFmtId="0" fontId="1" fillId="7" borderId="0" xfId="0" applyFont="1" applyFill="1" applyBorder="1" applyAlignment="1" applyProtection="1">
      <alignment horizontal="center"/>
      <protection hidden="1"/>
    </xf>
    <xf numFmtId="0" fontId="0" fillId="18" borderId="0" xfId="0" applyFill="1" applyAlignment="1" applyProtection="1">
      <alignment horizontal="center"/>
      <protection hidden="1"/>
    </xf>
    <xf numFmtId="0" fontId="0" fillId="28" borderId="0" xfId="0" applyFill="1" applyAlignment="1" applyProtection="1">
      <alignment horizontal="center"/>
      <protection hidden="1"/>
    </xf>
    <xf numFmtId="0" fontId="0" fillId="27" borderId="0" xfId="0" applyFill="1" applyAlignment="1" applyProtection="1">
      <alignment horizontal="center"/>
      <protection hidden="1"/>
    </xf>
    <xf numFmtId="0" fontId="0" fillId="19" borderId="0" xfId="0" applyFill="1" applyBorder="1" applyAlignment="1" applyProtection="1">
      <alignment horizontal="center"/>
      <protection hidden="1"/>
    </xf>
    <xf numFmtId="0" fontId="0" fillId="19" borderId="7" xfId="0" applyFill="1" applyBorder="1" applyAlignment="1" applyProtection="1">
      <alignment horizontal="center"/>
      <protection hidden="1"/>
    </xf>
    <xf numFmtId="0" fontId="0" fillId="19" borderId="3" xfId="0" applyFill="1" applyBorder="1" applyAlignment="1" applyProtection="1">
      <alignment horizontal="center"/>
      <protection hidden="1"/>
    </xf>
    <xf numFmtId="1" fontId="0" fillId="19" borderId="19" xfId="0" applyNumberFormat="1" applyFill="1" applyBorder="1" applyAlignment="1" applyProtection="1">
      <alignment horizontal="center"/>
      <protection hidden="1"/>
    </xf>
    <xf numFmtId="1" fontId="0" fillId="19" borderId="7" xfId="0" applyNumberFormat="1" applyFill="1" applyBorder="1" applyAlignment="1" applyProtection="1">
      <alignment horizontal="center"/>
      <protection hidden="1"/>
    </xf>
    <xf numFmtId="0" fontId="0" fillId="19" borderId="23" xfId="0" applyFill="1" applyBorder="1" applyAlignment="1" applyProtection="1">
      <alignment horizontal="center"/>
      <protection hidden="1"/>
    </xf>
    <xf numFmtId="0" fontId="0" fillId="19" borderId="7" xfId="0" applyFill="1" applyBorder="1" applyProtection="1">
      <protection hidden="1"/>
    </xf>
    <xf numFmtId="0" fontId="0" fillId="19" borderId="6" xfId="0" applyFill="1" applyBorder="1" applyAlignment="1" applyProtection="1">
      <alignment horizontal="center"/>
      <protection hidden="1"/>
    </xf>
    <xf numFmtId="1" fontId="0" fillId="19" borderId="20" xfId="0" applyNumberFormat="1" applyFill="1" applyBorder="1" applyAlignment="1" applyProtection="1">
      <alignment horizontal="center"/>
      <protection hidden="1"/>
    </xf>
    <xf numFmtId="1" fontId="0" fillId="19" borderId="6" xfId="0" applyNumberFormat="1" applyFill="1" applyBorder="1" applyAlignment="1" applyProtection="1">
      <alignment horizontal="center"/>
      <protection hidden="1"/>
    </xf>
    <xf numFmtId="0" fontId="0" fillId="19" borderId="6" xfId="0" applyFill="1" applyBorder="1" applyProtection="1">
      <protection hidden="1"/>
    </xf>
    <xf numFmtId="0" fontId="0" fillId="19" borderId="5" xfId="0" applyFill="1" applyBorder="1" applyAlignment="1" applyProtection="1">
      <alignment horizontal="center"/>
      <protection hidden="1"/>
    </xf>
    <xf numFmtId="0" fontId="0" fillId="19" borderId="2" xfId="0" applyFill="1" applyBorder="1" applyAlignment="1" applyProtection="1">
      <alignment horizontal="center"/>
      <protection hidden="1"/>
    </xf>
    <xf numFmtId="1" fontId="0" fillId="19" borderId="22" xfId="0" applyNumberFormat="1" applyFill="1" applyBorder="1" applyAlignment="1" applyProtection="1">
      <alignment horizontal="center"/>
      <protection hidden="1"/>
    </xf>
    <xf numFmtId="1" fontId="0" fillId="19" borderId="5" xfId="0" applyNumberFormat="1" applyFill="1" applyBorder="1" applyAlignment="1" applyProtection="1">
      <alignment horizontal="center"/>
      <protection hidden="1"/>
    </xf>
    <xf numFmtId="0" fontId="0" fillId="19" borderId="21" xfId="0" applyFill="1" applyBorder="1" applyAlignment="1" applyProtection="1">
      <alignment horizontal="center"/>
      <protection hidden="1"/>
    </xf>
    <xf numFmtId="0" fontId="0" fillId="19" borderId="5" xfId="0" applyFill="1" applyBorder="1" applyProtection="1">
      <protection hidden="1"/>
    </xf>
    <xf numFmtId="0" fontId="0" fillId="19" borderId="0" xfId="0" applyFont="1" applyFill="1" applyProtection="1">
      <protection hidden="1"/>
    </xf>
    <xf numFmtId="0" fontId="1" fillId="19" borderId="0" xfId="0" applyFont="1" applyFill="1" applyProtection="1">
      <protection hidden="1"/>
    </xf>
    <xf numFmtId="0" fontId="1" fillId="27" borderId="0" xfId="0" applyFont="1" applyFill="1" applyAlignment="1" applyProtection="1">
      <alignment horizontal="center"/>
      <protection hidden="1"/>
    </xf>
    <xf numFmtId="0" fontId="0" fillId="19" borderId="0" xfId="0" applyFill="1" applyBorder="1" applyProtection="1">
      <protection hidden="1"/>
    </xf>
    <xf numFmtId="0" fontId="2" fillId="2" borderId="0" xfId="0" applyFont="1" applyFill="1" applyBorder="1" applyAlignment="1" applyProtection="1">
      <alignment horizontal="left" vertical="top" wrapText="1" indent="3"/>
      <protection hidden="1"/>
    </xf>
    <xf numFmtId="0" fontId="1" fillId="4" borderId="0" xfId="0" applyFont="1" applyFill="1" applyProtection="1">
      <protection hidden="1"/>
    </xf>
    <xf numFmtId="0" fontId="0" fillId="21" borderId="0" xfId="0" applyFill="1" applyAlignment="1" applyProtection="1">
      <alignment horizontal="right" indent="1"/>
      <protection hidden="1"/>
    </xf>
    <xf numFmtId="0" fontId="1" fillId="7" borderId="0" xfId="0" applyFont="1" applyFill="1" applyAlignment="1" applyProtection="1">
      <alignment horizontal="center"/>
      <protection hidden="1"/>
    </xf>
    <xf numFmtId="0" fontId="0" fillId="11" borderId="0" xfId="0" applyFill="1" applyAlignment="1" applyProtection="1">
      <alignment horizontal="right"/>
      <protection hidden="1"/>
    </xf>
    <xf numFmtId="0" fontId="0" fillId="11" borderId="0" xfId="0" applyFont="1" applyFill="1" applyAlignment="1" applyProtection="1">
      <alignment horizontal="center"/>
      <protection hidden="1"/>
    </xf>
    <xf numFmtId="0" fontId="0" fillId="6" borderId="0" xfId="0" applyFont="1" applyFill="1" applyAlignment="1" applyProtection="1">
      <alignment horizontal="center"/>
      <protection hidden="1"/>
    </xf>
    <xf numFmtId="0" fontId="0" fillId="6" borderId="0" xfId="0" applyFill="1" applyAlignment="1" applyProtection="1">
      <alignment horizontal="right"/>
      <protection hidden="1"/>
    </xf>
    <xf numFmtId="0" fontId="5" fillId="2" borderId="3" xfId="0" applyFont="1" applyFill="1" applyBorder="1" applyProtection="1">
      <protection hidden="1"/>
    </xf>
    <xf numFmtId="0" fontId="0" fillId="6" borderId="0" xfId="0" applyFill="1" applyAlignment="1" applyProtection="1">
      <alignment horizontal="left"/>
      <protection hidden="1"/>
    </xf>
    <xf numFmtId="0" fontId="0" fillId="6" borderId="0" xfId="0" applyFont="1" applyFill="1" applyProtection="1">
      <protection hidden="1"/>
    </xf>
    <xf numFmtId="0" fontId="0" fillId="4" borderId="0" xfId="0" applyFill="1" applyAlignment="1" applyProtection="1">
      <alignment vertical="center"/>
      <protection hidden="1"/>
    </xf>
    <xf numFmtId="0" fontId="0" fillId="2" borderId="12" xfId="0" applyFill="1" applyBorder="1" applyAlignment="1" applyProtection="1">
      <alignment vertical="center"/>
      <protection hidden="1"/>
    </xf>
    <xf numFmtId="0" fontId="0" fillId="19" borderId="0" xfId="0" applyFill="1" applyAlignment="1" applyProtection="1">
      <alignment vertical="center"/>
      <protection hidden="1"/>
    </xf>
    <xf numFmtId="0" fontId="0" fillId="19" borderId="0" xfId="0" applyFill="1" applyAlignment="1" applyProtection="1">
      <alignment horizontal="center" vertical="center"/>
      <protection hidden="1"/>
    </xf>
    <xf numFmtId="0" fontId="0" fillId="19" borderId="0" xfId="0" applyFill="1" applyAlignment="1" applyProtection="1">
      <alignment horizontal="center" vertical="center" textRotation="90"/>
      <protection hidden="1"/>
    </xf>
    <xf numFmtId="0" fontId="0" fillId="19" borderId="0" xfId="0" applyFill="1" applyBorder="1" applyAlignment="1" applyProtection="1">
      <alignment vertical="center"/>
      <protection hidden="1"/>
    </xf>
    <xf numFmtId="0" fontId="29" fillId="2" borderId="0" xfId="0" applyFont="1" applyFill="1" applyBorder="1" applyAlignment="1" applyProtection="1">
      <alignment horizontal="right"/>
      <protection hidden="1"/>
    </xf>
    <xf numFmtId="0" fontId="14" fillId="19" borderId="0" xfId="0" applyFont="1" applyFill="1" applyBorder="1" applyAlignment="1" applyProtection="1">
      <alignment horizontal="center"/>
      <protection hidden="1"/>
    </xf>
    <xf numFmtId="0" fontId="0" fillId="4" borderId="0" xfId="0" applyFill="1" applyAlignment="1" applyProtection="1">
      <alignment horizontal="left"/>
      <protection hidden="1"/>
    </xf>
    <xf numFmtId="0" fontId="0" fillId="4" borderId="0" xfId="0" applyFill="1" applyAlignment="1" applyProtection="1">
      <alignment horizontal="center" vertical="center"/>
      <protection hidden="1"/>
    </xf>
    <xf numFmtId="0" fontId="2" fillId="2" borderId="13" xfId="0" applyFont="1" applyFill="1" applyBorder="1" applyAlignment="1" applyProtection="1">
      <alignment horizontal="left" vertical="top" wrapText="1" indent="3"/>
      <protection hidden="1"/>
    </xf>
    <xf numFmtId="0" fontId="0" fillId="4" borderId="0" xfId="0" applyFont="1" applyFill="1" applyAlignment="1" applyProtection="1">
      <alignment horizontal="center" vertical="center"/>
      <protection hidden="1"/>
    </xf>
    <xf numFmtId="0" fontId="1" fillId="24" borderId="0" xfId="0" applyFont="1" applyFill="1" applyAlignment="1" applyProtection="1">
      <alignment horizontal="center"/>
      <protection locked="0" hidden="1"/>
    </xf>
    <xf numFmtId="0" fontId="1" fillId="24" borderId="0" xfId="0" applyFont="1" applyFill="1" applyProtection="1">
      <protection hidden="1"/>
    </xf>
    <xf numFmtId="1" fontId="5" fillId="2" borderId="4" xfId="0" applyNumberFormat="1" applyFont="1" applyFill="1" applyBorder="1" applyAlignment="1" applyProtection="1">
      <alignment horizontal="center"/>
      <protection hidden="1"/>
    </xf>
    <xf numFmtId="0" fontId="9" fillId="2" borderId="0" xfId="0" applyFont="1" applyFill="1" applyBorder="1" applyAlignment="1" applyProtection="1">
      <alignment horizontal="right"/>
      <protection hidden="1"/>
    </xf>
    <xf numFmtId="0" fontId="35" fillId="2" borderId="0" xfId="0" applyFont="1" applyFill="1" applyBorder="1" applyAlignment="1" applyProtection="1">
      <alignment horizontal="right" vertical="top" indent="2"/>
      <protection hidden="1"/>
    </xf>
    <xf numFmtId="0" fontId="4" fillId="11" borderId="0" xfId="0" applyFont="1" applyFill="1" applyAlignment="1" applyProtection="1">
      <protection hidden="1"/>
    </xf>
    <xf numFmtId="0" fontId="0" fillId="11" borderId="2" xfId="0" applyFill="1" applyBorder="1" applyAlignment="1" applyProtection="1">
      <alignment horizontal="center"/>
      <protection hidden="1"/>
    </xf>
    <xf numFmtId="0" fontId="4" fillId="11" borderId="0" xfId="0" applyFont="1" applyFill="1" applyAlignment="1" applyProtection="1">
      <alignment horizontal="center"/>
      <protection hidden="1"/>
    </xf>
    <xf numFmtId="0" fontId="0" fillId="11" borderId="18" xfId="0" applyFill="1" applyBorder="1" applyAlignment="1" applyProtection="1">
      <alignment horizontal="center"/>
      <protection hidden="1"/>
    </xf>
    <xf numFmtId="0" fontId="5" fillId="2" borderId="0" xfId="0" applyNumberFormat="1" applyFont="1"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5" borderId="0" xfId="0" applyFill="1" applyAlignment="1" applyProtection="1">
      <alignment horizontal="center"/>
      <protection hidden="1"/>
    </xf>
    <xf numFmtId="0" fontId="0" fillId="6" borderId="0" xfId="0" applyFill="1" applyAlignment="1" applyProtection="1">
      <alignment horizontal="center"/>
      <protection hidden="1"/>
    </xf>
    <xf numFmtId="0" fontId="0" fillId="4" borderId="0" xfId="0" applyFill="1" applyAlignment="1" applyProtection="1">
      <alignment horizontal="center"/>
      <protection hidden="1"/>
    </xf>
    <xf numFmtId="0" fontId="6" fillId="2" borderId="3" xfId="0" applyFont="1" applyFill="1" applyBorder="1" applyAlignment="1" applyProtection="1">
      <alignment horizontal="center"/>
      <protection hidden="1"/>
    </xf>
    <xf numFmtId="20" fontId="5" fillId="2" borderId="4" xfId="0" applyNumberFormat="1" applyFont="1" applyFill="1" applyBorder="1" applyAlignment="1" applyProtection="1">
      <alignment horizontal="left"/>
      <protection hidden="1"/>
    </xf>
    <xf numFmtId="0" fontId="34" fillId="2" borderId="13" xfId="0" applyFont="1" applyFill="1" applyBorder="1" applyAlignment="1" applyProtection="1">
      <alignment horizontal="left" vertical="center"/>
      <protection hidden="1"/>
    </xf>
    <xf numFmtId="12" fontId="0" fillId="19" borderId="0" xfId="0" applyNumberFormat="1" applyFill="1" applyBorder="1" applyAlignment="1" applyProtection="1">
      <alignment vertical="center"/>
      <protection hidden="1"/>
    </xf>
    <xf numFmtId="0" fontId="2" fillId="2" borderId="0" xfId="0" applyFont="1" applyFill="1" applyBorder="1" applyAlignment="1" applyProtection="1">
      <alignment horizontal="left" vertical="top" wrapText="1" indent="3"/>
      <protection hidden="1"/>
    </xf>
    <xf numFmtId="0" fontId="1" fillId="7" borderId="0" xfId="0" applyFont="1" applyFill="1" applyBorder="1" applyAlignment="1" applyProtection="1">
      <alignment horizontal="center"/>
      <protection hidden="1"/>
    </xf>
    <xf numFmtId="0" fontId="2" fillId="31" borderId="0" xfId="0" applyFont="1" applyFill="1" applyProtection="1">
      <protection hidden="1"/>
    </xf>
    <xf numFmtId="0" fontId="1" fillId="5" borderId="0" xfId="0" applyFont="1" applyFill="1" applyAlignment="1" applyProtection="1">
      <alignment horizontal="center"/>
      <protection locked="0" hidden="1"/>
    </xf>
    <xf numFmtId="0" fontId="1" fillId="5" borderId="0" xfId="0" applyFont="1" applyFill="1" applyProtection="1">
      <protection hidden="1"/>
    </xf>
    <xf numFmtId="0" fontId="1" fillId="31" borderId="0" xfId="0" applyFont="1" applyFill="1" applyAlignment="1" applyProtection="1">
      <alignment horizontal="center"/>
      <protection hidden="1"/>
    </xf>
    <xf numFmtId="0" fontId="2" fillId="2" borderId="0" xfId="0" applyFont="1" applyFill="1" applyBorder="1" applyAlignment="1" applyProtection="1">
      <alignment vertical="top" wrapText="1"/>
      <protection hidden="1"/>
    </xf>
    <xf numFmtId="0" fontId="9" fillId="0" borderId="0" xfId="0" applyFont="1" applyFill="1" applyAlignment="1" applyProtection="1">
      <protection hidden="1"/>
    </xf>
    <xf numFmtId="0" fontId="0" fillId="28" borderId="0" xfId="0" applyFill="1" applyAlignment="1" applyProtection="1">
      <alignment horizontal="left"/>
      <protection hidden="1"/>
    </xf>
    <xf numFmtId="0" fontId="1" fillId="28" borderId="0" xfId="0" applyFont="1" applyFill="1" applyAlignment="1" applyProtection="1">
      <alignment horizontal="left"/>
      <protection hidden="1"/>
    </xf>
    <xf numFmtId="0" fontId="0" fillId="32" borderId="0" xfId="0" applyFill="1" applyProtection="1">
      <protection hidden="1"/>
    </xf>
    <xf numFmtId="0" fontId="0" fillId="32" borderId="0" xfId="0" applyFill="1" applyAlignment="1" applyProtection="1">
      <alignment horizontal="center"/>
      <protection hidden="1"/>
    </xf>
    <xf numFmtId="0" fontId="1" fillId="32" borderId="0" xfId="0" applyFont="1" applyFill="1" applyAlignment="1" applyProtection="1">
      <alignment horizontal="center"/>
      <protection hidden="1"/>
    </xf>
    <xf numFmtId="0" fontId="1" fillId="32" borderId="0" xfId="0" applyFont="1" applyFill="1" applyAlignment="1" applyProtection="1">
      <alignment horizontal="left"/>
      <protection hidden="1"/>
    </xf>
    <xf numFmtId="0" fontId="0" fillId="12" borderId="0" xfId="0" applyFont="1" applyFill="1" applyBorder="1" applyAlignment="1" applyProtection="1">
      <alignment horizontal="center"/>
      <protection hidden="1"/>
    </xf>
    <xf numFmtId="0" fontId="0" fillId="3" borderId="0" xfId="0" applyFill="1" applyBorder="1" applyAlignment="1" applyProtection="1">
      <alignment horizontal="left"/>
      <protection hidden="1"/>
    </xf>
    <xf numFmtId="0" fontId="19" fillId="2" borderId="0" xfId="0" applyFont="1" applyFill="1" applyBorder="1" applyProtection="1">
      <protection hidden="1"/>
    </xf>
    <xf numFmtId="0" fontId="16" fillId="27" borderId="0" xfId="0" applyFont="1" applyFill="1" applyAlignment="1" applyProtection="1">
      <alignment horizontal="center"/>
      <protection hidden="1"/>
    </xf>
    <xf numFmtId="0" fontId="20" fillId="27" borderId="0" xfId="0" applyFont="1" applyFill="1" applyAlignment="1" applyProtection="1">
      <alignment horizontal="center"/>
      <protection hidden="1"/>
    </xf>
    <xf numFmtId="0" fontId="12" fillId="27" borderId="0" xfId="0" applyFont="1" applyFill="1" applyAlignment="1" applyProtection="1">
      <alignment horizontal="center"/>
      <protection hidden="1"/>
    </xf>
    <xf numFmtId="0" fontId="20" fillId="27" borderId="0" xfId="0" applyFont="1" applyFill="1" applyAlignment="1" applyProtection="1">
      <alignment horizontal="left" indent="1"/>
      <protection hidden="1"/>
    </xf>
    <xf numFmtId="0" fontId="1" fillId="21" borderId="0" xfId="0" applyFont="1" applyFill="1" applyAlignment="1" applyProtection="1">
      <alignment horizontal="right"/>
      <protection hidden="1"/>
    </xf>
    <xf numFmtId="0" fontId="0" fillId="21" borderId="0" xfId="0" applyFill="1" applyAlignment="1" applyProtection="1">
      <alignment horizontal="right"/>
      <protection hidden="1"/>
    </xf>
    <xf numFmtId="0" fontId="0" fillId="21" borderId="0" xfId="0" applyFill="1" applyAlignment="1" applyProtection="1">
      <alignment horizontal="left"/>
      <protection hidden="1"/>
    </xf>
    <xf numFmtId="0" fontId="0" fillId="19" borderId="22" xfId="0" applyFill="1" applyBorder="1" applyAlignment="1" applyProtection="1">
      <alignment horizontal="center"/>
      <protection hidden="1"/>
    </xf>
    <xf numFmtId="0" fontId="0" fillId="19" borderId="20" xfId="0" applyFill="1" applyBorder="1" applyAlignment="1" applyProtection="1">
      <alignment horizontal="center"/>
      <protection hidden="1"/>
    </xf>
    <xf numFmtId="0" fontId="12" fillId="19" borderId="19" xfId="0" applyFont="1" applyFill="1" applyBorder="1" applyAlignment="1" applyProtection="1">
      <alignment horizontal="center"/>
      <protection hidden="1"/>
    </xf>
    <xf numFmtId="0" fontId="12" fillId="19" borderId="0" xfId="0" applyFont="1" applyFill="1" applyBorder="1" applyAlignment="1" applyProtection="1">
      <alignment horizontal="center"/>
      <protection hidden="1"/>
    </xf>
    <xf numFmtId="0" fontId="12" fillId="19" borderId="21" xfId="0" applyFont="1" applyFill="1" applyBorder="1" applyAlignment="1" applyProtection="1">
      <alignment horizontal="center"/>
      <protection hidden="1"/>
    </xf>
    <xf numFmtId="0" fontId="7" fillId="19" borderId="2" xfId="0" applyFont="1" applyFill="1" applyBorder="1" applyAlignment="1" applyProtection="1">
      <alignment textRotation="90"/>
      <protection hidden="1"/>
    </xf>
    <xf numFmtId="0" fontId="7" fillId="19" borderId="0" xfId="0" applyFont="1" applyFill="1" applyAlignment="1" applyProtection="1">
      <alignment textRotation="90"/>
      <protection hidden="1"/>
    </xf>
    <xf numFmtId="1" fontId="0" fillId="19" borderId="2" xfId="0" applyNumberFormat="1" applyFill="1" applyBorder="1" applyAlignment="1" applyProtection="1">
      <alignment horizontal="center"/>
      <protection hidden="1"/>
    </xf>
    <xf numFmtId="1" fontId="0" fillId="19" borderId="16" xfId="0" applyNumberFormat="1" applyFill="1" applyBorder="1" applyAlignment="1" applyProtection="1">
      <alignment horizontal="center"/>
      <protection hidden="1"/>
    </xf>
    <xf numFmtId="1" fontId="0" fillId="19" borderId="0" xfId="0" applyNumberFormat="1" applyFill="1" applyBorder="1" applyAlignment="1" applyProtection="1">
      <alignment horizontal="center"/>
      <protection hidden="1"/>
    </xf>
    <xf numFmtId="1" fontId="0" fillId="19" borderId="23" xfId="0" applyNumberFormat="1" applyFill="1" applyBorder="1" applyAlignment="1" applyProtection="1">
      <alignment horizontal="center"/>
      <protection hidden="1"/>
    </xf>
    <xf numFmtId="1" fontId="0" fillId="19" borderId="3" xfId="0" applyNumberFormat="1" applyFill="1" applyBorder="1" applyAlignment="1" applyProtection="1">
      <alignment horizontal="center"/>
      <protection hidden="1"/>
    </xf>
    <xf numFmtId="0" fontId="12" fillId="19" borderId="3" xfId="0" applyFont="1" applyFill="1" applyBorder="1" applyAlignment="1" applyProtection="1">
      <alignment horizontal="center"/>
      <protection hidden="1"/>
    </xf>
    <xf numFmtId="1" fontId="0" fillId="19" borderId="5" xfId="0" applyNumberFormat="1" applyFill="1" applyBorder="1" applyAlignment="1" applyProtection="1">
      <alignment horizontal="right"/>
      <protection hidden="1"/>
    </xf>
    <xf numFmtId="1" fontId="0" fillId="19" borderId="6" xfId="0" applyNumberFormat="1" applyFill="1" applyBorder="1" applyAlignment="1" applyProtection="1">
      <alignment horizontal="right"/>
      <protection hidden="1"/>
    </xf>
    <xf numFmtId="1" fontId="0" fillId="19" borderId="7" xfId="0" applyNumberFormat="1" applyFill="1" applyBorder="1" applyAlignment="1" applyProtection="1">
      <alignment horizontal="right"/>
      <protection hidden="1"/>
    </xf>
    <xf numFmtId="0" fontId="0" fillId="19" borderId="5" xfId="0" applyFill="1" applyBorder="1" applyAlignment="1" applyProtection="1">
      <alignment horizontal="center" vertical="center"/>
      <protection hidden="1"/>
    </xf>
    <xf numFmtId="0" fontId="0" fillId="19" borderId="6" xfId="0" applyFill="1" applyBorder="1" applyAlignment="1" applyProtection="1">
      <alignment horizontal="center" vertical="center"/>
      <protection hidden="1"/>
    </xf>
    <xf numFmtId="0" fontId="0" fillId="19" borderId="7" xfId="0" applyFill="1" applyBorder="1" applyAlignment="1" applyProtection="1">
      <alignment horizontal="center" vertical="center"/>
      <protection hidden="1"/>
    </xf>
    <xf numFmtId="0" fontId="0" fillId="4" borderId="0" xfId="0" applyFill="1" applyAlignment="1" applyProtection="1">
      <alignment horizontal="right"/>
      <protection hidden="1"/>
    </xf>
    <xf numFmtId="0" fontId="0" fillId="28" borderId="0" xfId="0" applyFill="1" applyAlignment="1" applyProtection="1">
      <alignment horizontal="right"/>
      <protection hidden="1"/>
    </xf>
    <xf numFmtId="1" fontId="0" fillId="28" borderId="0" xfId="0" applyNumberFormat="1" applyFill="1" applyAlignment="1" applyProtection="1">
      <alignment horizontal="right"/>
      <protection hidden="1"/>
    </xf>
    <xf numFmtId="0" fontId="0" fillId="19" borderId="22" xfId="0" applyFill="1" applyBorder="1" applyAlignment="1" applyProtection="1">
      <alignment horizontal="center" vertical="center"/>
      <protection hidden="1"/>
    </xf>
    <xf numFmtId="0" fontId="0" fillId="19" borderId="20" xfId="0" applyFill="1" applyBorder="1" applyAlignment="1" applyProtection="1">
      <alignment horizontal="center" vertical="center"/>
      <protection hidden="1"/>
    </xf>
    <xf numFmtId="0" fontId="0" fillId="19" borderId="19" xfId="0" applyFill="1" applyBorder="1" applyAlignment="1" applyProtection="1">
      <alignment horizontal="center" vertical="center"/>
      <protection hidden="1"/>
    </xf>
    <xf numFmtId="0" fontId="0" fillId="25" borderId="0" xfId="0" applyFill="1" applyAlignment="1" applyProtection="1">
      <alignment horizontal="center"/>
      <protection hidden="1"/>
    </xf>
    <xf numFmtId="1" fontId="0" fillId="25" borderId="0" xfId="0" applyNumberFormat="1" applyFill="1" applyAlignment="1" applyProtection="1">
      <alignment horizontal="center" vertical="center"/>
      <protection hidden="1"/>
    </xf>
    <xf numFmtId="0" fontId="0" fillId="23" borderId="2" xfId="0" applyFill="1" applyBorder="1" applyProtection="1">
      <protection hidden="1"/>
    </xf>
    <xf numFmtId="0" fontId="0" fillId="23" borderId="0" xfId="0" applyFill="1" applyBorder="1" applyProtection="1">
      <protection hidden="1"/>
    </xf>
    <xf numFmtId="0" fontId="0" fillId="23" borderId="3" xfId="0" applyFill="1" applyBorder="1" applyProtection="1">
      <protection hidden="1"/>
    </xf>
    <xf numFmtId="0" fontId="0" fillId="15" borderId="0" xfId="0" applyFill="1" applyBorder="1" applyProtection="1">
      <protection hidden="1"/>
    </xf>
    <xf numFmtId="0" fontId="0" fillId="15" borderId="20" xfId="0" applyFill="1" applyBorder="1" applyProtection="1">
      <protection hidden="1"/>
    </xf>
    <xf numFmtId="0" fontId="0" fillId="15" borderId="3" xfId="0" applyFill="1" applyBorder="1" applyProtection="1">
      <protection hidden="1"/>
    </xf>
    <xf numFmtId="0" fontId="0" fillId="15" borderId="19" xfId="0" applyFill="1" applyBorder="1" applyProtection="1">
      <protection hidden="1"/>
    </xf>
    <xf numFmtId="0" fontId="0" fillId="10" borderId="0" xfId="0" applyFill="1" applyBorder="1" applyProtection="1">
      <protection hidden="1"/>
    </xf>
    <xf numFmtId="0" fontId="0" fillId="31" borderId="0" xfId="0" applyFill="1" applyProtection="1">
      <protection hidden="1"/>
    </xf>
    <xf numFmtId="0" fontId="41" fillId="5" borderId="0" xfId="0" applyFont="1" applyFill="1" applyAlignment="1" applyProtection="1">
      <alignment horizontal="center"/>
      <protection hidden="1"/>
    </xf>
    <xf numFmtId="0" fontId="11" fillId="5" borderId="0" xfId="0" applyFont="1" applyFill="1" applyAlignment="1" applyProtection="1">
      <alignment horizontal="center"/>
      <protection hidden="1"/>
    </xf>
    <xf numFmtId="0" fontId="1" fillId="5" borderId="0" xfId="0" applyFont="1" applyFill="1" applyAlignment="1" applyProtection="1">
      <alignment horizontal="left"/>
      <protection hidden="1"/>
    </xf>
    <xf numFmtId="0" fontId="2" fillId="14" borderId="0" xfId="0" applyFont="1" applyFill="1" applyAlignment="1" applyProtection="1">
      <alignment horizontal="left" indent="1"/>
      <protection hidden="1"/>
    </xf>
    <xf numFmtId="0" fontId="2" fillId="14" borderId="0" xfId="0" applyFont="1" applyFill="1" applyAlignment="1" applyProtection="1">
      <alignment horizontal="center"/>
      <protection hidden="1"/>
    </xf>
    <xf numFmtId="0" fontId="0" fillId="14" borderId="0" xfId="0" applyFont="1" applyFill="1" applyProtection="1">
      <protection hidden="1"/>
    </xf>
    <xf numFmtId="0" fontId="2" fillId="14" borderId="0" xfId="0" applyFont="1" applyFill="1" applyAlignment="1" applyProtection="1">
      <alignment horizontal="right"/>
      <protection hidden="1"/>
    </xf>
    <xf numFmtId="0" fontId="9" fillId="14" borderId="0" xfId="0" applyFont="1" applyFill="1" applyAlignment="1" applyProtection="1">
      <alignment horizontal="left"/>
      <protection hidden="1"/>
    </xf>
    <xf numFmtId="0" fontId="9" fillId="14" borderId="0" xfId="0" applyFont="1" applyFill="1" applyAlignment="1" applyProtection="1">
      <alignment horizontal="center"/>
      <protection hidden="1"/>
    </xf>
    <xf numFmtId="0" fontId="21" fillId="14" borderId="0" xfId="0" applyFont="1" applyFill="1" applyProtection="1">
      <protection hidden="1"/>
    </xf>
    <xf numFmtId="0" fontId="0" fillId="34" borderId="0" xfId="0" applyFill="1" applyProtection="1">
      <protection hidden="1"/>
    </xf>
    <xf numFmtId="0" fontId="0" fillId="35" borderId="0" xfId="0" applyFill="1" applyProtection="1">
      <protection hidden="1"/>
    </xf>
    <xf numFmtId="0" fontId="0" fillId="36" borderId="0" xfId="0" applyFill="1" applyProtection="1">
      <protection hidden="1"/>
    </xf>
    <xf numFmtId="0" fontId="0" fillId="37" borderId="0" xfId="0" applyFill="1" applyProtection="1">
      <protection hidden="1"/>
    </xf>
    <xf numFmtId="165" fontId="5" fillId="2" borderId="0" xfId="0" applyNumberFormat="1" applyFont="1" applyFill="1" applyBorder="1" applyAlignment="1" applyProtection="1">
      <alignment horizontal="center"/>
      <protection hidden="1"/>
    </xf>
    <xf numFmtId="20" fontId="5" fillId="2" borderId="0" xfId="0" applyNumberFormat="1" applyFont="1" applyFill="1" applyBorder="1" applyAlignment="1" applyProtection="1">
      <alignment horizontal="right"/>
      <protection hidden="1"/>
    </xf>
    <xf numFmtId="20" fontId="5" fillId="2" borderId="0" xfId="0" applyNumberFormat="1" applyFont="1" applyFill="1" applyBorder="1" applyAlignment="1" applyProtection="1">
      <alignment horizontal="left"/>
      <protection hidden="1"/>
    </xf>
    <xf numFmtId="0" fontId="11" fillId="12" borderId="0" xfId="0" applyFont="1" applyFill="1" applyAlignment="1" applyProtection="1">
      <alignment horizontal="center" vertical="center"/>
      <protection hidden="1"/>
    </xf>
    <xf numFmtId="0" fontId="11" fillId="11" borderId="0" xfId="0" applyFont="1" applyFill="1" applyProtection="1">
      <protection hidden="1"/>
    </xf>
    <xf numFmtId="0" fontId="11" fillId="11" borderId="0" xfId="0" applyFont="1" applyFill="1" applyAlignment="1" applyProtection="1">
      <alignment vertical="top" wrapText="1"/>
      <protection hidden="1"/>
    </xf>
    <xf numFmtId="0" fontId="11" fillId="11" borderId="0" xfId="0" applyFont="1" applyFill="1" applyAlignment="1" applyProtection="1">
      <alignment horizontal="right"/>
      <protection hidden="1"/>
    </xf>
    <xf numFmtId="0" fontId="11" fillId="11" borderId="1" xfId="0" applyFont="1" applyFill="1" applyBorder="1" applyAlignment="1" applyProtection="1">
      <alignment horizontal="center" vertical="top" wrapText="1"/>
      <protection hidden="1"/>
    </xf>
    <xf numFmtId="0" fontId="11" fillId="11" borderId="0" xfId="0" applyFont="1" applyFill="1" applyAlignment="1" applyProtection="1">
      <protection hidden="1"/>
    </xf>
    <xf numFmtId="0" fontId="11" fillId="11" borderId="0" xfId="0" applyFont="1" applyFill="1" applyAlignment="1" applyProtection="1">
      <alignment vertical="top"/>
      <protection hidden="1"/>
    </xf>
    <xf numFmtId="0" fontId="16" fillId="11" borderId="0" xfId="0" applyFont="1" applyFill="1" applyAlignment="1" applyProtection="1">
      <alignment horizontal="right"/>
      <protection hidden="1"/>
    </xf>
    <xf numFmtId="0" fontId="16" fillId="11" borderId="0" xfId="0" applyFont="1" applyFill="1" applyAlignment="1" applyProtection="1">
      <alignment horizontal="center"/>
      <protection hidden="1"/>
    </xf>
    <xf numFmtId="0" fontId="1" fillId="11" borderId="0" xfId="0" applyFont="1" applyFill="1" applyAlignment="1" applyProtection="1">
      <alignment horizontal="right"/>
      <protection hidden="1"/>
    </xf>
    <xf numFmtId="0" fontId="1" fillId="11" borderId="0" xfId="0" applyFont="1" applyFill="1" applyAlignment="1" applyProtection="1">
      <alignment horizontal="center"/>
      <protection hidden="1"/>
    </xf>
    <xf numFmtId="0" fontId="0" fillId="27" borderId="1" xfId="0"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4" borderId="0" xfId="0" applyFill="1" applyAlignment="1" applyProtection="1">
      <alignment horizontal="center"/>
      <protection hidden="1"/>
    </xf>
    <xf numFmtId="0" fontId="1" fillId="27" borderId="0" xfId="0" applyFont="1" applyFill="1" applyBorder="1" applyAlignment="1" applyProtection="1">
      <alignment horizontal="center"/>
      <protection hidden="1"/>
    </xf>
    <xf numFmtId="0" fontId="1" fillId="27" borderId="0" xfId="0" applyFont="1" applyFill="1" applyAlignment="1" applyProtection="1">
      <alignment horizontal="center"/>
      <protection hidden="1"/>
    </xf>
    <xf numFmtId="0" fontId="0" fillId="19" borderId="0" xfId="0" applyFill="1" applyBorder="1" applyAlignment="1" applyProtection="1">
      <alignment horizontal="center" vertical="center"/>
      <protection hidden="1"/>
    </xf>
    <xf numFmtId="0" fontId="0" fillId="10" borderId="0" xfId="0" applyFill="1" applyAlignment="1" applyProtection="1">
      <alignment horizontal="center"/>
      <protection hidden="1"/>
    </xf>
    <xf numFmtId="0" fontId="1" fillId="10" borderId="0" xfId="0" applyFont="1" applyFill="1" applyAlignment="1" applyProtection="1">
      <alignment horizontal="center"/>
      <protection hidden="1"/>
    </xf>
    <xf numFmtId="0" fontId="1" fillId="20" borderId="0" xfId="0" applyFont="1" applyFill="1" applyAlignment="1" applyProtection="1">
      <alignment horizontal="center"/>
      <protection hidden="1"/>
    </xf>
    <xf numFmtId="0" fontId="0" fillId="20" borderId="0" xfId="0" applyFill="1" applyAlignment="1" applyProtection="1">
      <alignment horizontal="center"/>
      <protection hidden="1"/>
    </xf>
    <xf numFmtId="0" fontId="0" fillId="38" borderId="0" xfId="0" applyFill="1" applyAlignment="1" applyProtection="1">
      <alignment horizontal="center"/>
      <protection hidden="1"/>
    </xf>
    <xf numFmtId="0" fontId="0" fillId="38" borderId="0" xfId="0" applyFill="1" applyAlignment="1" applyProtection="1">
      <alignment horizontal="right"/>
      <protection hidden="1"/>
    </xf>
    <xf numFmtId="0" fontId="0" fillId="38" borderId="0" xfId="0" applyFill="1" applyAlignment="1" applyProtection="1">
      <alignment horizontal="left"/>
      <protection hidden="1"/>
    </xf>
    <xf numFmtId="0" fontId="1" fillId="38" borderId="0" xfId="0" applyFont="1" applyFill="1" applyAlignment="1" applyProtection="1">
      <alignment horizontal="left"/>
      <protection hidden="1"/>
    </xf>
    <xf numFmtId="0" fontId="1" fillId="38" borderId="0" xfId="0" applyFont="1" applyFill="1" applyAlignment="1" applyProtection="1">
      <alignment horizontal="right"/>
      <protection hidden="1"/>
    </xf>
    <xf numFmtId="0" fontId="0" fillId="10" borderId="0" xfId="0" applyFill="1" applyAlignment="1" applyProtection="1">
      <alignment horizontal="center"/>
      <protection hidden="1"/>
    </xf>
    <xf numFmtId="0" fontId="11" fillId="5" borderId="0" xfId="0" applyFont="1" applyFill="1" applyAlignment="1" applyProtection="1">
      <alignment horizontal="center"/>
      <protection locked="0" hidden="1"/>
    </xf>
    <xf numFmtId="0" fontId="45" fillId="38" borderId="0" xfId="0" applyFont="1" applyFill="1" applyAlignment="1" applyProtection="1">
      <alignment horizontal="left" vertical="center"/>
      <protection hidden="1"/>
    </xf>
    <xf numFmtId="0" fontId="45" fillId="38" borderId="0" xfId="0" applyFont="1" applyFill="1" applyAlignment="1" applyProtection="1">
      <alignment horizontal="left"/>
      <protection hidden="1"/>
    </xf>
    <xf numFmtId="0" fontId="47" fillId="16" borderId="0" xfId="0" applyFont="1" applyFill="1" applyProtection="1">
      <protection hidden="1"/>
    </xf>
    <xf numFmtId="0" fontId="48" fillId="16" borderId="0" xfId="0" applyFont="1" applyFill="1" applyProtection="1">
      <protection hidden="1"/>
    </xf>
    <xf numFmtId="0" fontId="0" fillId="4" borderId="0" xfId="0" applyFill="1" applyAlignment="1" applyProtection="1">
      <protection hidden="1"/>
    </xf>
    <xf numFmtId="0" fontId="0" fillId="2" borderId="0" xfId="0" applyFill="1" applyAlignment="1" applyProtection="1">
      <protection hidden="1"/>
    </xf>
    <xf numFmtId="0" fontId="0" fillId="2" borderId="4" xfId="0" applyFill="1" applyBorder="1" applyAlignment="1" applyProtection="1">
      <protection hidden="1"/>
    </xf>
    <xf numFmtId="0" fontId="0" fillId="38" borderId="0" xfId="0" applyFont="1" applyFill="1" applyAlignment="1" applyProtection="1">
      <alignment horizontal="left"/>
      <protection hidden="1"/>
    </xf>
    <xf numFmtId="0" fontId="0" fillId="38" borderId="0" xfId="0" applyFont="1" applyFill="1" applyAlignment="1" applyProtection="1">
      <alignment horizontal="left" vertical="center"/>
      <protection hidden="1"/>
    </xf>
    <xf numFmtId="0" fontId="1" fillId="38" borderId="0" xfId="0" applyFont="1" applyFill="1" applyAlignment="1" applyProtection="1">
      <alignment horizontal="left" vertical="center"/>
      <protection hidden="1"/>
    </xf>
    <xf numFmtId="0" fontId="14" fillId="38" borderId="0" xfId="0" applyFont="1" applyFill="1" applyAlignment="1" applyProtection="1">
      <alignment horizontal="left" vertical="center"/>
      <protection hidden="1"/>
    </xf>
    <xf numFmtId="0" fontId="14" fillId="38" borderId="0" xfId="0" applyFont="1" applyFill="1" applyAlignment="1" applyProtection="1">
      <alignment horizontal="left"/>
      <protection hidden="1"/>
    </xf>
    <xf numFmtId="0" fontId="7" fillId="2" borderId="1" xfId="0" applyFont="1" applyFill="1" applyBorder="1" applyAlignment="1" applyProtection="1">
      <alignment horizontal="center"/>
      <protection hidden="1"/>
    </xf>
    <xf numFmtId="0" fontId="7" fillId="38" borderId="0" xfId="0" applyFont="1" applyFill="1" applyAlignment="1" applyProtection="1">
      <alignment horizontal="left"/>
      <protection hidden="1"/>
    </xf>
    <xf numFmtId="0" fontId="7" fillId="38" borderId="0" xfId="0" applyFont="1" applyFill="1" applyAlignment="1" applyProtection="1">
      <alignment horizontal="left" vertical="center"/>
      <protection hidden="1"/>
    </xf>
    <xf numFmtId="0" fontId="16" fillId="20" borderId="0" xfId="0" applyFont="1" applyFill="1" applyAlignment="1" applyProtection="1">
      <protection hidden="1"/>
    </xf>
    <xf numFmtId="0" fontId="52" fillId="20" borderId="0" xfId="0" applyFont="1" applyFill="1" applyAlignment="1" applyProtection="1">
      <alignment horizontal="center"/>
      <protection hidden="1"/>
    </xf>
    <xf numFmtId="0" fontId="53" fillId="20" borderId="0" xfId="0" applyFont="1" applyFill="1" applyAlignment="1" applyProtection="1">
      <alignment horizontal="center"/>
      <protection hidden="1"/>
    </xf>
    <xf numFmtId="13" fontId="53" fillId="20" borderId="0" xfId="0" applyNumberFormat="1" applyFont="1" applyFill="1" applyAlignment="1" applyProtection="1">
      <alignment horizontal="center" vertical="center"/>
      <protection hidden="1"/>
    </xf>
    <xf numFmtId="0" fontId="0" fillId="2" borderId="12" xfId="0" applyFill="1" applyBorder="1" applyAlignment="1" applyProtection="1">
      <alignment horizontal="center"/>
      <protection hidden="1"/>
    </xf>
    <xf numFmtId="0" fontId="11" fillId="5" borderId="21" xfId="0" applyFont="1" applyFill="1" applyBorder="1" applyProtection="1">
      <protection hidden="1"/>
    </xf>
    <xf numFmtId="0" fontId="17" fillId="5" borderId="2" xfId="0" applyFont="1" applyFill="1" applyBorder="1" applyProtection="1">
      <protection hidden="1"/>
    </xf>
    <xf numFmtId="0" fontId="54" fillId="5" borderId="22" xfId="0" applyFont="1" applyFill="1" applyBorder="1" applyAlignment="1" applyProtection="1">
      <alignment horizontal="center"/>
      <protection hidden="1"/>
    </xf>
    <xf numFmtId="0" fontId="11" fillId="5" borderId="2" xfId="0" applyFont="1" applyFill="1" applyBorder="1" applyProtection="1">
      <protection hidden="1"/>
    </xf>
    <xf numFmtId="0" fontId="11" fillId="5" borderId="16" xfId="0" applyFont="1" applyFill="1" applyBorder="1" applyProtection="1">
      <protection hidden="1"/>
    </xf>
    <xf numFmtId="0" fontId="11" fillId="5" borderId="0" xfId="0" applyFont="1" applyFill="1" applyBorder="1" applyAlignment="1" applyProtection="1">
      <alignment horizontal="center"/>
      <protection hidden="1"/>
    </xf>
    <xf numFmtId="0" fontId="11" fillId="5" borderId="20" xfId="0" applyFont="1" applyFill="1" applyBorder="1" applyAlignment="1" applyProtection="1">
      <alignment horizontal="center"/>
      <protection hidden="1"/>
    </xf>
    <xf numFmtId="0" fontId="11" fillId="5" borderId="23" xfId="0" applyFont="1" applyFill="1" applyBorder="1" applyProtection="1">
      <protection hidden="1"/>
    </xf>
    <xf numFmtId="0" fontId="11" fillId="5" borderId="3" xfId="0" applyFont="1" applyFill="1" applyBorder="1" applyAlignment="1" applyProtection="1">
      <alignment horizontal="center"/>
      <protection hidden="1"/>
    </xf>
    <xf numFmtId="0" fontId="11" fillId="5" borderId="19" xfId="0" applyFont="1" applyFill="1" applyBorder="1" applyAlignment="1" applyProtection="1">
      <alignment horizontal="center"/>
      <protection hidden="1"/>
    </xf>
    <xf numFmtId="0" fontId="11" fillId="5" borderId="0" xfId="0" applyFont="1" applyFill="1" applyProtection="1">
      <protection hidden="1"/>
    </xf>
    <xf numFmtId="0" fontId="16" fillId="5" borderId="22" xfId="0" applyFont="1" applyFill="1" applyBorder="1" applyAlignment="1" applyProtection="1">
      <alignment horizontal="center"/>
      <protection hidden="1"/>
    </xf>
    <xf numFmtId="0" fontId="7" fillId="38" borderId="0" xfId="0" applyFont="1" applyFill="1" applyAlignment="1" applyProtection="1">
      <alignment horizontal="center" vertical="center"/>
      <protection hidden="1"/>
    </xf>
    <xf numFmtId="0" fontId="7" fillId="38" borderId="0" xfId="0" applyFont="1" applyFill="1" applyAlignment="1" applyProtection="1">
      <alignment horizontal="right"/>
      <protection hidden="1"/>
    </xf>
    <xf numFmtId="166" fontId="5" fillId="13" borderId="0" xfId="0" applyNumberFormat="1" applyFont="1" applyFill="1" applyAlignment="1" applyProtection="1">
      <alignment horizontal="center"/>
      <protection hidden="1"/>
    </xf>
    <xf numFmtId="0" fontId="6" fillId="13" borderId="0" xfId="0" applyFont="1" applyFill="1" applyProtection="1">
      <protection hidden="1"/>
    </xf>
    <xf numFmtId="0" fontId="5" fillId="13" borderId="0" xfId="0" applyFont="1" applyFill="1" applyProtection="1">
      <protection hidden="1"/>
    </xf>
    <xf numFmtId="0" fontId="6" fillId="13" borderId="0" xfId="0" applyFont="1" applyFill="1" applyAlignment="1" applyProtection="1">
      <alignment horizontal="left"/>
      <protection hidden="1"/>
    </xf>
    <xf numFmtId="0" fontId="5" fillId="13" borderId="0" xfId="0" applyFont="1" applyFill="1" applyAlignment="1" applyProtection="1">
      <alignment horizontal="right"/>
      <protection hidden="1"/>
    </xf>
    <xf numFmtId="166" fontId="5" fillId="13" borderId="0" xfId="0" applyNumberFormat="1" applyFont="1" applyFill="1" applyProtection="1">
      <protection hidden="1"/>
    </xf>
    <xf numFmtId="0" fontId="5" fillId="20" borderId="0" xfId="0" applyFont="1" applyFill="1" applyProtection="1">
      <protection hidden="1"/>
    </xf>
    <xf numFmtId="0" fontId="5" fillId="20" borderId="0" xfId="0" applyFont="1" applyFill="1" applyAlignment="1" applyProtection="1">
      <alignment horizontal="right"/>
      <protection hidden="1"/>
    </xf>
    <xf numFmtId="166" fontId="5" fillId="20" borderId="0" xfId="0" applyNumberFormat="1" applyFont="1" applyFill="1" applyAlignment="1" applyProtection="1">
      <alignment horizontal="right"/>
      <protection hidden="1"/>
    </xf>
    <xf numFmtId="166" fontId="5" fillId="20" borderId="0" xfId="0" applyNumberFormat="1" applyFont="1" applyFill="1" applyProtection="1">
      <protection hidden="1"/>
    </xf>
    <xf numFmtId="0" fontId="5" fillId="13" borderId="0" xfId="0" applyFont="1" applyFill="1" applyAlignment="1" applyProtection="1">
      <alignment horizontal="left"/>
      <protection hidden="1"/>
    </xf>
    <xf numFmtId="0" fontId="5" fillId="22" borderId="21" xfId="0" applyFont="1" applyFill="1" applyBorder="1" applyAlignment="1" applyProtection="1">
      <alignment horizontal="center"/>
      <protection hidden="1"/>
    </xf>
    <xf numFmtId="0" fontId="5" fillId="22" borderId="22" xfId="0" applyFont="1" applyFill="1" applyBorder="1" applyAlignment="1" applyProtection="1">
      <alignment horizontal="center"/>
      <protection hidden="1"/>
    </xf>
    <xf numFmtId="0" fontId="5" fillId="22" borderId="23" xfId="0" applyFont="1" applyFill="1" applyBorder="1" applyAlignment="1" applyProtection="1">
      <alignment horizontal="center"/>
      <protection hidden="1"/>
    </xf>
    <xf numFmtId="0" fontId="5" fillId="22" borderId="19" xfId="0" applyFont="1" applyFill="1" applyBorder="1" applyAlignment="1" applyProtection="1">
      <alignment horizontal="center"/>
      <protection hidden="1"/>
    </xf>
    <xf numFmtId="0" fontId="5" fillId="16" borderId="0" xfId="0" applyFont="1" applyFill="1" applyBorder="1" applyAlignment="1" applyProtection="1">
      <alignment horizontal="center"/>
      <protection hidden="1"/>
    </xf>
    <xf numFmtId="0" fontId="5" fillId="12" borderId="0" xfId="0" applyFont="1" applyFill="1" applyBorder="1" applyAlignment="1" applyProtection="1">
      <alignment horizontal="center"/>
      <protection hidden="1"/>
    </xf>
    <xf numFmtId="0" fontId="5" fillId="12" borderId="0" xfId="0" applyFont="1" applyFill="1" applyBorder="1" applyProtection="1">
      <protection hidden="1"/>
    </xf>
    <xf numFmtId="0" fontId="5" fillId="12" borderId="0" xfId="0" applyFont="1" applyFill="1" applyBorder="1" applyAlignment="1" applyProtection="1">
      <alignment horizontal="left"/>
      <protection hidden="1"/>
    </xf>
    <xf numFmtId="0" fontId="0" fillId="8" borderId="0" xfId="0" applyFill="1" applyAlignment="1" applyProtection="1">
      <alignment horizontal="right"/>
      <protection hidden="1"/>
    </xf>
    <xf numFmtId="0" fontId="0" fillId="12" borderId="0" xfId="0" applyFill="1" applyBorder="1" applyProtection="1">
      <protection hidden="1"/>
    </xf>
    <xf numFmtId="0" fontId="0" fillId="8" borderId="0" xfId="0" applyFill="1" applyAlignment="1" applyProtection="1">
      <protection hidden="1"/>
    </xf>
    <xf numFmtId="0" fontId="6" fillId="24" borderId="0" xfId="0" applyFont="1" applyFill="1" applyBorder="1" applyProtection="1">
      <protection hidden="1"/>
    </xf>
    <xf numFmtId="0" fontId="5" fillId="24" borderId="0" xfId="0" applyFont="1" applyFill="1" applyBorder="1" applyProtection="1">
      <protection hidden="1"/>
    </xf>
    <xf numFmtId="0" fontId="45" fillId="11" borderId="0" xfId="0" applyFont="1" applyFill="1" applyAlignment="1" applyProtection="1">
      <alignment horizontal="left" vertical="center"/>
      <protection hidden="1"/>
    </xf>
    <xf numFmtId="0" fontId="57" fillId="13" borderId="0" xfId="0" applyFont="1" applyFill="1" applyProtection="1">
      <protection hidden="1"/>
    </xf>
    <xf numFmtId="0" fontId="7" fillId="38" borderId="1" xfId="0" applyFont="1" applyFill="1" applyBorder="1" applyAlignment="1" applyProtection="1">
      <alignment horizontal="center"/>
      <protection hidden="1"/>
    </xf>
    <xf numFmtId="0" fontId="5" fillId="13" borderId="0" xfId="0" applyFont="1" applyFill="1" applyAlignment="1" applyProtection="1">
      <protection hidden="1"/>
    </xf>
    <xf numFmtId="0" fontId="1" fillId="17" borderId="0" xfId="0" applyFont="1" applyFill="1" applyAlignment="1" applyProtection="1">
      <protection hidden="1"/>
    </xf>
    <xf numFmtId="0" fontId="15" fillId="25" borderId="0" xfId="0" applyFont="1" applyFill="1" applyAlignment="1" applyProtection="1">
      <alignment horizontal="center" vertical="center" wrapText="1"/>
      <protection hidden="1"/>
    </xf>
    <xf numFmtId="0" fontId="0" fillId="38" borderId="0" xfId="0" applyFill="1" applyAlignment="1" applyProtection="1">
      <alignment horizontal="center"/>
      <protection hidden="1"/>
    </xf>
    <xf numFmtId="0" fontId="39" fillId="2" borderId="2" xfId="0" applyFont="1" applyFill="1" applyBorder="1" applyProtection="1">
      <protection hidden="1"/>
    </xf>
    <xf numFmtId="0" fontId="0" fillId="2" borderId="0" xfId="0" applyFill="1" applyProtection="1">
      <protection hidden="1"/>
    </xf>
    <xf numFmtId="0" fontId="0" fillId="4" borderId="0" xfId="0" applyFill="1" applyProtection="1">
      <protection hidden="1"/>
    </xf>
    <xf numFmtId="0" fontId="0" fillId="2" borderId="10" xfId="0" applyFill="1" applyBorder="1" applyProtection="1">
      <protection hidden="1"/>
    </xf>
    <xf numFmtId="0" fontId="0" fillId="2" borderId="2" xfId="0" applyFill="1" applyBorder="1" applyProtection="1">
      <protection hidden="1"/>
    </xf>
    <xf numFmtId="0" fontId="0" fillId="2" borderId="11" xfId="0" applyFill="1"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2" borderId="0" xfId="0" applyFill="1" applyBorder="1" applyProtection="1">
      <protection hidden="1"/>
    </xf>
    <xf numFmtId="0" fontId="5" fillId="2" borderId="3" xfId="0" applyFont="1" applyFill="1" applyBorder="1" applyProtection="1">
      <protection hidden="1"/>
    </xf>
    <xf numFmtId="0" fontId="1" fillId="18" borderId="0" xfId="0" applyFont="1" applyFill="1" applyAlignment="1" applyProtection="1">
      <alignment horizontal="left"/>
      <protection hidden="1"/>
    </xf>
    <xf numFmtId="0" fontId="1" fillId="2" borderId="1" xfId="0" applyFont="1" applyFill="1" applyBorder="1" applyAlignment="1" applyProtection="1">
      <alignment horizontal="center" vertical="center"/>
      <protection hidden="1"/>
    </xf>
    <xf numFmtId="0" fontId="0" fillId="4" borderId="0" xfId="0" applyFill="1" applyAlignment="1" applyProtection="1">
      <alignment vertical="center"/>
      <protection hidden="1"/>
    </xf>
    <xf numFmtId="0" fontId="4" fillId="18" borderId="0" xfId="0" applyFont="1" applyFill="1" applyAlignment="1" applyProtection="1">
      <protection hidden="1"/>
    </xf>
    <xf numFmtId="0" fontId="23" fillId="2" borderId="0" xfId="0" applyFont="1" applyFill="1" applyBorder="1" applyProtection="1">
      <protection hidden="1"/>
    </xf>
    <xf numFmtId="0" fontId="1" fillId="18" borderId="0" xfId="0" applyFont="1" applyFill="1" applyAlignment="1" applyProtection="1">
      <alignment horizontal="right" indent="1"/>
      <protection hidden="1"/>
    </xf>
    <xf numFmtId="0" fontId="5" fillId="2" borderId="4" xfId="0" applyFont="1" applyFill="1" applyBorder="1" applyAlignment="1" applyProtection="1">
      <protection hidden="1"/>
    </xf>
    <xf numFmtId="0" fontId="58" fillId="33" borderId="36" xfId="0" applyFont="1" applyFill="1" applyBorder="1" applyAlignment="1" applyProtection="1">
      <alignment horizontal="center" vertical="center"/>
      <protection hidden="1"/>
    </xf>
    <xf numFmtId="0" fontId="58" fillId="33" borderId="37" xfId="0" applyFont="1" applyFill="1" applyBorder="1" applyAlignment="1" applyProtection="1">
      <alignment vertical="center"/>
      <protection hidden="1"/>
    </xf>
    <xf numFmtId="0" fontId="58" fillId="33" borderId="35" xfId="0" applyFont="1" applyFill="1" applyBorder="1" applyAlignment="1" applyProtection="1">
      <alignment horizontal="center" vertical="center"/>
      <protection hidden="1"/>
    </xf>
    <xf numFmtId="0" fontId="58" fillId="33" borderId="39" xfId="0" applyFont="1" applyFill="1" applyBorder="1" applyAlignment="1" applyProtection="1">
      <alignment horizontal="center" vertical="center"/>
      <protection hidden="1"/>
    </xf>
    <xf numFmtId="0" fontId="58" fillId="33" borderId="40" xfId="0" applyFont="1" applyFill="1" applyBorder="1" applyAlignment="1" applyProtection="1">
      <alignment vertical="center"/>
      <protection hidden="1"/>
    </xf>
    <xf numFmtId="0" fontId="58" fillId="33" borderId="38" xfId="0" applyFont="1" applyFill="1" applyBorder="1" applyAlignment="1" applyProtection="1">
      <alignment horizontal="center" vertical="center"/>
      <protection hidden="1"/>
    </xf>
    <xf numFmtId="0" fontId="58" fillId="33" borderId="42" xfId="0" applyFont="1" applyFill="1" applyBorder="1" applyAlignment="1" applyProtection="1">
      <alignment horizontal="center" vertical="center"/>
      <protection hidden="1"/>
    </xf>
    <xf numFmtId="0" fontId="58" fillId="33" borderId="43" xfId="0" applyFont="1" applyFill="1" applyBorder="1" applyAlignment="1" applyProtection="1">
      <alignment vertical="center"/>
      <protection hidden="1"/>
    </xf>
    <xf numFmtId="0" fontId="58" fillId="33" borderId="41" xfId="0" applyFont="1" applyFill="1" applyBorder="1" applyAlignment="1" applyProtection="1">
      <alignment horizontal="center" vertical="center"/>
      <protection hidden="1"/>
    </xf>
    <xf numFmtId="0" fontId="1" fillId="28" borderId="0" xfId="0" applyFont="1" applyFill="1" applyAlignment="1" applyProtection="1">
      <alignment horizontal="center"/>
      <protection hidden="1"/>
    </xf>
    <xf numFmtId="0" fontId="0" fillId="2" borderId="0" xfId="0" applyFill="1" applyProtection="1">
      <protection hidden="1"/>
    </xf>
    <xf numFmtId="0" fontId="0" fillId="2" borderId="10" xfId="0" applyFill="1" applyBorder="1" applyProtection="1">
      <protection hidden="1"/>
    </xf>
    <xf numFmtId="0" fontId="0" fillId="2" borderId="2" xfId="0" applyFill="1" applyBorder="1" applyProtection="1">
      <protection hidden="1"/>
    </xf>
    <xf numFmtId="0" fontId="0" fillId="2" borderId="11" xfId="0" applyFill="1" applyBorder="1" applyProtection="1">
      <protection hidden="1"/>
    </xf>
    <xf numFmtId="0" fontId="0" fillId="2" borderId="12" xfId="0" applyFill="1" applyBorder="1" applyProtection="1">
      <protection hidden="1"/>
    </xf>
    <xf numFmtId="0" fontId="4" fillId="2" borderId="0" xfId="0" applyFont="1" applyFill="1" applyBorder="1" applyProtection="1">
      <protection hidden="1"/>
    </xf>
    <xf numFmtId="0" fontId="0" fillId="2" borderId="13" xfId="0" applyFill="1" applyBorder="1" applyProtection="1">
      <protection hidden="1"/>
    </xf>
    <xf numFmtId="0" fontId="0" fillId="2" borderId="3" xfId="0" applyFill="1" applyBorder="1" applyProtection="1">
      <protection hidden="1"/>
    </xf>
    <xf numFmtId="0" fontId="0" fillId="2" borderId="0" xfId="0" applyFont="1" applyFill="1" applyBorder="1" applyProtection="1">
      <protection hidden="1"/>
    </xf>
    <xf numFmtId="0" fontId="0" fillId="2" borderId="14" xfId="0" applyFill="1" applyBorder="1" applyProtection="1">
      <protection hidden="1"/>
    </xf>
    <xf numFmtId="0" fontId="0" fillId="2" borderId="15" xfId="0" applyFill="1" applyBorder="1" applyProtection="1">
      <protection hidden="1"/>
    </xf>
    <xf numFmtId="164" fontId="5" fillId="2" borderId="0" xfId="0" applyNumberFormat="1" applyFont="1" applyFill="1" applyBorder="1" applyAlignment="1" applyProtection="1">
      <alignment horizontal="center"/>
      <protection hidden="1"/>
    </xf>
    <xf numFmtId="20" fontId="5" fillId="2" borderId="0" xfId="0" applyNumberFormat="1" applyFont="1" applyFill="1" applyBorder="1" applyAlignment="1" applyProtection="1">
      <alignment horizontal="center"/>
      <protection hidden="1"/>
    </xf>
    <xf numFmtId="0" fontId="0" fillId="2" borderId="0" xfId="0" applyFill="1" applyBorder="1" applyProtection="1">
      <protection hidden="1"/>
    </xf>
    <xf numFmtId="0" fontId="1" fillId="2" borderId="0" xfId="0" applyFont="1" applyFill="1" applyBorder="1" applyAlignment="1" applyProtection="1">
      <alignment horizontal="right"/>
      <protection hidden="1"/>
    </xf>
    <xf numFmtId="0" fontId="1" fillId="2" borderId="0" xfId="0" applyFont="1" applyFill="1" applyBorder="1" applyProtection="1">
      <protection hidden="1"/>
    </xf>
    <xf numFmtId="0" fontId="22" fillId="4" borderId="0" xfId="0" applyFont="1" applyFill="1" applyProtection="1">
      <protection hidden="1"/>
    </xf>
    <xf numFmtId="0" fontId="9" fillId="2" borderId="0" xfId="0" applyFont="1" applyFill="1" applyBorder="1" applyAlignment="1" applyProtection="1">
      <protection hidden="1"/>
    </xf>
    <xf numFmtId="0" fontId="1" fillId="2" borderId="1" xfId="0" applyFont="1" applyFill="1" applyBorder="1" applyAlignment="1" applyProtection="1">
      <alignment horizontal="center" vertical="center"/>
      <protection hidden="1"/>
    </xf>
    <xf numFmtId="0" fontId="5" fillId="2" borderId="0" xfId="0" applyNumberFormat="1" applyFont="1" applyFill="1" applyBorder="1" applyAlignment="1" applyProtection="1">
      <alignment horizontal="center"/>
      <protection hidden="1"/>
    </xf>
    <xf numFmtId="0" fontId="2" fillId="2" borderId="13" xfId="0" applyFont="1" applyFill="1" applyBorder="1" applyAlignment="1" applyProtection="1">
      <alignment vertical="top" wrapText="1"/>
      <protection hidden="1"/>
    </xf>
    <xf numFmtId="1" fontId="2" fillId="3" borderId="4" xfId="0" applyNumberFormat="1" applyFont="1" applyFill="1" applyBorder="1" applyAlignment="1" applyProtection="1">
      <alignment horizontal="center"/>
      <protection locked="0" hidden="1"/>
    </xf>
    <xf numFmtId="0" fontId="1" fillId="2" borderId="2" xfId="0" applyFont="1" applyFill="1" applyBorder="1" applyProtection="1">
      <protection hidden="1"/>
    </xf>
    <xf numFmtId="0" fontId="1" fillId="18" borderId="0" xfId="0" applyFont="1" applyFill="1" applyAlignment="1" applyProtection="1">
      <alignment vertical="center" wrapText="1"/>
      <protection hidden="1"/>
    </xf>
    <xf numFmtId="0" fontId="1" fillId="2" borderId="1" xfId="0" applyFont="1" applyFill="1" applyBorder="1" applyAlignment="1" applyProtection="1">
      <alignment horizontal="center" vertical="center" wrapText="1"/>
      <protection hidden="1"/>
    </xf>
    <xf numFmtId="0" fontId="5" fillId="38" borderId="0" xfId="0" applyFont="1" applyFill="1" applyProtection="1">
      <protection hidden="1"/>
    </xf>
    <xf numFmtId="0" fontId="0" fillId="4" borderId="0" xfId="0" applyFill="1" applyProtection="1">
      <protection hidden="1"/>
    </xf>
    <xf numFmtId="0" fontId="0" fillId="2" borderId="0" xfId="0" applyFill="1" applyBorder="1" applyProtection="1">
      <protection hidden="1"/>
    </xf>
    <xf numFmtId="0" fontId="0" fillId="2" borderId="0" xfId="0" applyFill="1" applyProtection="1">
      <protection hidden="1"/>
    </xf>
    <xf numFmtId="0" fontId="20" fillId="16" borderId="0" xfId="0" applyFont="1" applyFill="1" applyProtection="1">
      <protection hidden="1"/>
    </xf>
    <xf numFmtId="0" fontId="17" fillId="5" borderId="0" xfId="0" applyFont="1" applyFill="1" applyAlignment="1" applyProtection="1">
      <alignment horizontal="center"/>
      <protection hidden="1"/>
    </xf>
    <xf numFmtId="0" fontId="0" fillId="14" borderId="0" xfId="0" applyFill="1" applyAlignment="1" applyProtection="1">
      <alignment horizontal="left"/>
      <protection hidden="1"/>
    </xf>
    <xf numFmtId="0" fontId="0" fillId="2" borderId="7" xfId="0" applyNumberFormat="1" applyFill="1" applyBorder="1" applyAlignment="1" applyProtection="1">
      <alignment horizontal="left"/>
      <protection hidden="1"/>
    </xf>
    <xf numFmtId="0" fontId="0" fillId="6" borderId="0" xfId="0" applyFill="1" applyBorder="1" applyAlignment="1" applyProtection="1">
      <alignment horizontal="left" indent="1"/>
      <protection hidden="1"/>
    </xf>
    <xf numFmtId="0" fontId="0" fillId="6" borderId="0" xfId="0" applyFont="1" applyFill="1" applyBorder="1" applyAlignment="1" applyProtection="1">
      <alignment horizontal="left"/>
      <protection hidden="1"/>
    </xf>
    <xf numFmtId="0" fontId="12" fillId="6" borderId="19" xfId="0" applyFont="1" applyFill="1" applyBorder="1" applyProtection="1">
      <protection hidden="1"/>
    </xf>
    <xf numFmtId="0" fontId="0" fillId="13" borderId="3" xfId="0" applyFill="1" applyBorder="1" applyProtection="1">
      <protection hidden="1"/>
    </xf>
    <xf numFmtId="0" fontId="0" fillId="13" borderId="0" xfId="0" applyFill="1" applyBorder="1" applyProtection="1">
      <protection hidden="1"/>
    </xf>
    <xf numFmtId="0" fontId="12" fillId="2" borderId="0" xfId="0" applyFont="1" applyFill="1" applyBorder="1" applyProtection="1">
      <protection hidden="1"/>
    </xf>
    <xf numFmtId="0" fontId="11" fillId="7" borderId="0" xfId="0" applyFont="1" applyFill="1" applyAlignment="1" applyProtection="1">
      <alignment horizontal="center"/>
      <protection hidden="1"/>
    </xf>
    <xf numFmtId="0" fontId="0" fillId="3" borderId="16" xfId="0" applyFill="1" applyBorder="1" applyProtection="1">
      <protection hidden="1"/>
    </xf>
    <xf numFmtId="0" fontId="0" fillId="10" borderId="21" xfId="0" applyFill="1" applyBorder="1" applyAlignment="1" applyProtection="1">
      <alignment horizontal="center"/>
      <protection hidden="1"/>
    </xf>
    <xf numFmtId="0" fontId="0" fillId="10" borderId="2" xfId="0" applyFill="1" applyBorder="1" applyProtection="1">
      <protection hidden="1"/>
    </xf>
    <xf numFmtId="0" fontId="0" fillId="10" borderId="16" xfId="0" applyFill="1" applyBorder="1" applyAlignment="1" applyProtection="1">
      <alignment horizontal="center"/>
      <protection hidden="1"/>
    </xf>
    <xf numFmtId="0" fontId="0" fillId="10" borderId="23" xfId="0" applyFill="1" applyBorder="1" applyAlignment="1" applyProtection="1">
      <alignment horizontal="center"/>
      <protection hidden="1"/>
    </xf>
    <xf numFmtId="0" fontId="0" fillId="15" borderId="16" xfId="0" applyFill="1" applyBorder="1" applyProtection="1">
      <protection hidden="1"/>
    </xf>
    <xf numFmtId="0" fontId="0" fillId="15" borderId="23" xfId="0" applyFill="1" applyBorder="1" applyProtection="1">
      <protection hidden="1"/>
    </xf>
    <xf numFmtId="0" fontId="63" fillId="4" borderId="0" xfId="0" applyFont="1" applyFill="1" applyAlignment="1" applyProtection="1">
      <alignment horizontal="center"/>
      <protection hidden="1"/>
    </xf>
    <xf numFmtId="0" fontId="55" fillId="2" borderId="0" xfId="0" applyFont="1" applyFill="1" applyBorder="1" applyProtection="1">
      <protection hidden="1"/>
    </xf>
    <xf numFmtId="0" fontId="33" fillId="2" borderId="0" xfId="0" applyNumberFormat="1" applyFont="1" applyFill="1" applyBorder="1" applyAlignment="1" applyProtection="1">
      <alignment horizontal="center"/>
      <protection hidden="1"/>
    </xf>
    <xf numFmtId="164" fontId="33" fillId="2" borderId="0" xfId="0" applyNumberFormat="1" applyFont="1" applyFill="1" applyBorder="1" applyAlignment="1" applyProtection="1">
      <alignment horizontal="center"/>
      <protection hidden="1"/>
    </xf>
    <xf numFmtId="165" fontId="33" fillId="2" borderId="0" xfId="0" applyNumberFormat="1" applyFont="1" applyFill="1" applyBorder="1" applyAlignment="1" applyProtection="1">
      <alignment horizontal="center"/>
      <protection hidden="1"/>
    </xf>
    <xf numFmtId="20" fontId="33" fillId="2" borderId="0" xfId="0" applyNumberFormat="1" applyFont="1" applyFill="1" applyBorder="1" applyAlignment="1" applyProtection="1">
      <alignment horizontal="right"/>
      <protection hidden="1"/>
    </xf>
    <xf numFmtId="20" fontId="33" fillId="2" borderId="0" xfId="0" applyNumberFormat="1" applyFont="1" applyFill="1" applyBorder="1" applyAlignment="1" applyProtection="1">
      <alignment horizontal="center"/>
      <protection hidden="1"/>
    </xf>
    <xf numFmtId="20" fontId="33" fillId="2" borderId="0" xfId="0" applyNumberFormat="1" applyFont="1" applyFill="1" applyBorder="1" applyAlignment="1" applyProtection="1">
      <alignment horizontal="left"/>
      <protection hidden="1"/>
    </xf>
    <xf numFmtId="0" fontId="4" fillId="19" borderId="0" xfId="0" applyFont="1" applyFill="1" applyAlignment="1" applyProtection="1">
      <protection hidden="1"/>
    </xf>
    <xf numFmtId="0" fontId="0" fillId="19" borderId="0" xfId="0" applyFill="1" applyAlignment="1" applyProtection="1">
      <alignment horizontal="left" vertical="top"/>
      <protection hidden="1"/>
    </xf>
    <xf numFmtId="12" fontId="0" fillId="19" borderId="0" xfId="0" applyNumberFormat="1" applyFill="1" applyBorder="1" applyAlignment="1" applyProtection="1">
      <alignment horizontal="left" vertical="top"/>
      <protection hidden="1"/>
    </xf>
    <xf numFmtId="1" fontId="0" fillId="4" borderId="0" xfId="0" applyNumberFormat="1" applyFill="1" applyProtection="1">
      <protection hidden="1"/>
    </xf>
    <xf numFmtId="0" fontId="19" fillId="19" borderId="0" xfId="0" applyFont="1" applyFill="1" applyAlignment="1" applyProtection="1">
      <alignment vertical="center"/>
      <protection hidden="1"/>
    </xf>
    <xf numFmtId="0" fontId="6" fillId="2" borderId="0" xfId="0" applyFont="1" applyFill="1" applyBorder="1" applyAlignment="1" applyProtection="1">
      <alignment horizontal="center"/>
      <protection hidden="1"/>
    </xf>
    <xf numFmtId="0" fontId="43" fillId="27" borderId="0" xfId="0" applyFont="1" applyFill="1" applyAlignment="1" applyProtection="1">
      <alignment horizontal="center"/>
      <protection hidden="1"/>
    </xf>
    <xf numFmtId="0" fontId="43" fillId="10" borderId="0" xfId="0" applyFont="1" applyFill="1" applyAlignment="1" applyProtection="1">
      <alignment horizontal="center"/>
      <protection hidden="1"/>
    </xf>
    <xf numFmtId="0" fontId="43" fillId="28" borderId="0" xfId="0" applyFont="1" applyFill="1" applyAlignment="1" applyProtection="1">
      <alignment horizontal="center"/>
      <protection hidden="1"/>
    </xf>
    <xf numFmtId="0" fontId="43" fillId="25" borderId="0" xfId="0" applyFont="1" applyFill="1" applyAlignment="1" applyProtection="1">
      <alignment horizontal="center"/>
      <protection hidden="1"/>
    </xf>
    <xf numFmtId="0" fontId="43" fillId="20" borderId="0" xfId="0" applyFont="1" applyFill="1" applyAlignment="1" applyProtection="1">
      <alignment horizontal="center"/>
      <protection hidden="1"/>
    </xf>
    <xf numFmtId="0" fontId="43" fillId="28" borderId="0" xfId="0" applyFont="1" applyFill="1" applyAlignment="1" applyProtection="1">
      <alignment horizontal="right"/>
      <protection hidden="1"/>
    </xf>
    <xf numFmtId="0" fontId="0" fillId="2" borderId="0" xfId="0" applyFill="1" applyAlignment="1" applyProtection="1">
      <alignment horizontal="left"/>
      <protection hidden="1"/>
    </xf>
    <xf numFmtId="0" fontId="0" fillId="5" borderId="0" xfId="0" applyFill="1" applyAlignment="1" applyProtection="1">
      <alignment horizontal="center"/>
      <protection hidden="1"/>
    </xf>
    <xf numFmtId="0" fontId="2" fillId="2" borderId="0" xfId="0" applyFont="1" applyFill="1" applyBorder="1" applyAlignment="1" applyProtection="1">
      <alignment wrapText="1"/>
      <protection hidden="1"/>
    </xf>
    <xf numFmtId="0" fontId="35" fillId="2" borderId="3" xfId="0" applyFont="1" applyFill="1" applyBorder="1" applyAlignment="1" applyProtection="1">
      <alignment horizontal="right" vertical="top" indent="2"/>
      <protection hidden="1"/>
    </xf>
    <xf numFmtId="0" fontId="3" fillId="7" borderId="0" xfId="0" applyFont="1" applyFill="1" applyAlignment="1" applyProtection="1">
      <alignment horizontal="center"/>
      <protection hidden="1"/>
    </xf>
    <xf numFmtId="0" fontId="2" fillId="2" borderId="13" xfId="0" applyFont="1" applyFill="1" applyBorder="1" applyAlignment="1" applyProtection="1">
      <alignment horizontal="left" vertical="top" wrapText="1" indent="3"/>
      <protection hidden="1"/>
    </xf>
    <xf numFmtId="0" fontId="0" fillId="5" borderId="0" xfId="0" applyFill="1" applyAlignment="1" applyProtection="1">
      <alignment horizontal="center"/>
      <protection hidden="1"/>
    </xf>
    <xf numFmtId="0" fontId="0" fillId="2" borderId="13" xfId="0" applyFill="1" applyBorder="1" applyAlignment="1" applyProtection="1">
      <alignment horizontal="right"/>
      <protection hidden="1"/>
    </xf>
    <xf numFmtId="0" fontId="16" fillId="5" borderId="0" xfId="0" applyFont="1" applyFill="1" applyProtection="1">
      <protection hidden="1"/>
    </xf>
    <xf numFmtId="0" fontId="1" fillId="5" borderId="0" xfId="0" applyFont="1" applyFill="1" applyAlignment="1" applyProtection="1">
      <alignment horizontal="center" vertical="top"/>
      <protection hidden="1"/>
    </xf>
    <xf numFmtId="0" fontId="65" fillId="5" borderId="0" xfId="0" applyFont="1" applyFill="1" applyAlignment="1" applyProtection="1">
      <alignment horizontal="center" vertical="center"/>
      <protection hidden="1"/>
    </xf>
    <xf numFmtId="0" fontId="43" fillId="11" borderId="0" xfId="0" applyFont="1" applyFill="1" applyAlignment="1" applyProtection="1">
      <alignment horizontal="center"/>
      <protection hidden="1"/>
    </xf>
    <xf numFmtId="0" fontId="67" fillId="13" borderId="0" xfId="0" applyFont="1" applyFill="1" applyAlignment="1" applyProtection="1">
      <alignment horizontal="center"/>
      <protection hidden="1"/>
    </xf>
    <xf numFmtId="0" fontId="68" fillId="13" borderId="0" xfId="0" applyFont="1" applyFill="1" applyProtection="1">
      <protection hidden="1"/>
    </xf>
    <xf numFmtId="0" fontId="64" fillId="13" borderId="0" xfId="0" applyFont="1" applyFill="1" applyAlignment="1" applyProtection="1">
      <alignment horizontal="center"/>
      <protection hidden="1"/>
    </xf>
    <xf numFmtId="0" fontId="67" fillId="16" borderId="0" xfId="0" applyFont="1" applyFill="1" applyBorder="1" applyAlignment="1" applyProtection="1">
      <alignment horizontal="center"/>
      <protection hidden="1"/>
    </xf>
    <xf numFmtId="0" fontId="30" fillId="2" borderId="0" xfId="0" applyFont="1" applyFill="1" applyBorder="1" applyAlignment="1" applyProtection="1">
      <protection hidden="1"/>
    </xf>
    <xf numFmtId="0" fontId="31" fillId="2" borderId="0" xfId="0" applyFont="1" applyFill="1" applyBorder="1" applyAlignment="1" applyProtection="1">
      <protection hidden="1"/>
    </xf>
    <xf numFmtId="0" fontId="1" fillId="14" borderId="0" xfId="0" applyFont="1" applyFill="1" applyAlignment="1" applyProtection="1">
      <alignment horizontal="left"/>
      <protection hidden="1"/>
    </xf>
    <xf numFmtId="0" fontId="11" fillId="3" borderId="0" xfId="0" applyFont="1" applyFill="1" applyProtection="1">
      <protection hidden="1"/>
    </xf>
    <xf numFmtId="0" fontId="1" fillId="15" borderId="0" xfId="0" applyFont="1" applyFill="1" applyBorder="1" applyAlignment="1" applyProtection="1">
      <alignment horizontal="center"/>
      <protection hidden="1"/>
    </xf>
    <xf numFmtId="0" fontId="12" fillId="2" borderId="12" xfId="0" applyFont="1" applyFill="1" applyBorder="1" applyAlignment="1" applyProtection="1">
      <alignment vertical="center"/>
      <protection hidden="1"/>
    </xf>
    <xf numFmtId="0" fontId="50" fillId="2" borderId="13" xfId="0" applyFont="1" applyFill="1" applyBorder="1" applyAlignment="1" applyProtection="1">
      <alignment horizontal="left" vertical="center"/>
      <protection hidden="1"/>
    </xf>
    <xf numFmtId="0" fontId="12" fillId="2" borderId="14" xfId="0" applyFont="1" applyFill="1" applyBorder="1" applyProtection="1">
      <protection hidden="1"/>
    </xf>
    <xf numFmtId="0" fontId="55" fillId="2" borderId="3" xfId="0" applyFont="1" applyFill="1" applyBorder="1" applyAlignment="1" applyProtection="1">
      <alignment vertical="top"/>
      <protection hidden="1"/>
    </xf>
    <xf numFmtId="0" fontId="12" fillId="2" borderId="15" xfId="0" applyFont="1" applyFill="1" applyBorder="1" applyProtection="1">
      <protection hidden="1"/>
    </xf>
    <xf numFmtId="0" fontId="0" fillId="4" borderId="0" xfId="0" applyFill="1" applyAlignment="1" applyProtection="1">
      <alignment horizontal="center"/>
      <protection hidden="1"/>
    </xf>
    <xf numFmtId="0" fontId="11" fillId="19" borderId="7" xfId="0" applyFont="1" applyFill="1" applyBorder="1" applyAlignment="1" applyProtection="1">
      <alignment horizontal="center"/>
      <protection hidden="1"/>
    </xf>
    <xf numFmtId="14" fontId="12" fillId="2" borderId="4" xfId="0" applyNumberFormat="1" applyFont="1" applyFill="1" applyBorder="1" applyAlignment="1" applyProtection="1">
      <protection hidden="1"/>
    </xf>
    <xf numFmtId="0" fontId="12" fillId="2" borderId="4" xfId="0" applyFont="1" applyFill="1" applyBorder="1" applyAlignment="1" applyProtection="1">
      <protection hidden="1"/>
    </xf>
    <xf numFmtId="1" fontId="69" fillId="2" borderId="0" xfId="0" applyNumberFormat="1" applyFont="1" applyFill="1" applyBorder="1" applyAlignment="1" applyProtection="1">
      <alignment horizontal="center" vertical="center"/>
      <protection hidden="1"/>
    </xf>
    <xf numFmtId="0" fontId="70" fillId="2" borderId="0" xfId="0" applyFont="1" applyFill="1" applyBorder="1" applyAlignment="1" applyProtection="1">
      <protection hidden="1"/>
    </xf>
    <xf numFmtId="0" fontId="0" fillId="2" borderId="1" xfId="0" applyFont="1"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4" borderId="0" xfId="0" applyFill="1" applyAlignment="1" applyProtection="1">
      <alignment horizontal="center"/>
      <protection hidden="1"/>
    </xf>
    <xf numFmtId="0" fontId="6" fillId="2" borderId="3" xfId="0" applyFont="1" applyFill="1" applyBorder="1" applyAlignment="1" applyProtection="1">
      <alignment horizontal="center"/>
      <protection hidden="1"/>
    </xf>
    <xf numFmtId="0" fontId="16" fillId="20" borderId="0" xfId="0" applyFont="1" applyFill="1" applyAlignment="1" applyProtection="1">
      <alignment horizontal="center"/>
      <protection hidden="1"/>
    </xf>
    <xf numFmtId="0" fontId="11" fillId="10" borderId="0" xfId="0" applyFont="1" applyFill="1" applyAlignment="1" applyProtection="1">
      <alignment horizontal="center"/>
      <protection hidden="1"/>
    </xf>
    <xf numFmtId="0" fontId="11" fillId="20" borderId="0" xfId="0" applyFont="1" applyFill="1" applyAlignment="1" applyProtection="1">
      <alignment horizontal="center"/>
      <protection hidden="1"/>
    </xf>
    <xf numFmtId="0" fontId="52" fillId="20" borderId="0" xfId="0" applyFont="1" applyFill="1" applyAlignment="1" applyProtection="1">
      <alignment horizontal="center"/>
      <protection hidden="1"/>
    </xf>
    <xf numFmtId="0" fontId="24" fillId="2" borderId="0" xfId="0" applyFont="1" applyFill="1" applyBorder="1" applyProtection="1">
      <protection hidden="1"/>
    </xf>
    <xf numFmtId="164" fontId="64" fillId="2" borderId="4" xfId="0" applyNumberFormat="1" applyFont="1" applyFill="1" applyBorder="1" applyAlignment="1" applyProtection="1">
      <alignment horizontal="center"/>
      <protection hidden="1"/>
    </xf>
    <xf numFmtId="165" fontId="64" fillId="2" borderId="4" xfId="0" applyNumberFormat="1" applyFont="1" applyFill="1" applyBorder="1" applyAlignment="1" applyProtection="1">
      <alignment horizontal="center"/>
      <protection hidden="1"/>
    </xf>
    <xf numFmtId="0" fontId="64" fillId="2" borderId="4" xfId="0" applyNumberFormat="1" applyFont="1" applyFill="1" applyBorder="1" applyAlignment="1" applyProtection="1">
      <alignment horizontal="center"/>
      <protection hidden="1"/>
    </xf>
    <xf numFmtId="0" fontId="53" fillId="2" borderId="0" xfId="0" applyFont="1" applyFill="1" applyBorder="1" applyProtection="1">
      <protection hidden="1"/>
    </xf>
    <xf numFmtId="20" fontId="64" fillId="2" borderId="4" xfId="0" applyNumberFormat="1" applyFont="1" applyFill="1" applyBorder="1" applyAlignment="1" applyProtection="1">
      <alignment horizontal="right"/>
      <protection hidden="1"/>
    </xf>
    <xf numFmtId="20" fontId="64" fillId="2" borderId="4" xfId="0" applyNumberFormat="1" applyFont="1" applyFill="1" applyBorder="1" applyAlignment="1" applyProtection="1">
      <alignment horizontal="center"/>
      <protection hidden="1"/>
    </xf>
    <xf numFmtId="20" fontId="64" fillId="2" borderId="4" xfId="0" applyNumberFormat="1" applyFont="1" applyFill="1" applyBorder="1" applyAlignment="1" applyProtection="1">
      <alignment horizontal="left"/>
      <protection hidden="1"/>
    </xf>
    <xf numFmtId="0" fontId="11" fillId="7" borderId="0" xfId="0" applyFont="1" applyFill="1" applyBorder="1" applyAlignment="1" applyProtection="1">
      <alignment horizontal="center"/>
      <protection hidden="1"/>
    </xf>
    <xf numFmtId="0" fontId="16" fillId="7" borderId="0" xfId="0" applyFont="1" applyFill="1" applyBorder="1" applyAlignment="1" applyProtection="1">
      <alignment horizontal="center"/>
      <protection hidden="1"/>
    </xf>
    <xf numFmtId="0" fontId="16" fillId="7" borderId="0" xfId="0" applyFont="1" applyFill="1" applyAlignment="1" applyProtection="1">
      <alignment horizontal="center"/>
      <protection hidden="1"/>
    </xf>
    <xf numFmtId="0" fontId="11" fillId="19" borderId="0" xfId="0" applyFont="1" applyFill="1" applyProtection="1">
      <protection hidden="1"/>
    </xf>
    <xf numFmtId="0" fontId="16" fillId="19" borderId="0" xfId="0" applyFont="1" applyFill="1" applyProtection="1">
      <protection hidden="1"/>
    </xf>
    <xf numFmtId="0" fontId="11" fillId="19" borderId="5" xfId="0" applyFont="1" applyFill="1" applyBorder="1" applyProtection="1">
      <protection hidden="1"/>
    </xf>
    <xf numFmtId="0" fontId="11" fillId="19" borderId="21" xfId="0" applyFont="1" applyFill="1" applyBorder="1" applyAlignment="1" applyProtection="1">
      <alignment horizontal="center"/>
      <protection hidden="1"/>
    </xf>
    <xf numFmtId="1" fontId="11" fillId="19" borderId="2" xfId="0" applyNumberFormat="1" applyFont="1" applyFill="1" applyBorder="1" applyAlignment="1" applyProtection="1">
      <alignment horizontal="center"/>
      <protection hidden="1"/>
    </xf>
    <xf numFmtId="0" fontId="11" fillId="19" borderId="5" xfId="0" applyFont="1" applyFill="1" applyBorder="1" applyAlignment="1" applyProtection="1">
      <alignment horizontal="center"/>
      <protection hidden="1"/>
    </xf>
    <xf numFmtId="1" fontId="11" fillId="19" borderId="5" xfId="0" applyNumberFormat="1" applyFont="1" applyFill="1" applyBorder="1" applyAlignment="1" applyProtection="1">
      <alignment horizontal="center"/>
      <protection hidden="1"/>
    </xf>
    <xf numFmtId="1" fontId="11" fillId="19" borderId="22" xfId="0" applyNumberFormat="1" applyFont="1" applyFill="1" applyBorder="1" applyAlignment="1" applyProtection="1">
      <alignment horizontal="center"/>
      <protection hidden="1"/>
    </xf>
    <xf numFmtId="0" fontId="11" fillId="19" borderId="2" xfId="0" applyFont="1" applyFill="1" applyBorder="1" applyAlignment="1" applyProtection="1">
      <alignment horizontal="center"/>
      <protection hidden="1"/>
    </xf>
    <xf numFmtId="0" fontId="11" fillId="19" borderId="22" xfId="0" applyFont="1" applyFill="1" applyBorder="1" applyAlignment="1" applyProtection="1">
      <alignment horizontal="center"/>
      <protection hidden="1"/>
    </xf>
    <xf numFmtId="1" fontId="11" fillId="19" borderId="5" xfId="0" applyNumberFormat="1" applyFont="1" applyFill="1" applyBorder="1" applyAlignment="1" applyProtection="1">
      <alignment horizontal="right"/>
      <protection hidden="1"/>
    </xf>
    <xf numFmtId="0" fontId="11" fillId="19" borderId="5" xfId="0" applyFont="1" applyFill="1" applyBorder="1" applyAlignment="1" applyProtection="1">
      <alignment horizontal="center" vertical="center"/>
      <protection hidden="1"/>
    </xf>
    <xf numFmtId="0" fontId="11" fillId="19" borderId="6" xfId="0" applyFont="1" applyFill="1" applyBorder="1" applyProtection="1">
      <protection hidden="1"/>
    </xf>
    <xf numFmtId="0" fontId="11" fillId="19" borderId="16" xfId="0" applyFont="1" applyFill="1" applyBorder="1" applyAlignment="1" applyProtection="1">
      <alignment horizontal="center"/>
      <protection hidden="1"/>
    </xf>
    <xf numFmtId="1" fontId="11" fillId="19" borderId="16" xfId="0" applyNumberFormat="1" applyFont="1" applyFill="1" applyBorder="1" applyAlignment="1" applyProtection="1">
      <alignment horizontal="center"/>
      <protection hidden="1"/>
    </xf>
    <xf numFmtId="0" fontId="11" fillId="19" borderId="0" xfId="0" applyFont="1" applyFill="1" applyBorder="1" applyAlignment="1" applyProtection="1">
      <alignment horizontal="center"/>
      <protection hidden="1"/>
    </xf>
    <xf numFmtId="1" fontId="11" fillId="19" borderId="0" xfId="0" applyNumberFormat="1" applyFont="1" applyFill="1" applyBorder="1" applyAlignment="1" applyProtection="1">
      <alignment horizontal="center"/>
      <protection hidden="1"/>
    </xf>
    <xf numFmtId="0" fontId="11" fillId="19" borderId="6" xfId="0" applyFont="1" applyFill="1" applyBorder="1" applyAlignment="1" applyProtection="1">
      <alignment horizontal="center"/>
      <protection hidden="1"/>
    </xf>
    <xf numFmtId="1" fontId="11" fillId="19" borderId="6" xfId="0" applyNumberFormat="1" applyFont="1" applyFill="1" applyBorder="1" applyAlignment="1" applyProtection="1">
      <alignment horizontal="center"/>
      <protection hidden="1"/>
    </xf>
    <xf numFmtId="1" fontId="11" fillId="19" borderId="20" xfId="0" applyNumberFormat="1" applyFont="1" applyFill="1" applyBorder="1" applyAlignment="1" applyProtection="1">
      <alignment horizontal="center"/>
      <protection hidden="1"/>
    </xf>
    <xf numFmtId="0" fontId="11" fillId="19" borderId="20" xfId="0" applyFont="1" applyFill="1" applyBorder="1" applyAlignment="1" applyProtection="1">
      <alignment horizontal="center"/>
      <protection hidden="1"/>
    </xf>
    <xf numFmtId="1" fontId="11" fillId="19" borderId="6" xfId="0" applyNumberFormat="1" applyFont="1" applyFill="1" applyBorder="1" applyAlignment="1" applyProtection="1">
      <alignment horizontal="right"/>
      <protection hidden="1"/>
    </xf>
    <xf numFmtId="0" fontId="11" fillId="19" borderId="6" xfId="0" applyFont="1" applyFill="1" applyBorder="1" applyAlignment="1" applyProtection="1">
      <alignment horizontal="center" vertical="center"/>
      <protection hidden="1"/>
    </xf>
    <xf numFmtId="0" fontId="11" fillId="19" borderId="7" xfId="0" applyFont="1" applyFill="1" applyBorder="1" applyProtection="1">
      <protection hidden="1"/>
    </xf>
    <xf numFmtId="0" fontId="11" fillId="19" borderId="23" xfId="0" applyFont="1" applyFill="1" applyBorder="1" applyAlignment="1" applyProtection="1">
      <alignment horizontal="center"/>
      <protection hidden="1"/>
    </xf>
    <xf numFmtId="1" fontId="11" fillId="19" borderId="23" xfId="0" applyNumberFormat="1" applyFont="1" applyFill="1" applyBorder="1" applyAlignment="1" applyProtection="1">
      <alignment horizontal="center"/>
      <protection hidden="1"/>
    </xf>
    <xf numFmtId="1" fontId="11" fillId="19" borderId="3" xfId="0" applyNumberFormat="1" applyFont="1" applyFill="1" applyBorder="1" applyAlignment="1" applyProtection="1">
      <alignment horizontal="center"/>
      <protection hidden="1"/>
    </xf>
    <xf numFmtId="0" fontId="11" fillId="19" borderId="3" xfId="0" applyFont="1" applyFill="1" applyBorder="1" applyAlignment="1" applyProtection="1">
      <alignment horizontal="center"/>
      <protection hidden="1"/>
    </xf>
    <xf numFmtId="1" fontId="11" fillId="19" borderId="7" xfId="0" applyNumberFormat="1" applyFont="1" applyFill="1" applyBorder="1" applyAlignment="1" applyProtection="1">
      <alignment horizontal="center"/>
      <protection hidden="1"/>
    </xf>
    <xf numFmtId="1" fontId="11" fillId="19" borderId="19" xfId="0" applyNumberFormat="1" applyFont="1" applyFill="1" applyBorder="1" applyAlignment="1" applyProtection="1">
      <alignment horizontal="center"/>
      <protection hidden="1"/>
    </xf>
    <xf numFmtId="1" fontId="11" fillId="19" borderId="7" xfId="0" applyNumberFormat="1" applyFont="1" applyFill="1" applyBorder="1" applyAlignment="1" applyProtection="1">
      <alignment horizontal="right"/>
      <protection hidden="1"/>
    </xf>
    <xf numFmtId="0" fontId="11" fillId="19" borderId="7" xfId="0" applyFont="1" applyFill="1" applyBorder="1" applyAlignment="1" applyProtection="1">
      <alignment horizontal="center" vertical="center"/>
      <protection hidden="1"/>
    </xf>
    <xf numFmtId="0" fontId="11" fillId="19" borderId="0" xfId="0" applyFont="1" applyFill="1" applyAlignment="1" applyProtection="1">
      <alignment horizontal="center"/>
      <protection hidden="1"/>
    </xf>
    <xf numFmtId="12" fontId="11" fillId="19" borderId="0" xfId="0" applyNumberFormat="1" applyFont="1" applyFill="1" applyBorder="1" applyAlignment="1" applyProtection="1">
      <alignment vertical="center"/>
      <protection hidden="1"/>
    </xf>
    <xf numFmtId="0" fontId="11" fillId="19" borderId="0" xfId="0" applyFont="1" applyFill="1" applyAlignment="1" applyProtection="1">
      <alignment horizontal="center" vertical="center"/>
      <protection hidden="1"/>
    </xf>
    <xf numFmtId="0" fontId="11" fillId="19" borderId="0" xfId="0" applyFont="1" applyFill="1" applyAlignment="1" applyProtection="1">
      <alignment horizontal="center" vertical="center" textRotation="90"/>
      <protection hidden="1"/>
    </xf>
    <xf numFmtId="0" fontId="11" fillId="19" borderId="0" xfId="0" applyFont="1" applyFill="1" applyBorder="1" applyAlignment="1" applyProtection="1">
      <alignment vertical="center"/>
      <protection hidden="1"/>
    </xf>
    <xf numFmtId="0" fontId="11" fillId="19" borderId="0" xfId="0" applyFont="1" applyFill="1" applyAlignment="1" applyProtection="1">
      <alignment vertical="center"/>
      <protection hidden="1"/>
    </xf>
    <xf numFmtId="0" fontId="11" fillId="19" borderId="0" xfId="0" applyFont="1" applyFill="1" applyBorder="1" applyProtection="1">
      <protection hidden="1"/>
    </xf>
    <xf numFmtId="0" fontId="16" fillId="32" borderId="0" xfId="0" applyFont="1" applyFill="1" applyAlignment="1" applyProtection="1">
      <alignment horizontal="center"/>
      <protection hidden="1"/>
    </xf>
    <xf numFmtId="0" fontId="11" fillId="32" borderId="0" xfId="0" applyFont="1" applyFill="1" applyAlignment="1" applyProtection="1">
      <alignment horizontal="center"/>
      <protection hidden="1"/>
    </xf>
    <xf numFmtId="0" fontId="16" fillId="10" borderId="0" xfId="0" applyFont="1" applyFill="1" applyAlignment="1" applyProtection="1">
      <alignment horizontal="center"/>
      <protection hidden="1"/>
    </xf>
    <xf numFmtId="0" fontId="11" fillId="28" borderId="0" xfId="0" applyFont="1" applyFill="1" applyAlignment="1" applyProtection="1">
      <alignment horizontal="center"/>
      <protection hidden="1"/>
    </xf>
    <xf numFmtId="0" fontId="16" fillId="28" borderId="0" xfId="0" applyFont="1" applyFill="1" applyAlignment="1" applyProtection="1">
      <alignment horizontal="left"/>
      <protection hidden="1"/>
    </xf>
    <xf numFmtId="1" fontId="11" fillId="28" borderId="0" xfId="0" applyNumberFormat="1" applyFont="1" applyFill="1" applyAlignment="1" applyProtection="1">
      <alignment horizontal="right"/>
      <protection hidden="1"/>
    </xf>
    <xf numFmtId="0" fontId="11" fillId="25" borderId="0" xfId="0" applyFont="1" applyFill="1" applyAlignment="1" applyProtection="1">
      <alignment horizontal="center"/>
      <protection hidden="1"/>
    </xf>
    <xf numFmtId="0" fontId="11" fillId="28" borderId="0" xfId="0" applyFont="1" applyFill="1" applyAlignment="1" applyProtection="1">
      <alignment horizontal="left"/>
      <protection hidden="1"/>
    </xf>
    <xf numFmtId="1" fontId="11" fillId="25" borderId="0" xfId="0" applyNumberFormat="1" applyFont="1" applyFill="1" applyAlignment="1" applyProtection="1">
      <alignment horizontal="center" vertical="center"/>
      <protection hidden="1"/>
    </xf>
    <xf numFmtId="0" fontId="72" fillId="27" borderId="0" xfId="0" applyFont="1" applyFill="1" applyAlignment="1" applyProtection="1">
      <alignment horizontal="left" indent="1"/>
      <protection hidden="1"/>
    </xf>
    <xf numFmtId="0" fontId="11" fillId="38" borderId="0" xfId="0" applyFont="1" applyFill="1" applyAlignment="1" applyProtection="1">
      <alignment horizontal="center"/>
      <protection hidden="1"/>
    </xf>
    <xf numFmtId="0" fontId="21" fillId="19" borderId="0" xfId="0" applyFont="1" applyFill="1" applyProtection="1">
      <protection hidden="1"/>
    </xf>
    <xf numFmtId="0" fontId="0" fillId="5" borderId="0" xfId="0" applyFill="1" applyAlignment="1" applyProtection="1">
      <alignment horizontal="center"/>
      <protection hidden="1"/>
    </xf>
    <xf numFmtId="0" fontId="73" fillId="19" borderId="0" xfId="0" applyFont="1" applyFill="1" applyAlignment="1" applyProtection="1">
      <alignment vertical="center"/>
      <protection hidden="1"/>
    </xf>
    <xf numFmtId="0" fontId="65" fillId="13" borderId="2" xfId="0" applyFont="1" applyFill="1" applyBorder="1" applyAlignment="1" applyProtection="1">
      <alignment horizontal="center"/>
      <protection hidden="1"/>
    </xf>
    <xf numFmtId="0" fontId="65" fillId="13" borderId="2" xfId="0" applyFont="1" applyFill="1" applyBorder="1" applyAlignment="1" applyProtection="1">
      <alignment horizontal="left"/>
      <protection hidden="1"/>
    </xf>
    <xf numFmtId="0" fontId="64" fillId="13" borderId="2" xfId="0" applyFont="1" applyFill="1" applyBorder="1" applyAlignment="1" applyProtection="1">
      <alignment horizontal="center"/>
      <protection hidden="1"/>
    </xf>
    <xf numFmtId="0" fontId="64" fillId="13" borderId="0" xfId="0" applyFont="1" applyFill="1" applyBorder="1" applyAlignment="1" applyProtection="1">
      <alignment horizontal="center"/>
      <protection hidden="1"/>
    </xf>
    <xf numFmtId="0" fontId="64" fillId="13" borderId="0" xfId="0" applyFont="1" applyFill="1" applyBorder="1" applyAlignment="1" applyProtection="1">
      <alignment horizontal="left"/>
      <protection hidden="1"/>
    </xf>
    <xf numFmtId="0" fontId="64" fillId="13" borderId="3" xfId="0" applyFont="1" applyFill="1" applyBorder="1" applyAlignment="1" applyProtection="1">
      <alignment horizontal="center"/>
      <protection hidden="1"/>
    </xf>
    <xf numFmtId="0" fontId="64" fillId="13" borderId="3" xfId="0" applyFont="1" applyFill="1" applyBorder="1" applyAlignment="1" applyProtection="1">
      <alignment horizontal="left"/>
      <protection hidden="1"/>
    </xf>
    <xf numFmtId="0" fontId="65" fillId="2" borderId="1" xfId="0" applyFont="1" applyFill="1" applyBorder="1" applyAlignment="1" applyProtection="1">
      <alignment horizontal="left"/>
      <protection hidden="1"/>
    </xf>
    <xf numFmtId="0" fontId="64" fillId="13" borderId="0" xfId="0" applyFont="1" applyFill="1" applyAlignment="1" applyProtection="1">
      <alignment horizontal="left"/>
      <protection hidden="1"/>
    </xf>
    <xf numFmtId="0" fontId="64" fillId="13" borderId="0" xfId="0" applyFont="1" applyFill="1" applyAlignment="1" applyProtection="1">
      <alignment horizontal="right"/>
      <protection hidden="1"/>
    </xf>
    <xf numFmtId="0" fontId="65" fillId="13" borderId="0" xfId="0" applyFont="1" applyFill="1" applyAlignment="1" applyProtection="1">
      <alignment horizontal="left"/>
      <protection hidden="1"/>
    </xf>
    <xf numFmtId="0" fontId="53" fillId="20" borderId="0" xfId="0" applyFont="1" applyFill="1" applyAlignment="1" applyProtection="1">
      <alignment horizontal="center" vertical="center"/>
      <protection hidden="1"/>
    </xf>
    <xf numFmtId="0" fontId="52" fillId="13" borderId="3" xfId="0" applyFont="1" applyFill="1" applyBorder="1" applyAlignment="1" applyProtection="1">
      <alignment horizontal="center" vertical="center"/>
      <protection hidden="1"/>
    </xf>
    <xf numFmtId="0" fontId="64" fillId="13" borderId="19" xfId="0" applyFont="1" applyFill="1" applyBorder="1" applyAlignment="1" applyProtection="1">
      <alignment horizontal="center"/>
      <protection hidden="1"/>
    </xf>
    <xf numFmtId="0" fontId="5" fillId="13" borderId="0" xfId="0" applyFont="1" applyFill="1" applyAlignment="1" applyProtection="1">
      <alignment horizontal="center"/>
      <protection hidden="1"/>
    </xf>
    <xf numFmtId="0" fontId="15" fillId="2" borderId="0" xfId="0" applyFont="1" applyFill="1" applyBorder="1" applyProtection="1">
      <protection hidden="1"/>
    </xf>
    <xf numFmtId="0" fontId="18" fillId="2" borderId="0" xfId="0" applyFont="1" applyFill="1" applyBorder="1" applyProtection="1">
      <protection hidden="1"/>
    </xf>
    <xf numFmtId="0" fontId="61" fillId="2" borderId="0" xfId="0" applyFont="1" applyFill="1" applyBorder="1" applyProtection="1">
      <protection hidden="1"/>
    </xf>
    <xf numFmtId="0" fontId="60" fillId="2" borderId="0" xfId="0" applyFont="1" applyFill="1" applyBorder="1" applyProtection="1">
      <protection hidden="1"/>
    </xf>
    <xf numFmtId="0" fontId="62" fillId="2" borderId="0" xfId="0" applyFont="1" applyFill="1" applyBorder="1" applyProtection="1">
      <protection hidden="1"/>
    </xf>
    <xf numFmtId="0" fontId="5" fillId="2" borderId="4" xfId="0" applyFont="1" applyFill="1" applyBorder="1" applyProtection="1">
      <protection hidden="1"/>
    </xf>
    <xf numFmtId="0" fontId="2" fillId="2" borderId="0" xfId="0" applyFont="1" applyFill="1" applyBorder="1" applyAlignment="1" applyProtection="1">
      <protection locked="0"/>
    </xf>
    <xf numFmtId="0" fontId="5" fillId="2" borderId="4" xfId="0" applyFont="1" applyFill="1" applyBorder="1" applyAlignment="1" applyProtection="1">
      <alignment horizontal="right" vertical="top"/>
      <protection hidden="1"/>
    </xf>
    <xf numFmtId="0" fontId="2" fillId="2" borderId="4" xfId="0" applyFont="1" applyFill="1" applyBorder="1" applyAlignment="1" applyProtection="1">
      <alignment vertical="top"/>
      <protection hidden="1"/>
    </xf>
    <xf numFmtId="0" fontId="0" fillId="21" borderId="0" xfId="0" applyFont="1" applyFill="1" applyAlignment="1" applyProtection="1">
      <alignment horizontal="center"/>
      <protection hidden="1"/>
    </xf>
    <xf numFmtId="0" fontId="34" fillId="21" borderId="0" xfId="1" applyFont="1" applyFill="1" applyBorder="1" applyAlignment="1">
      <alignment horizontal="left"/>
    </xf>
    <xf numFmtId="0" fontId="0" fillId="21" borderId="0" xfId="0" applyFill="1" applyBorder="1" applyAlignment="1"/>
    <xf numFmtId="0" fontId="1" fillId="21" borderId="0" xfId="0" applyFont="1" applyFill="1" applyAlignment="1" applyProtection="1">
      <alignment horizontal="left"/>
      <protection hidden="1"/>
    </xf>
    <xf numFmtId="0" fontId="2" fillId="21" borderId="0" xfId="0" applyFont="1" applyFill="1" applyAlignment="1" applyProtection="1">
      <alignment horizontal="left"/>
      <protection hidden="1"/>
    </xf>
    <xf numFmtId="0" fontId="1" fillId="21" borderId="0" xfId="0" applyFont="1" applyFill="1" applyProtection="1">
      <protection hidden="1"/>
    </xf>
    <xf numFmtId="0" fontId="0" fillId="2" borderId="12" xfId="0" applyFill="1" applyBorder="1" applyAlignment="1" applyProtection="1">
      <alignment horizontal="center"/>
      <protection hidden="1"/>
    </xf>
    <xf numFmtId="0" fontId="0" fillId="2" borderId="14" xfId="0" applyFill="1" applyBorder="1" applyAlignment="1" applyProtection="1">
      <alignment horizontal="center"/>
      <protection hidden="1"/>
    </xf>
    <xf numFmtId="0" fontId="75" fillId="2" borderId="4" xfId="0" applyFont="1" applyFill="1" applyBorder="1" applyAlignment="1" applyProtection="1">
      <alignment horizontal="left" vertical="top" indent="1"/>
      <protection hidden="1"/>
    </xf>
    <xf numFmtId="0" fontId="76" fillId="13" borderId="0" xfId="0" applyFont="1" applyFill="1" applyProtection="1">
      <protection hidden="1"/>
    </xf>
    <xf numFmtId="0" fontId="5" fillId="13" borderId="0" xfId="0" applyFont="1" applyFill="1" applyAlignment="1" applyProtection="1">
      <alignment horizontal="left" indent="1"/>
      <protection hidden="1"/>
    </xf>
    <xf numFmtId="0" fontId="49" fillId="13" borderId="0" xfId="0" applyFont="1" applyFill="1" applyAlignment="1" applyProtection="1">
      <alignment horizontal="center"/>
      <protection hidden="1"/>
    </xf>
    <xf numFmtId="0" fontId="5" fillId="13" borderId="0" xfId="0" applyFont="1" applyFill="1" applyAlignment="1" applyProtection="1">
      <alignment horizontal="left" indent="2"/>
      <protection hidden="1"/>
    </xf>
    <xf numFmtId="0" fontId="0" fillId="2" borderId="3" xfId="0" applyFont="1" applyFill="1" applyBorder="1" applyAlignment="1" applyProtection="1">
      <alignment horizontal="left" indent="2"/>
      <protection hidden="1"/>
    </xf>
    <xf numFmtId="0" fontId="0" fillId="2" borderId="15" xfId="0" applyFont="1" applyFill="1" applyBorder="1" applyAlignment="1" applyProtection="1">
      <alignment horizontal="left" indent="2"/>
      <protection hidden="1"/>
    </xf>
    <xf numFmtId="0" fontId="64" fillId="16" borderId="0" xfId="0" applyFont="1" applyFill="1" applyBorder="1" applyAlignment="1" applyProtection="1">
      <alignment horizontal="center"/>
      <protection hidden="1"/>
    </xf>
    <xf numFmtId="0" fontId="0" fillId="25" borderId="0" xfId="0" applyFill="1" applyProtection="1">
      <protection hidden="1"/>
    </xf>
    <xf numFmtId="0" fontId="1" fillId="25" borderId="0" xfId="0" applyFont="1" applyFill="1" applyProtection="1">
      <protection hidden="1"/>
    </xf>
    <xf numFmtId="0" fontId="2" fillId="25" borderId="0" xfId="0" applyFont="1" applyFill="1" applyAlignment="1" applyProtection="1">
      <alignment horizontal="right"/>
      <protection hidden="1"/>
    </xf>
    <xf numFmtId="1" fontId="5" fillId="2" borderId="4" xfId="0" applyNumberFormat="1" applyFont="1" applyFill="1" applyBorder="1" applyAlignment="1" applyProtection="1">
      <alignment horizontal="center"/>
      <protection hidden="1"/>
    </xf>
    <xf numFmtId="0" fontId="19" fillId="16" borderId="16" xfId="0" applyFont="1" applyFill="1" applyBorder="1" applyProtection="1">
      <protection hidden="1"/>
    </xf>
    <xf numFmtId="1" fontId="5" fillId="2" borderId="4" xfId="0" applyNumberFormat="1" applyFont="1" applyFill="1" applyBorder="1" applyAlignment="1" applyProtection="1">
      <alignment horizontal="center"/>
      <protection hidden="1"/>
    </xf>
    <xf numFmtId="0" fontId="0" fillId="5" borderId="0" xfId="0" applyFill="1" applyAlignment="1" applyProtection="1">
      <alignment horizontal="center"/>
      <protection hidden="1"/>
    </xf>
    <xf numFmtId="0" fontId="77" fillId="5" borderId="0" xfId="0" applyFont="1" applyFill="1" applyAlignment="1" applyProtection="1">
      <alignment horizontal="center"/>
      <protection hidden="1"/>
    </xf>
    <xf numFmtId="0" fontId="78" fillId="5" borderId="0" xfId="0" applyFont="1" applyFill="1" applyAlignment="1" applyProtection="1">
      <alignment horizontal="center"/>
      <protection hidden="1"/>
    </xf>
    <xf numFmtId="0" fontId="79" fillId="5" borderId="0" xfId="0" applyFont="1" applyFill="1" applyProtection="1">
      <protection hidden="1"/>
    </xf>
    <xf numFmtId="0" fontId="0" fillId="0" borderId="0" xfId="0" applyAlignment="1">
      <alignment horizontal="center"/>
    </xf>
    <xf numFmtId="0" fontId="1" fillId="39" borderId="3" xfId="0" applyFont="1" applyFill="1" applyBorder="1" applyAlignment="1">
      <alignment horizontal="center"/>
    </xf>
    <xf numFmtId="0" fontId="1" fillId="39" borderId="3" xfId="0" applyFont="1" applyFill="1" applyBorder="1"/>
    <xf numFmtId="0" fontId="0" fillId="12" borderId="0" xfId="0" applyFill="1" applyAlignment="1">
      <alignment horizontal="center"/>
    </xf>
    <xf numFmtId="0" fontId="0" fillId="12" borderId="0" xfId="0" applyFill="1"/>
    <xf numFmtId="0" fontId="0" fillId="40" borderId="0" xfId="0" applyFill="1"/>
    <xf numFmtId="0" fontId="39" fillId="40" borderId="0" xfId="0" applyFont="1" applyFill="1" applyAlignment="1">
      <alignment horizontal="center"/>
    </xf>
    <xf numFmtId="0" fontId="39" fillId="12" borderId="0" xfId="0" applyFont="1" applyFill="1" applyAlignment="1">
      <alignment horizontal="center"/>
    </xf>
    <xf numFmtId="0" fontId="80" fillId="40" borderId="0" xfId="0" applyFont="1" applyFill="1" applyAlignment="1">
      <alignment horizontal="left"/>
    </xf>
    <xf numFmtId="0" fontId="11" fillId="12" borderId="0" xfId="0" applyFont="1" applyFill="1"/>
    <xf numFmtId="0" fontId="11" fillId="40" borderId="0" xfId="0" applyFont="1" applyFill="1"/>
    <xf numFmtId="0" fontId="81" fillId="40" borderId="0" xfId="0" applyFont="1" applyFill="1" applyAlignment="1">
      <alignment horizontal="center"/>
    </xf>
    <xf numFmtId="0" fontId="43" fillId="40" borderId="16" xfId="0" applyFont="1" applyFill="1" applyBorder="1"/>
    <xf numFmtId="0" fontId="43" fillId="40" borderId="0" xfId="0" applyFont="1" applyFill="1"/>
    <xf numFmtId="0" fontId="81" fillId="12" borderId="0" xfId="0" applyFont="1" applyFill="1" applyAlignment="1">
      <alignment horizontal="center"/>
    </xf>
    <xf numFmtId="0" fontId="43" fillId="12" borderId="16" xfId="0" applyFont="1" applyFill="1" applyBorder="1"/>
    <xf numFmtId="0" fontId="43" fillId="12" borderId="0" xfId="0" applyFont="1" applyFill="1"/>
    <xf numFmtId="0" fontId="80" fillId="40" borderId="0" xfId="0" applyFont="1" applyFill="1" applyAlignment="1">
      <alignment horizontal="center"/>
    </xf>
    <xf numFmtId="0" fontId="1" fillId="40" borderId="0" xfId="0" applyFont="1" applyFill="1"/>
    <xf numFmtId="0" fontId="80" fillId="12" borderId="0" xfId="0" applyFont="1" applyFill="1" applyAlignment="1">
      <alignment horizontal="center"/>
    </xf>
    <xf numFmtId="0" fontId="1" fillId="12" borderId="0" xfId="0" applyFont="1" applyFill="1"/>
    <xf numFmtId="0" fontId="2" fillId="3" borderId="12" xfId="0" applyFont="1" applyFill="1" applyBorder="1" applyAlignment="1" applyProtection="1">
      <protection hidden="1"/>
    </xf>
    <xf numFmtId="0" fontId="2" fillId="3" borderId="13" xfId="0" applyFont="1" applyFill="1" applyBorder="1" applyAlignment="1" applyProtection="1">
      <protection hidden="1"/>
    </xf>
    <xf numFmtId="0" fontId="83" fillId="3" borderId="12" xfId="0" applyFont="1" applyFill="1" applyBorder="1" applyAlignment="1" applyProtection="1">
      <alignment horizontal="left" indent="2"/>
      <protection hidden="1"/>
    </xf>
    <xf numFmtId="0" fontId="84" fillId="40" borderId="0" xfId="0" applyFont="1" applyFill="1" applyAlignment="1">
      <alignment horizontal="center"/>
    </xf>
    <xf numFmtId="0" fontId="84" fillId="12" borderId="0" xfId="0" applyFont="1" applyFill="1" applyAlignment="1">
      <alignment horizontal="center"/>
    </xf>
    <xf numFmtId="0" fontId="85" fillId="40" borderId="0" xfId="0" applyFont="1" applyFill="1" applyAlignment="1">
      <alignment horizontal="center"/>
    </xf>
    <xf numFmtId="0" fontId="85" fillId="12" borderId="0" xfId="0" applyFont="1" applyFill="1" applyAlignment="1">
      <alignment horizontal="center"/>
    </xf>
    <xf numFmtId="0" fontId="8" fillId="40" borderId="0" xfId="0" applyFont="1" applyFill="1"/>
    <xf numFmtId="0" fontId="8" fillId="12" borderId="0" xfId="0" applyFont="1" applyFill="1"/>
    <xf numFmtId="0" fontId="87" fillId="39" borderId="0" xfId="0" applyFont="1" applyFill="1"/>
    <xf numFmtId="0" fontId="86" fillId="39" borderId="16" xfId="0" applyFont="1" applyFill="1" applyBorder="1" applyAlignment="1">
      <alignment horizontal="left" indent="1"/>
    </xf>
    <xf numFmtId="0" fontId="86" fillId="39" borderId="0" xfId="0" applyFont="1" applyFill="1" applyAlignment="1">
      <alignment horizontal="left" indent="1"/>
    </xf>
    <xf numFmtId="0" fontId="16" fillId="39" borderId="3" xfId="0" applyFont="1" applyFill="1" applyBorder="1" applyAlignment="1">
      <alignment horizontal="center"/>
    </xf>
    <xf numFmtId="0" fontId="16" fillId="39" borderId="3" xfId="0" applyFont="1" applyFill="1" applyBorder="1"/>
    <xf numFmtId="0" fontId="11" fillId="12" borderId="0" xfId="0" applyFont="1" applyFill="1" applyAlignment="1">
      <alignment horizontal="center"/>
    </xf>
    <xf numFmtId="0" fontId="89" fillId="40" borderId="0" xfId="0" applyFont="1" applyFill="1" applyAlignment="1">
      <alignment horizontal="left"/>
    </xf>
    <xf numFmtId="0" fontId="89" fillId="40" borderId="0" xfId="0" applyFont="1" applyFill="1" applyAlignment="1">
      <alignment horizontal="center"/>
    </xf>
    <xf numFmtId="0" fontId="16" fillId="40" borderId="0" xfId="0" applyFont="1" applyFill="1"/>
    <xf numFmtId="0" fontId="89" fillId="12" borderId="0" xfId="0" applyFont="1" applyFill="1" applyAlignment="1">
      <alignment horizontal="center"/>
    </xf>
    <xf numFmtId="0" fontId="16" fillId="12" borderId="0" xfId="0" applyFont="1" applyFill="1"/>
    <xf numFmtId="0" fontId="11" fillId="0" borderId="0" xfId="0" applyFont="1" applyAlignment="1">
      <alignment horizontal="center"/>
    </xf>
    <xf numFmtId="0" fontId="11" fillId="0" borderId="0" xfId="0" applyFont="1"/>
    <xf numFmtId="0" fontId="11" fillId="12" borderId="0" xfId="0" applyFont="1" applyFill="1" applyAlignment="1"/>
    <xf numFmtId="0" fontId="11" fillId="40" borderId="0" xfId="0" applyFont="1" applyFill="1" applyAlignment="1"/>
    <xf numFmtId="0" fontId="90" fillId="12" borderId="0" xfId="0" applyFont="1" applyFill="1" applyAlignment="1">
      <alignment horizontal="center"/>
    </xf>
    <xf numFmtId="0" fontId="91" fillId="12" borderId="0" xfId="0" applyFont="1" applyFill="1"/>
    <xf numFmtId="0" fontId="90" fillId="40" borderId="0" xfId="0" applyFont="1" applyFill="1" applyAlignment="1">
      <alignment horizontal="center"/>
    </xf>
    <xf numFmtId="0" fontId="91" fillId="40" borderId="0" xfId="0" applyFont="1" applyFill="1"/>
    <xf numFmtId="0" fontId="2" fillId="6" borderId="0" xfId="0" applyFont="1" applyFill="1" applyBorder="1" applyProtection="1">
      <protection hidden="1"/>
    </xf>
    <xf numFmtId="0" fontId="21" fillId="4" borderId="0" xfId="0" applyFont="1" applyFill="1" applyProtection="1">
      <protection hidden="1"/>
    </xf>
    <xf numFmtId="0" fontId="2" fillId="3" borderId="0" xfId="0" applyFont="1" applyFill="1" applyProtection="1">
      <protection hidden="1"/>
    </xf>
    <xf numFmtId="0" fontId="2" fillId="30" borderId="0" xfId="0" applyFont="1" applyFill="1" applyProtection="1">
      <protection hidden="1"/>
    </xf>
    <xf numFmtId="0" fontId="9" fillId="30" borderId="0" xfId="0" applyFont="1" applyFill="1" applyAlignment="1" applyProtection="1">
      <alignment horizontal="left"/>
      <protection hidden="1"/>
    </xf>
    <xf numFmtId="0" fontId="0" fillId="12" borderId="0" xfId="0" applyFont="1" applyFill="1"/>
    <xf numFmtId="0" fontId="11" fillId="12" borderId="0" xfId="0" applyFont="1" applyFill="1" applyBorder="1"/>
    <xf numFmtId="0" fontId="11" fillId="40" borderId="0" xfId="0" applyFont="1" applyFill="1" applyBorder="1"/>
    <xf numFmtId="0" fontId="2" fillId="2" borderId="0" xfId="0" applyFont="1" applyFill="1" applyBorder="1" applyAlignment="1" applyProtection="1">
      <alignment vertical="top" wrapText="1"/>
      <protection hidden="1"/>
    </xf>
    <xf numFmtId="0" fontId="20" fillId="27" borderId="0" xfId="0" applyFont="1" applyFill="1" applyAlignment="1" applyProtection="1">
      <alignment horizontal="center"/>
      <protection hidden="1"/>
    </xf>
    <xf numFmtId="0" fontId="32" fillId="21" borderId="0" xfId="0" applyFont="1" applyFill="1" applyAlignment="1" applyProtection="1">
      <alignment horizontal="center" vertical="top" wrapText="1"/>
      <protection hidden="1"/>
    </xf>
    <xf numFmtId="0" fontId="0" fillId="5" borderId="0" xfId="0" applyFill="1" applyAlignment="1" applyProtection="1">
      <alignment horizontal="center"/>
      <protection hidden="1"/>
    </xf>
    <xf numFmtId="0" fontId="94" fillId="2" borderId="0" xfId="0" applyFont="1" applyFill="1" applyBorder="1" applyAlignment="1" applyProtection="1">
      <alignment horizontal="right" vertical="center" indent="2"/>
      <protection hidden="1"/>
    </xf>
    <xf numFmtId="0" fontId="54" fillId="5" borderId="0" xfId="0" applyFont="1" applyFill="1" applyBorder="1" applyAlignment="1" applyProtection="1">
      <alignment horizontal="center"/>
      <protection hidden="1"/>
    </xf>
    <xf numFmtId="0" fontId="11" fillId="5" borderId="0" xfId="0" applyFont="1" applyFill="1" applyBorder="1" applyAlignment="1" applyProtection="1">
      <alignment horizontal="left"/>
      <protection hidden="1"/>
    </xf>
    <xf numFmtId="0" fontId="19" fillId="4" borderId="0" xfId="0" applyFont="1" applyFill="1" applyAlignment="1" applyProtection="1">
      <alignment horizontal="left" vertical="center"/>
      <protection hidden="1"/>
    </xf>
    <xf numFmtId="0" fontId="21" fillId="4" borderId="0" xfId="0" applyFont="1" applyFill="1" applyAlignment="1" applyProtection="1">
      <alignment horizontal="left" vertical="center"/>
      <protection hidden="1"/>
    </xf>
    <xf numFmtId="0" fontId="0" fillId="14" borderId="0" xfId="0" applyFill="1" applyAlignment="1" applyProtection="1">
      <alignment wrapText="1"/>
      <protection hidden="1"/>
    </xf>
    <xf numFmtId="0" fontId="1" fillId="2" borderId="1" xfId="0" applyFont="1" applyFill="1" applyBorder="1" applyAlignment="1" applyProtection="1">
      <alignment horizontal="right" indent="1"/>
      <protection hidden="1"/>
    </xf>
    <xf numFmtId="0" fontId="95" fillId="16" borderId="0" xfId="0" applyFont="1" applyFill="1" applyProtection="1">
      <protection hidden="1"/>
    </xf>
    <xf numFmtId="0" fontId="0" fillId="16" borderId="0" xfId="0" applyFont="1" applyFill="1" applyAlignment="1" applyProtection="1">
      <protection hidden="1"/>
    </xf>
    <xf numFmtId="0" fontId="0" fillId="16" borderId="20" xfId="0" applyFont="1" applyFill="1" applyBorder="1" applyAlignment="1" applyProtection="1">
      <protection hidden="1"/>
    </xf>
    <xf numFmtId="0" fontId="20" fillId="16" borderId="0" xfId="0" applyFont="1" applyFill="1" applyAlignment="1" applyProtection="1">
      <protection hidden="1"/>
    </xf>
    <xf numFmtId="0" fontId="20" fillId="16" borderId="0" xfId="0" applyFont="1" applyFill="1" applyBorder="1" applyProtection="1">
      <protection hidden="1"/>
    </xf>
    <xf numFmtId="0" fontId="96" fillId="16" borderId="20" xfId="0" applyFont="1" applyFill="1" applyBorder="1" applyProtection="1">
      <protection hidden="1"/>
    </xf>
    <xf numFmtId="0" fontId="95" fillId="16" borderId="20" xfId="0" applyFont="1" applyFill="1" applyBorder="1" applyProtection="1">
      <protection hidden="1"/>
    </xf>
    <xf numFmtId="0" fontId="96" fillId="16" borderId="16" xfId="0" applyFont="1" applyFill="1" applyBorder="1" applyProtection="1">
      <protection hidden="1"/>
    </xf>
    <xf numFmtId="0" fontId="95" fillId="16" borderId="16" xfId="0" applyFont="1" applyFill="1" applyBorder="1" applyProtection="1">
      <protection hidden="1"/>
    </xf>
    <xf numFmtId="0" fontId="38" fillId="4" borderId="0" xfId="0" applyFont="1" applyFill="1" applyAlignment="1" applyProtection="1">
      <alignment vertical="center"/>
      <protection hidden="1"/>
    </xf>
    <xf numFmtId="0" fontId="59" fillId="4" borderId="0" xfId="0" applyFont="1" applyFill="1" applyAlignment="1" applyProtection="1">
      <alignment horizontal="left" vertical="center"/>
      <protection hidden="1"/>
    </xf>
    <xf numFmtId="0" fontId="1" fillId="4" borderId="0" xfId="0" applyFont="1" applyFill="1" applyAlignment="1" applyProtection="1">
      <alignment vertical="center"/>
      <protection hidden="1"/>
    </xf>
    <xf numFmtId="0" fontId="43" fillId="12" borderId="0" xfId="0" applyFont="1" applyFill="1" applyAlignment="1">
      <alignment horizontal="center"/>
    </xf>
    <xf numFmtId="0" fontId="43" fillId="40" borderId="0" xfId="0" applyFont="1" applyFill="1" applyAlignment="1">
      <alignment horizontal="center"/>
    </xf>
    <xf numFmtId="0" fontId="43" fillId="40" borderId="0" xfId="0" applyFont="1" applyFill="1" applyAlignment="1"/>
    <xf numFmtId="0" fontId="43" fillId="12" borderId="0" xfId="0" applyFont="1" applyFill="1" applyAlignment="1"/>
    <xf numFmtId="0" fontId="0" fillId="14" borderId="0" xfId="0" applyFill="1" applyAlignment="1" applyProtection="1">
      <alignment horizontal="center"/>
      <protection hidden="1"/>
    </xf>
    <xf numFmtId="0" fontId="21" fillId="5" borderId="0" xfId="0" applyFont="1" applyFill="1" applyProtection="1">
      <protection hidden="1"/>
    </xf>
    <xf numFmtId="0" fontId="19" fillId="5" borderId="0" xfId="0" applyFont="1" applyFill="1" applyProtection="1">
      <protection hidden="1"/>
    </xf>
    <xf numFmtId="0" fontId="19" fillId="5" borderId="0" xfId="0" applyFont="1" applyFill="1" applyAlignment="1" applyProtection="1">
      <alignment horizontal="left"/>
      <protection hidden="1"/>
    </xf>
    <xf numFmtId="0" fontId="73" fillId="5" borderId="0" xfId="0" applyFont="1" applyFill="1" applyProtection="1">
      <protection hidden="1"/>
    </xf>
    <xf numFmtId="0" fontId="2" fillId="2" borderId="1" xfId="0" applyFont="1" applyFill="1" applyBorder="1" applyAlignment="1" applyProtection="1">
      <alignment horizontal="right"/>
      <protection locked="0" hidden="1"/>
    </xf>
    <xf numFmtId="0" fontId="0" fillId="40" borderId="0" xfId="0" applyFont="1" applyFill="1"/>
    <xf numFmtId="0" fontId="1" fillId="10" borderId="0" xfId="0" applyFont="1" applyFill="1" applyAlignment="1" applyProtection="1">
      <alignment horizontal="center"/>
      <protection hidden="1"/>
    </xf>
    <xf numFmtId="0" fontId="0" fillId="10" borderId="0" xfId="0" applyFill="1" applyProtection="1">
      <protection hidden="1"/>
    </xf>
    <xf numFmtId="0" fontId="43" fillId="10" borderId="0" xfId="0" applyFont="1" applyFill="1" applyProtection="1">
      <protection hidden="1"/>
    </xf>
    <xf numFmtId="0" fontId="2" fillId="10" borderId="0" xfId="0" applyFont="1" applyFill="1" applyAlignment="1" applyProtection="1">
      <alignment horizontal="right"/>
      <protection hidden="1"/>
    </xf>
    <xf numFmtId="0" fontId="1" fillId="10" borderId="0" xfId="0" applyFont="1" applyFill="1" applyAlignment="1" applyProtection="1">
      <alignment horizontal="left"/>
      <protection hidden="1"/>
    </xf>
    <xf numFmtId="0" fontId="0" fillId="10" borderId="3" xfId="0" applyFill="1" applyBorder="1" applyProtection="1">
      <protection hidden="1"/>
    </xf>
    <xf numFmtId="0" fontId="20" fillId="16" borderId="0" xfId="0" applyFont="1" applyFill="1" applyAlignment="1" applyProtection="1">
      <alignment horizontal="center"/>
      <protection hidden="1"/>
    </xf>
    <xf numFmtId="14" fontId="69" fillId="2" borderId="0" xfId="0" applyNumberFormat="1" applyFont="1" applyFill="1" applyBorder="1" applyAlignment="1" applyProtection="1">
      <alignment horizontal="center" vertical="center"/>
      <protection hidden="1"/>
    </xf>
    <xf numFmtId="0" fontId="0" fillId="14" borderId="0" xfId="0" applyFont="1" applyFill="1" applyAlignment="1" applyProtection="1">
      <alignment horizontal="left"/>
      <protection hidden="1"/>
    </xf>
    <xf numFmtId="0" fontId="2" fillId="14" borderId="0" xfId="0" applyFont="1" applyFill="1" applyAlignment="1" applyProtection="1">
      <alignment horizontal="left"/>
      <protection hidden="1"/>
    </xf>
    <xf numFmtId="0" fontId="1" fillId="6" borderId="0" xfId="0" applyFont="1" applyFill="1" applyBorder="1" applyAlignment="1" applyProtection="1">
      <alignment horizontal="center"/>
      <protection hidden="1"/>
    </xf>
    <xf numFmtId="0" fontId="1" fillId="6" borderId="20" xfId="0" applyFont="1" applyFill="1" applyBorder="1" applyAlignment="1" applyProtection="1">
      <alignment horizontal="center"/>
      <protection hidden="1"/>
    </xf>
    <xf numFmtId="0" fontId="1"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0" fillId="2" borderId="12" xfId="0" applyFill="1" applyBorder="1" applyAlignment="1" applyProtection="1">
      <alignment horizontal="left"/>
      <protection hidden="1"/>
    </xf>
    <xf numFmtId="0" fontId="0" fillId="2" borderId="0" xfId="0" applyFill="1" applyAlignment="1" applyProtection="1">
      <alignment horizontal="left"/>
      <protection hidden="1"/>
    </xf>
    <xf numFmtId="0" fontId="0" fillId="2" borderId="18" xfId="0" applyFill="1" applyBorder="1" applyAlignment="1" applyProtection="1">
      <alignment horizontal="center"/>
      <protection hidden="1"/>
    </xf>
    <xf numFmtId="0" fontId="1" fillId="6" borderId="0" xfId="0" applyFont="1" applyFill="1" applyBorder="1" applyAlignment="1" applyProtection="1">
      <alignment horizontal="left"/>
      <protection hidden="1"/>
    </xf>
    <xf numFmtId="0" fontId="1" fillId="15" borderId="16" xfId="0" applyFont="1" applyFill="1" applyBorder="1" applyAlignment="1" applyProtection="1">
      <alignment horizontal="center"/>
      <protection hidden="1"/>
    </xf>
    <xf numFmtId="0" fontId="1" fillId="3" borderId="16" xfId="0" applyFont="1" applyFill="1" applyBorder="1" applyAlignment="1" applyProtection="1">
      <alignment horizontal="left" indent="1"/>
      <protection hidden="1"/>
    </xf>
    <xf numFmtId="0" fontId="2" fillId="3" borderId="16" xfId="0" applyFont="1" applyFill="1" applyBorder="1" applyAlignment="1" applyProtection="1">
      <alignment horizontal="left" vertical="top" indent="2"/>
      <protection hidden="1"/>
    </xf>
    <xf numFmtId="0" fontId="2" fillId="3" borderId="0" xfId="0" applyFont="1" applyFill="1" applyAlignment="1" applyProtection="1">
      <alignment horizontal="left" vertical="top" indent="2"/>
      <protection hidden="1"/>
    </xf>
    <xf numFmtId="0" fontId="40" fillId="3" borderId="0" xfId="0" applyFont="1" applyFill="1" applyAlignment="1" applyProtection="1">
      <alignment horizontal="left" indent="1"/>
      <protection hidden="1"/>
    </xf>
    <xf numFmtId="0" fontId="37" fillId="3" borderId="0" xfId="0" applyFont="1" applyFill="1" applyAlignment="1" applyProtection="1">
      <alignment horizontal="left" vertical="top" indent="2"/>
      <protection hidden="1"/>
    </xf>
    <xf numFmtId="0" fontId="89" fillId="10" borderId="45" xfId="0" applyFont="1" applyFill="1" applyBorder="1" applyAlignment="1">
      <alignment horizontal="right"/>
    </xf>
    <xf numFmtId="0" fontId="16" fillId="10" borderId="46" xfId="0" applyFont="1" applyFill="1" applyBorder="1" applyAlignment="1">
      <alignment horizontal="left"/>
    </xf>
    <xf numFmtId="0" fontId="11" fillId="10" borderId="45" xfId="0" applyFont="1" applyFill="1" applyBorder="1"/>
    <xf numFmtId="0" fontId="11" fillId="10" borderId="47" xfId="0" applyFont="1" applyFill="1" applyBorder="1" applyAlignment="1">
      <alignment horizontal="left"/>
    </xf>
    <xf numFmtId="0" fontId="84" fillId="10" borderId="48" xfId="0" applyFont="1" applyFill="1" applyBorder="1" applyAlignment="1">
      <alignment horizontal="right"/>
    </xf>
    <xf numFmtId="0" fontId="11" fillId="10" borderId="49" xfId="0" applyFont="1" applyFill="1" applyBorder="1" applyAlignment="1">
      <alignment horizontal="left"/>
    </xf>
    <xf numFmtId="0" fontId="11" fillId="10" borderId="48" xfId="0" applyFont="1" applyFill="1" applyBorder="1"/>
    <xf numFmtId="0" fontId="11" fillId="10" borderId="50" xfId="0" applyFont="1" applyFill="1" applyBorder="1" applyAlignment="1">
      <alignment horizontal="left"/>
    </xf>
    <xf numFmtId="0" fontId="84" fillId="10" borderId="51" xfId="0" applyFont="1" applyFill="1" applyBorder="1" applyAlignment="1">
      <alignment horizontal="right"/>
    </xf>
    <xf numFmtId="0" fontId="11" fillId="10" borderId="52" xfId="0" applyFont="1" applyFill="1" applyBorder="1" applyAlignment="1">
      <alignment horizontal="left"/>
    </xf>
    <xf numFmtId="0" fontId="11" fillId="10" borderId="51" xfId="0" applyFont="1" applyFill="1" applyBorder="1"/>
    <xf numFmtId="0" fontId="11" fillId="10" borderId="53" xfId="0" applyFont="1" applyFill="1" applyBorder="1" applyAlignment="1">
      <alignment horizontal="left"/>
    </xf>
    <xf numFmtId="0" fontId="89" fillId="20" borderId="45" xfId="0" applyFont="1" applyFill="1" applyBorder="1" applyAlignment="1">
      <alignment horizontal="right"/>
    </xf>
    <xf numFmtId="0" fontId="16" fillId="20" borderId="46" xfId="0" applyFont="1" applyFill="1" applyBorder="1" applyAlignment="1">
      <alignment horizontal="left"/>
    </xf>
    <xf numFmtId="0" fontId="11" fillId="20" borderId="45" xfId="0" applyFont="1" applyFill="1" applyBorder="1"/>
    <xf numFmtId="0" fontId="11" fillId="20" borderId="47" xfId="0" applyFont="1" applyFill="1" applyBorder="1" applyAlignment="1">
      <alignment horizontal="left"/>
    </xf>
    <xf numFmtId="0" fontId="84" fillId="20" borderId="48" xfId="0" applyFont="1" applyFill="1" applyBorder="1" applyAlignment="1">
      <alignment horizontal="right"/>
    </xf>
    <xf numFmtId="0" fontId="11" fillId="20" borderId="49" xfId="0" applyFont="1" applyFill="1" applyBorder="1" applyAlignment="1">
      <alignment horizontal="left"/>
    </xf>
    <xf numFmtId="0" fontId="11" fillId="20" borderId="48" xfId="0" applyFont="1" applyFill="1" applyBorder="1"/>
    <xf numFmtId="0" fontId="11" fillId="20" borderId="50" xfId="0" applyFont="1" applyFill="1" applyBorder="1" applyAlignment="1">
      <alignment horizontal="left"/>
    </xf>
    <xf numFmtId="0" fontId="84" fillId="20" borderId="51" xfId="0" applyFont="1" applyFill="1" applyBorder="1" applyAlignment="1">
      <alignment horizontal="right"/>
    </xf>
    <xf numFmtId="0" fontId="11" fillId="20" borderId="52" xfId="0" applyFont="1" applyFill="1" applyBorder="1" applyAlignment="1">
      <alignment horizontal="left"/>
    </xf>
    <xf numFmtId="0" fontId="11" fillId="20" borderId="51" xfId="0" applyFont="1" applyFill="1" applyBorder="1"/>
    <xf numFmtId="0" fontId="11" fillId="20" borderId="53" xfId="0" applyFont="1" applyFill="1" applyBorder="1" applyAlignment="1">
      <alignment horizontal="left"/>
    </xf>
    <xf numFmtId="0" fontId="43" fillId="0" borderId="0" xfId="0" applyFont="1" applyFill="1"/>
    <xf numFmtId="0" fontId="81" fillId="10" borderId="21" xfId="0" applyFont="1" applyFill="1" applyBorder="1" applyAlignment="1">
      <alignment horizontal="center"/>
    </xf>
    <xf numFmtId="0" fontId="43" fillId="10" borderId="2" xfId="0" applyFont="1" applyFill="1" applyBorder="1" applyAlignment="1">
      <alignment horizontal="center"/>
    </xf>
    <xf numFmtId="0" fontId="81" fillId="10" borderId="23" xfId="0" applyFont="1" applyFill="1" applyBorder="1" applyAlignment="1">
      <alignment horizontal="center"/>
    </xf>
    <xf numFmtId="0" fontId="43" fillId="10" borderId="3" xfId="0" applyFont="1" applyFill="1" applyBorder="1" applyAlignment="1">
      <alignment horizontal="center"/>
    </xf>
    <xf numFmtId="0" fontId="11" fillId="21" borderId="54" xfId="0" applyFont="1" applyFill="1" applyBorder="1" applyAlignment="1">
      <alignment horizontal="center"/>
    </xf>
    <xf numFmtId="0" fontId="11" fillId="11" borderId="54" xfId="0" applyFont="1" applyFill="1" applyBorder="1" applyAlignment="1">
      <alignment horizontal="center"/>
    </xf>
    <xf numFmtId="0" fontId="11" fillId="21" borderId="55" xfId="0" applyFont="1" applyFill="1" applyBorder="1" applyAlignment="1">
      <alignment horizontal="center"/>
    </xf>
    <xf numFmtId="0" fontId="11" fillId="11" borderId="55" xfId="0" applyFont="1" applyFill="1" applyBorder="1" applyAlignment="1">
      <alignment horizontal="center"/>
    </xf>
    <xf numFmtId="0" fontId="11" fillId="21" borderId="56" xfId="0" applyFont="1" applyFill="1" applyBorder="1" applyAlignment="1">
      <alignment horizontal="center"/>
    </xf>
    <xf numFmtId="0" fontId="11" fillId="11" borderId="56" xfId="0" applyFont="1" applyFill="1" applyBorder="1" applyAlignment="1">
      <alignment horizontal="center"/>
    </xf>
    <xf numFmtId="0" fontId="3" fillId="7" borderId="0" xfId="0" applyFont="1" applyFill="1" applyAlignment="1" applyProtection="1">
      <alignment horizontal="left"/>
      <protection hidden="1"/>
    </xf>
    <xf numFmtId="0" fontId="65" fillId="5" borderId="0" xfId="0" applyFont="1" applyFill="1" applyAlignment="1" applyProtection="1">
      <alignment horizontal="left" vertical="center"/>
      <protection hidden="1"/>
    </xf>
    <xf numFmtId="0" fontId="3" fillId="7" borderId="0" xfId="0" applyFont="1" applyFill="1" applyAlignment="1" applyProtection="1">
      <protection hidden="1"/>
    </xf>
    <xf numFmtId="1" fontId="5" fillId="2" borderId="4" xfId="0" applyNumberFormat="1" applyFont="1" applyFill="1" applyBorder="1" applyAlignment="1" applyProtection="1">
      <protection hidden="1"/>
    </xf>
    <xf numFmtId="0" fontId="94" fillId="2" borderId="4" xfId="0" applyFont="1" applyFill="1" applyBorder="1" applyAlignment="1" applyProtection="1">
      <alignment horizontal="right" vertical="center"/>
      <protection hidden="1"/>
    </xf>
    <xf numFmtId="20" fontId="2" fillId="3" borderId="4" xfId="0" applyNumberFormat="1" applyFont="1" applyFill="1" applyBorder="1" applyAlignment="1" applyProtection="1">
      <protection locked="0"/>
    </xf>
    <xf numFmtId="49" fontId="2" fillId="3" borderId="4" xfId="0" applyNumberFormat="1" applyFont="1" applyFill="1" applyBorder="1" applyAlignment="1" applyProtection="1">
      <alignment horizontal="left"/>
      <protection locked="0" hidden="1"/>
    </xf>
    <xf numFmtId="0" fontId="92" fillId="5" borderId="21" xfId="0" applyFont="1" applyFill="1" applyBorder="1" applyProtection="1">
      <protection hidden="1"/>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11" fillId="5" borderId="6" xfId="0" applyFont="1" applyFill="1" applyBorder="1" applyAlignment="1" applyProtection="1">
      <alignment horizontal="center"/>
      <protection hidden="1"/>
    </xf>
    <xf numFmtId="0" fontId="17" fillId="5" borderId="0" xfId="0" applyFont="1" applyFill="1" applyBorder="1" applyAlignment="1" applyProtection="1">
      <protection hidden="1"/>
    </xf>
    <xf numFmtId="0" fontId="17" fillId="5" borderId="3" xfId="0" applyFont="1" applyFill="1" applyBorder="1" applyAlignment="1" applyProtection="1">
      <protection hidden="1"/>
    </xf>
    <xf numFmtId="0" fontId="0" fillId="5" borderId="16" xfId="0" applyFill="1" applyBorder="1" applyAlignment="1" applyProtection="1">
      <alignment horizontal="center"/>
      <protection hidden="1"/>
    </xf>
    <xf numFmtId="0" fontId="0" fillId="5" borderId="23" xfId="0" applyFill="1" applyBorder="1" applyAlignment="1" applyProtection="1">
      <alignment horizontal="center"/>
      <protection hidden="1"/>
    </xf>
    <xf numFmtId="0" fontId="0" fillId="5" borderId="21" xfId="0" applyFill="1" applyBorder="1" applyAlignment="1" applyProtection="1">
      <alignment horizontal="center"/>
      <protection hidden="1"/>
    </xf>
    <xf numFmtId="0" fontId="0" fillId="5" borderId="22" xfId="0" applyFill="1" applyBorder="1" applyAlignment="1" applyProtection="1">
      <alignment horizontal="left"/>
      <protection hidden="1"/>
    </xf>
    <xf numFmtId="0" fontId="0" fillId="5" borderId="20" xfId="0" applyFill="1" applyBorder="1" applyAlignment="1" applyProtection="1">
      <alignment horizontal="left"/>
      <protection hidden="1"/>
    </xf>
    <xf numFmtId="0" fontId="0" fillId="5" borderId="19" xfId="0" applyFill="1" applyBorder="1" applyAlignment="1" applyProtection="1">
      <alignment horizontal="left"/>
      <protection hidden="1"/>
    </xf>
    <xf numFmtId="0" fontId="17" fillId="5" borderId="16" xfId="0" applyFont="1" applyFill="1" applyBorder="1" applyAlignment="1" applyProtection="1">
      <protection hidden="1"/>
    </xf>
    <xf numFmtId="0" fontId="17" fillId="5" borderId="20" xfId="0" applyFont="1" applyFill="1" applyBorder="1" applyAlignment="1" applyProtection="1">
      <protection hidden="1"/>
    </xf>
    <xf numFmtId="0" fontId="17" fillId="5" borderId="23" xfId="0" applyFont="1" applyFill="1" applyBorder="1" applyAlignment="1" applyProtection="1">
      <protection hidden="1"/>
    </xf>
    <xf numFmtId="0" fontId="17" fillId="5" borderId="19" xfId="0" applyFont="1" applyFill="1" applyBorder="1" applyAlignment="1" applyProtection="1">
      <protection hidden="1"/>
    </xf>
    <xf numFmtId="0" fontId="92" fillId="42" borderId="21" xfId="0" applyFont="1" applyFill="1" applyBorder="1" applyProtection="1">
      <protection hidden="1"/>
    </xf>
    <xf numFmtId="0" fontId="54" fillId="42" borderId="22" xfId="0" applyFont="1" applyFill="1" applyBorder="1" applyAlignment="1" applyProtection="1">
      <alignment horizontal="center"/>
      <protection hidden="1"/>
    </xf>
    <xf numFmtId="0" fontId="11" fillId="42" borderId="16" xfId="0" applyFont="1" applyFill="1" applyBorder="1" applyProtection="1">
      <protection hidden="1"/>
    </xf>
    <xf numFmtId="0" fontId="11" fillId="42" borderId="20" xfId="0" applyFont="1" applyFill="1" applyBorder="1" applyAlignment="1" applyProtection="1">
      <alignment horizontal="center"/>
      <protection hidden="1"/>
    </xf>
    <xf numFmtId="0" fontId="17" fillId="42" borderId="5" xfId="0" applyFont="1" applyFill="1" applyBorder="1" applyAlignment="1" applyProtection="1">
      <alignment horizontal="center"/>
      <protection hidden="1"/>
    </xf>
    <xf numFmtId="0" fontId="17" fillId="42" borderId="6" xfId="0" applyFont="1" applyFill="1" applyBorder="1" applyAlignment="1" applyProtection="1">
      <alignment horizontal="center"/>
      <protection hidden="1"/>
    </xf>
    <xf numFmtId="0" fontId="11" fillId="42" borderId="6" xfId="0" applyFont="1" applyFill="1" applyBorder="1" applyAlignment="1" applyProtection="1">
      <alignment horizontal="center"/>
      <protection hidden="1"/>
    </xf>
    <xf numFmtId="0" fontId="11" fillId="42" borderId="7" xfId="0" applyFont="1" applyFill="1" applyBorder="1" applyAlignment="1" applyProtection="1">
      <alignment horizontal="center"/>
      <protection hidden="1"/>
    </xf>
    <xf numFmtId="0" fontId="92" fillId="23" borderId="21" xfId="0" applyFont="1" applyFill="1" applyBorder="1" applyProtection="1">
      <protection hidden="1"/>
    </xf>
    <xf numFmtId="0" fontId="54" fillId="23" borderId="22" xfId="0" applyFont="1" applyFill="1" applyBorder="1" applyAlignment="1" applyProtection="1">
      <alignment horizontal="center"/>
      <protection hidden="1"/>
    </xf>
    <xf numFmtId="0" fontId="17" fillId="23" borderId="5" xfId="0" applyFont="1" applyFill="1" applyBorder="1" applyAlignment="1" applyProtection="1">
      <alignment horizontal="center"/>
      <protection hidden="1"/>
    </xf>
    <xf numFmtId="0" fontId="11" fillId="23" borderId="16" xfId="0" applyFont="1" applyFill="1" applyBorder="1" applyProtection="1">
      <protection hidden="1"/>
    </xf>
    <xf numFmtId="0" fontId="11" fillId="23" borderId="20" xfId="0" applyFont="1" applyFill="1" applyBorder="1" applyAlignment="1" applyProtection="1">
      <alignment horizontal="center"/>
      <protection hidden="1"/>
    </xf>
    <xf numFmtId="0" fontId="17" fillId="23" borderId="6" xfId="0" applyFont="1" applyFill="1" applyBorder="1" applyAlignment="1" applyProtection="1">
      <alignment horizontal="center"/>
      <protection hidden="1"/>
    </xf>
    <xf numFmtId="0" fontId="11" fillId="23" borderId="6" xfId="0" applyFont="1" applyFill="1" applyBorder="1" applyAlignment="1" applyProtection="1">
      <alignment horizontal="center"/>
      <protection hidden="1"/>
    </xf>
    <xf numFmtId="0" fontId="11" fillId="23" borderId="23" xfId="0" applyFont="1" applyFill="1" applyBorder="1" applyProtection="1">
      <protection hidden="1"/>
    </xf>
    <xf numFmtId="0" fontId="11" fillId="23" borderId="19" xfId="0" applyFont="1" applyFill="1" applyBorder="1" applyAlignment="1" applyProtection="1">
      <alignment horizontal="center"/>
      <protection hidden="1"/>
    </xf>
    <xf numFmtId="0" fontId="11" fillId="23" borderId="7" xfId="0" applyFont="1" applyFill="1" applyBorder="1" applyAlignment="1" applyProtection="1">
      <alignment horizontal="center"/>
      <protection hidden="1"/>
    </xf>
    <xf numFmtId="0" fontId="92" fillId="43" borderId="21" xfId="0" applyFont="1" applyFill="1" applyBorder="1" applyProtection="1">
      <protection hidden="1"/>
    </xf>
    <xf numFmtId="0" fontId="54" fillId="43" borderId="22" xfId="0" applyFont="1" applyFill="1" applyBorder="1" applyAlignment="1" applyProtection="1">
      <alignment horizontal="center"/>
      <protection hidden="1"/>
    </xf>
    <xf numFmtId="0" fontId="11" fillId="43" borderId="16" xfId="0" applyFont="1" applyFill="1" applyBorder="1" applyProtection="1">
      <protection hidden="1"/>
    </xf>
    <xf numFmtId="0" fontId="11" fillId="43" borderId="20" xfId="0" applyFont="1" applyFill="1" applyBorder="1" applyAlignment="1" applyProtection="1">
      <alignment horizontal="center"/>
      <protection hidden="1"/>
    </xf>
    <xf numFmtId="0" fontId="11" fillId="43" borderId="23" xfId="0" applyFont="1" applyFill="1" applyBorder="1" applyProtection="1">
      <protection hidden="1"/>
    </xf>
    <xf numFmtId="0" fontId="11" fillId="43" borderId="19" xfId="0" applyFont="1" applyFill="1" applyBorder="1" applyAlignment="1" applyProtection="1">
      <alignment horizontal="center"/>
      <protection hidden="1"/>
    </xf>
    <xf numFmtId="0" fontId="92" fillId="44" borderId="21" xfId="0" applyFont="1" applyFill="1" applyBorder="1" applyProtection="1">
      <protection hidden="1"/>
    </xf>
    <xf numFmtId="0" fontId="54" fillId="44" borderId="22" xfId="0" applyFont="1" applyFill="1" applyBorder="1" applyAlignment="1" applyProtection="1">
      <alignment horizontal="center"/>
      <protection hidden="1"/>
    </xf>
    <xf numFmtId="0" fontId="17" fillId="44" borderId="5" xfId="0" applyFont="1" applyFill="1" applyBorder="1" applyAlignment="1" applyProtection="1">
      <alignment horizontal="center"/>
      <protection hidden="1"/>
    </xf>
    <xf numFmtId="0" fontId="11" fillId="44" borderId="16" xfId="0" applyFont="1" applyFill="1" applyBorder="1" applyProtection="1">
      <protection hidden="1"/>
    </xf>
    <xf numFmtId="0" fontId="11" fillId="44" borderId="20" xfId="0" applyFont="1" applyFill="1" applyBorder="1" applyAlignment="1" applyProtection="1">
      <alignment horizontal="center"/>
      <protection hidden="1"/>
    </xf>
    <xf numFmtId="0" fontId="17" fillId="44" borderId="6" xfId="0" applyFont="1" applyFill="1" applyBorder="1" applyAlignment="1" applyProtection="1">
      <alignment horizontal="center"/>
      <protection hidden="1"/>
    </xf>
    <xf numFmtId="0" fontId="11" fillId="44" borderId="6" xfId="0" applyFont="1" applyFill="1" applyBorder="1" applyAlignment="1" applyProtection="1">
      <alignment horizontal="center"/>
      <protection hidden="1"/>
    </xf>
    <xf numFmtId="0" fontId="11" fillId="44" borderId="23" xfId="0" applyFont="1" applyFill="1" applyBorder="1" applyProtection="1">
      <protection hidden="1"/>
    </xf>
    <xf numFmtId="0" fontId="11" fillId="44" borderId="19" xfId="0" applyFont="1" applyFill="1" applyBorder="1" applyAlignment="1" applyProtection="1">
      <alignment horizontal="center"/>
      <protection hidden="1"/>
    </xf>
    <xf numFmtId="0" fontId="11" fillId="44" borderId="7" xfId="0" applyFont="1" applyFill="1" applyBorder="1" applyAlignment="1" applyProtection="1">
      <alignment horizontal="center"/>
      <protection hidden="1"/>
    </xf>
    <xf numFmtId="0" fontId="0" fillId="13" borderId="22" xfId="0" applyFill="1" applyBorder="1" applyAlignment="1" applyProtection="1">
      <alignment horizontal="left"/>
      <protection hidden="1"/>
    </xf>
    <xf numFmtId="0" fontId="0" fillId="13" borderId="16" xfId="0" applyFill="1" applyBorder="1" applyAlignment="1" applyProtection="1">
      <alignment horizontal="center"/>
      <protection hidden="1"/>
    </xf>
    <xf numFmtId="0" fontId="0" fillId="13" borderId="20" xfId="0" applyFill="1" applyBorder="1" applyAlignment="1" applyProtection="1">
      <alignment horizontal="left"/>
      <protection hidden="1"/>
    </xf>
    <xf numFmtId="0" fontId="0" fillId="13" borderId="23" xfId="0" applyFill="1" applyBorder="1" applyAlignment="1" applyProtection="1">
      <alignment horizontal="center"/>
      <protection hidden="1"/>
    </xf>
    <xf numFmtId="0" fontId="0" fillId="13" borderId="19" xfId="0" applyFill="1" applyBorder="1" applyAlignment="1" applyProtection="1">
      <alignment horizontal="left"/>
      <protection hidden="1"/>
    </xf>
    <xf numFmtId="0" fontId="1" fillId="13" borderId="21" xfId="0" applyFont="1" applyFill="1" applyBorder="1" applyAlignment="1" applyProtection="1">
      <alignment horizontal="left" vertical="center" indent="1"/>
      <protection hidden="1"/>
    </xf>
    <xf numFmtId="0" fontId="0" fillId="5" borderId="0" xfId="0" applyFill="1" applyAlignment="1" applyProtection="1">
      <alignment horizontal="center"/>
      <protection hidden="1"/>
    </xf>
    <xf numFmtId="0" fontId="4" fillId="3" borderId="0" xfId="0" applyFont="1" applyFill="1" applyBorder="1" applyAlignment="1" applyProtection="1">
      <alignment horizontal="left" indent="1"/>
      <protection hidden="1"/>
    </xf>
    <xf numFmtId="0" fontId="2" fillId="2" borderId="0" xfId="0" applyFont="1" applyFill="1" applyBorder="1" applyAlignment="1" applyProtection="1">
      <alignment horizontal="left" vertical="top" wrapText="1" indent="3"/>
      <protection hidden="1"/>
    </xf>
    <xf numFmtId="0" fontId="0" fillId="3" borderId="1" xfId="0" applyFill="1" applyBorder="1" applyAlignment="1" applyProtection="1">
      <alignment horizontal="center" vertical="center"/>
      <protection hidden="1"/>
    </xf>
    <xf numFmtId="0" fontId="0" fillId="10" borderId="0" xfId="0" applyFill="1" applyAlignment="1" applyProtection="1">
      <alignment horizontal="left"/>
      <protection hidden="1"/>
    </xf>
    <xf numFmtId="0" fontId="0" fillId="20" borderId="0" xfId="0" applyFill="1" applyAlignment="1" applyProtection="1">
      <alignment horizontal="left"/>
      <protection hidden="1"/>
    </xf>
    <xf numFmtId="0" fontId="11" fillId="10" borderId="0" xfId="0" applyFont="1" applyFill="1" applyAlignment="1" applyProtection="1">
      <alignment horizontal="left"/>
      <protection hidden="1"/>
    </xf>
    <xf numFmtId="0" fontId="11" fillId="20" borderId="0" xfId="0" applyFont="1" applyFill="1" applyAlignment="1" applyProtection="1">
      <alignment horizontal="left"/>
      <protection hidden="1"/>
    </xf>
    <xf numFmtId="0" fontId="1" fillId="20" borderId="0" xfId="0" applyFont="1" applyFill="1" applyAlignment="1" applyProtection="1">
      <alignment horizontal="left"/>
      <protection hidden="1"/>
    </xf>
    <xf numFmtId="0" fontId="5" fillId="45" borderId="0" xfId="0" applyFont="1" applyFill="1" applyAlignment="1" applyProtection="1">
      <alignment horizontal="left"/>
      <protection hidden="1"/>
    </xf>
    <xf numFmtId="0" fontId="6" fillId="45" borderId="0" xfId="0" applyFont="1" applyFill="1" applyAlignment="1" applyProtection="1">
      <alignment horizontal="left"/>
      <protection hidden="1"/>
    </xf>
    <xf numFmtId="0" fontId="4" fillId="3" borderId="0" xfId="0" applyFont="1" applyFill="1" applyBorder="1" applyAlignment="1" applyProtection="1">
      <protection hidden="1"/>
    </xf>
    <xf numFmtId="0" fontId="92" fillId="46" borderId="21" xfId="0" applyFont="1" applyFill="1" applyBorder="1" applyProtection="1">
      <protection hidden="1"/>
    </xf>
    <xf numFmtId="0" fontId="54" fillId="46" borderId="22" xfId="0" applyFont="1" applyFill="1" applyBorder="1" applyAlignment="1" applyProtection="1">
      <alignment horizontal="center"/>
      <protection hidden="1"/>
    </xf>
    <xf numFmtId="0" fontId="11" fillId="46" borderId="16" xfId="0" applyFont="1" applyFill="1" applyBorder="1" applyProtection="1">
      <protection hidden="1"/>
    </xf>
    <xf numFmtId="0" fontId="11" fillId="46" borderId="20" xfId="0" applyFont="1" applyFill="1" applyBorder="1" applyAlignment="1" applyProtection="1">
      <alignment horizontal="center"/>
      <protection hidden="1"/>
    </xf>
    <xf numFmtId="0" fontId="11" fillId="46" borderId="23" xfId="0" applyFont="1" applyFill="1" applyBorder="1" applyProtection="1">
      <protection hidden="1"/>
    </xf>
    <xf numFmtId="0" fontId="11" fillId="46" borderId="19" xfId="0" applyFont="1" applyFill="1" applyBorder="1" applyAlignment="1" applyProtection="1">
      <alignment horizontal="center"/>
      <protection hidden="1"/>
    </xf>
    <xf numFmtId="0" fontId="94" fillId="2" borderId="0" xfId="0" applyFont="1" applyFill="1" applyBorder="1" applyAlignment="1" applyProtection="1">
      <alignment horizontal="right" vertical="center"/>
      <protection hidden="1"/>
    </xf>
    <xf numFmtId="0" fontId="1" fillId="24" borderId="0" xfId="0" applyFont="1" applyFill="1" applyAlignment="1" applyProtection="1">
      <alignment vertical="center"/>
      <protection hidden="1"/>
    </xf>
    <xf numFmtId="0" fontId="16" fillId="10" borderId="0" xfId="0" applyFont="1" applyFill="1" applyAlignment="1" applyProtection="1">
      <alignment horizontal="left"/>
      <protection hidden="1"/>
    </xf>
    <xf numFmtId="0" fontId="16" fillId="20" borderId="0" xfId="0" applyFont="1" applyFill="1" applyAlignment="1" applyProtection="1">
      <alignment horizontal="left"/>
      <protection hidden="1"/>
    </xf>
    <xf numFmtId="0" fontId="36" fillId="3" borderId="17" xfId="0" applyFont="1" applyFill="1" applyBorder="1" applyAlignment="1" applyProtection="1">
      <alignment horizontal="center" vertical="center"/>
      <protection locked="0" hidden="1"/>
    </xf>
    <xf numFmtId="0" fontId="34" fillId="2" borderId="0" xfId="0" applyFont="1" applyFill="1" applyBorder="1" applyProtection="1">
      <protection hidden="1"/>
    </xf>
    <xf numFmtId="0" fontId="16" fillId="18" borderId="0" xfId="0" applyFont="1" applyFill="1" applyAlignment="1" applyProtection="1">
      <alignment horizontal="center"/>
      <protection hidden="1"/>
    </xf>
    <xf numFmtId="0" fontId="16" fillId="2" borderId="1" xfId="0" applyFont="1" applyFill="1" applyBorder="1" applyAlignment="1" applyProtection="1">
      <alignment horizontal="center" vertical="center"/>
      <protection hidden="1"/>
    </xf>
    <xf numFmtId="0" fontId="16" fillId="5" borderId="0" xfId="0" applyFont="1" applyFill="1" applyAlignment="1" applyProtection="1">
      <alignment horizontal="right"/>
      <protection hidden="1"/>
    </xf>
    <xf numFmtId="0" fontId="16" fillId="5" borderId="0" xfId="0" applyFont="1" applyFill="1" applyAlignment="1" applyProtection="1">
      <alignment horizontal="center"/>
      <protection hidden="1"/>
    </xf>
    <xf numFmtId="0" fontId="11" fillId="18" borderId="0" xfId="0" applyFont="1" applyFill="1" applyAlignment="1" applyProtection="1">
      <alignment horizontal="center"/>
      <protection hidden="1"/>
    </xf>
    <xf numFmtId="0" fontId="11" fillId="18" borderId="0" xfId="0" applyFont="1" applyFill="1" applyAlignment="1" applyProtection="1">
      <alignment horizontal="center" vertical="center"/>
      <protection hidden="1"/>
    </xf>
    <xf numFmtId="1" fontId="2" fillId="3" borderId="4" xfId="0" applyNumberFormat="1" applyFont="1" applyFill="1" applyBorder="1" applyAlignment="1" applyProtection="1">
      <alignment horizontal="center"/>
      <protection locked="0"/>
    </xf>
    <xf numFmtId="0" fontId="94" fillId="3" borderId="17" xfId="0" applyFont="1" applyFill="1" applyBorder="1" applyAlignment="1" applyProtection="1">
      <alignment vertical="top" wrapText="1"/>
      <protection hidden="1"/>
    </xf>
    <xf numFmtId="0" fontId="0" fillId="4" borderId="0" xfId="0" applyFill="1" applyAlignment="1" applyProtection="1">
      <alignment horizontal="center"/>
      <protection hidden="1"/>
    </xf>
    <xf numFmtId="0" fontId="0" fillId="20" borderId="0" xfId="0" applyFill="1" applyAlignment="1" applyProtection="1">
      <alignment horizontal="left"/>
      <protection hidden="1"/>
    </xf>
    <xf numFmtId="0" fontId="51" fillId="2" borderId="18" xfId="0" applyFont="1" applyFill="1" applyBorder="1" applyAlignment="1" applyProtection="1">
      <alignment horizontal="center"/>
      <protection hidden="1"/>
    </xf>
    <xf numFmtId="0" fontId="61" fillId="20" borderId="0" xfId="0" applyFont="1" applyFill="1" applyAlignment="1" applyProtection="1">
      <alignment vertical="center" wrapText="1"/>
      <protection hidden="1"/>
    </xf>
    <xf numFmtId="0" fontId="61" fillId="20" borderId="2" xfId="0" applyFont="1" applyFill="1" applyBorder="1" applyAlignment="1" applyProtection="1">
      <alignment vertical="center" wrapText="1"/>
      <protection hidden="1"/>
    </xf>
    <xf numFmtId="0" fontId="52" fillId="20" borderId="0" xfId="0" applyFont="1" applyFill="1" applyAlignment="1" applyProtection="1">
      <alignment vertical="center"/>
      <protection hidden="1"/>
    </xf>
    <xf numFmtId="0" fontId="52" fillId="20" borderId="0" xfId="0" applyFont="1" applyFill="1" applyBorder="1" applyAlignment="1" applyProtection="1">
      <alignment vertical="center"/>
      <protection hidden="1"/>
    </xf>
    <xf numFmtId="0" fontId="52" fillId="20" borderId="0" xfId="0" applyFont="1" applyFill="1" applyAlignment="1" applyProtection="1">
      <alignment horizontal="center" vertical="center"/>
      <protection hidden="1"/>
    </xf>
    <xf numFmtId="0" fontId="53" fillId="20" borderId="0" xfId="0" applyFont="1" applyFill="1" applyAlignment="1" applyProtection="1">
      <alignment horizontal="left" vertical="center" indent="1"/>
      <protection hidden="1"/>
    </xf>
    <xf numFmtId="0" fontId="103" fillId="13" borderId="0" xfId="0" applyFont="1" applyFill="1" applyBorder="1" applyAlignment="1" applyProtection="1">
      <alignment horizontal="center"/>
      <protection hidden="1"/>
    </xf>
    <xf numFmtId="0" fontId="64" fillId="13" borderId="20" xfId="0" applyFont="1" applyFill="1" applyBorder="1" applyAlignment="1" applyProtection="1">
      <alignment horizontal="center"/>
      <protection hidden="1"/>
    </xf>
    <xf numFmtId="0" fontId="0" fillId="13" borderId="20" xfId="0" applyFill="1" applyBorder="1" applyAlignment="1" applyProtection="1">
      <alignment horizontal="center"/>
      <protection hidden="1"/>
    </xf>
    <xf numFmtId="0" fontId="0" fillId="13" borderId="19" xfId="0" applyFill="1" applyBorder="1" applyAlignment="1" applyProtection="1">
      <alignment horizontal="center"/>
      <protection hidden="1"/>
    </xf>
    <xf numFmtId="0" fontId="0" fillId="4" borderId="0" xfId="0" applyFill="1" applyAlignment="1" applyProtection="1">
      <alignment horizontal="center"/>
      <protection hidden="1"/>
    </xf>
    <xf numFmtId="0" fontId="103" fillId="13" borderId="19" xfId="0" applyFont="1" applyFill="1" applyBorder="1" applyAlignment="1" applyProtection="1">
      <alignment horizontal="center"/>
      <protection hidden="1"/>
    </xf>
    <xf numFmtId="0" fontId="65" fillId="13" borderId="0" xfId="0" applyFont="1" applyFill="1" applyBorder="1" applyAlignment="1" applyProtection="1">
      <alignment horizontal="center"/>
      <protection hidden="1"/>
    </xf>
    <xf numFmtId="0" fontId="65" fillId="13" borderId="0" xfId="0" applyFont="1" applyFill="1" applyBorder="1" applyAlignment="1" applyProtection="1">
      <alignment horizontal="left"/>
      <protection hidden="1"/>
    </xf>
    <xf numFmtId="0" fontId="103" fillId="13" borderId="3" xfId="0" applyFont="1" applyFill="1" applyBorder="1" applyAlignment="1" applyProtection="1">
      <alignment horizontal="center"/>
      <protection hidden="1"/>
    </xf>
    <xf numFmtId="0" fontId="0" fillId="47" borderId="0" xfId="0" applyFill="1" applyAlignment="1" applyProtection="1">
      <alignment horizontal="center"/>
      <protection hidden="1"/>
    </xf>
    <xf numFmtId="0" fontId="64" fillId="13" borderId="22" xfId="0" applyFont="1" applyFill="1" applyBorder="1" applyAlignment="1" applyProtection="1">
      <alignment horizontal="center"/>
      <protection hidden="1"/>
    </xf>
    <xf numFmtId="0" fontId="64" fillId="13" borderId="0" xfId="0" applyFont="1" applyFill="1" applyBorder="1" applyAlignment="1" applyProtection="1">
      <alignment horizontal="right"/>
      <protection hidden="1"/>
    </xf>
    <xf numFmtId="0" fontId="65" fillId="13" borderId="20" xfId="0" applyFont="1" applyFill="1" applyBorder="1" applyAlignment="1" applyProtection="1">
      <alignment horizontal="left"/>
      <protection hidden="1"/>
    </xf>
    <xf numFmtId="0" fontId="52" fillId="13" borderId="0" xfId="0" applyFont="1" applyFill="1" applyBorder="1" applyAlignment="1" applyProtection="1">
      <alignment horizontal="center" vertical="center"/>
      <protection hidden="1"/>
    </xf>
    <xf numFmtId="0" fontId="65" fillId="45" borderId="2" xfId="0" applyFont="1" applyFill="1" applyBorder="1" applyAlignment="1" applyProtection="1">
      <alignment horizontal="center"/>
      <protection hidden="1"/>
    </xf>
    <xf numFmtId="0" fontId="65" fillId="45" borderId="2" xfId="0" applyFont="1" applyFill="1" applyBorder="1" applyAlignment="1" applyProtection="1">
      <alignment horizontal="left"/>
      <protection hidden="1"/>
    </xf>
    <xf numFmtId="0" fontId="64" fillId="45" borderId="0" xfId="0" applyFont="1" applyFill="1" applyBorder="1" applyAlignment="1" applyProtection="1">
      <alignment horizontal="right"/>
      <protection hidden="1"/>
    </xf>
    <xf numFmtId="0" fontId="65" fillId="45" borderId="20" xfId="0" applyFont="1" applyFill="1" applyBorder="1" applyAlignment="1" applyProtection="1">
      <alignment horizontal="left"/>
      <protection hidden="1"/>
    </xf>
    <xf numFmtId="0" fontId="64" fillId="45" borderId="0" xfId="0" applyFont="1" applyFill="1" applyBorder="1" applyAlignment="1" applyProtection="1">
      <alignment horizontal="center"/>
      <protection hidden="1"/>
    </xf>
    <xf numFmtId="0" fontId="64" fillId="45" borderId="0" xfId="0" applyFont="1" applyFill="1" applyBorder="1" applyAlignment="1" applyProtection="1">
      <alignment horizontal="left"/>
      <protection hidden="1"/>
    </xf>
    <xf numFmtId="0" fontId="64" fillId="45" borderId="3" xfId="0" applyFont="1" applyFill="1" applyBorder="1" applyAlignment="1" applyProtection="1">
      <alignment horizontal="center"/>
      <protection hidden="1"/>
    </xf>
    <xf numFmtId="0" fontId="103" fillId="45" borderId="19" xfId="0" applyFont="1" applyFill="1" applyBorder="1" applyAlignment="1" applyProtection="1">
      <alignment horizontal="center"/>
      <protection hidden="1"/>
    </xf>
    <xf numFmtId="0" fontId="64" fillId="45" borderId="19" xfId="0" applyFont="1" applyFill="1" applyBorder="1" applyAlignment="1" applyProtection="1">
      <alignment horizontal="center"/>
      <protection hidden="1"/>
    </xf>
    <xf numFmtId="0" fontId="64" fillId="45" borderId="20" xfId="0" applyFont="1" applyFill="1" applyBorder="1" applyAlignment="1" applyProtection="1">
      <alignment horizontal="center"/>
      <protection hidden="1"/>
    </xf>
    <xf numFmtId="0" fontId="65" fillId="45" borderId="0" xfId="0" applyFont="1" applyFill="1" applyBorder="1" applyAlignment="1" applyProtection="1">
      <alignment horizontal="center"/>
      <protection hidden="1"/>
    </xf>
    <xf numFmtId="0" fontId="65" fillId="45" borderId="3" xfId="0" applyFont="1" applyFill="1" applyBorder="1" applyAlignment="1" applyProtection="1">
      <alignment horizontal="center"/>
      <protection hidden="1"/>
    </xf>
    <xf numFmtId="0" fontId="33" fillId="45" borderId="3" xfId="0" applyFont="1" applyFill="1" applyBorder="1" applyAlignment="1" applyProtection="1">
      <alignment horizontal="right"/>
      <protection hidden="1"/>
    </xf>
    <xf numFmtId="0" fontId="55" fillId="45" borderId="0" xfId="0" applyFont="1" applyFill="1" applyBorder="1" applyAlignment="1" applyProtection="1">
      <alignment horizontal="center" vertical="center"/>
      <protection hidden="1"/>
    </xf>
    <xf numFmtId="0" fontId="64" fillId="45" borderId="0" xfId="0" applyNumberFormat="1" applyFont="1" applyFill="1" applyBorder="1" applyAlignment="1" applyProtection="1">
      <alignment horizontal="center"/>
      <protection hidden="1"/>
    </xf>
    <xf numFmtId="0" fontId="20" fillId="47" borderId="0" xfId="0" applyFont="1" applyFill="1" applyAlignment="1" applyProtection="1">
      <alignment horizontal="left" indent="1"/>
      <protection hidden="1"/>
    </xf>
    <xf numFmtId="0" fontId="12" fillId="47" borderId="0" xfId="0" applyFont="1" applyFill="1" applyAlignment="1" applyProtection="1">
      <alignment horizontal="center"/>
      <protection hidden="1"/>
    </xf>
    <xf numFmtId="0" fontId="12" fillId="47" borderId="0" xfId="0" applyFont="1" applyFill="1" applyProtection="1">
      <protection hidden="1"/>
    </xf>
    <xf numFmtId="0" fontId="20" fillId="47" borderId="0" xfId="0" applyFont="1" applyFill="1" applyAlignment="1" applyProtection="1">
      <alignment horizontal="right"/>
      <protection hidden="1"/>
    </xf>
    <xf numFmtId="0" fontId="104" fillId="13" borderId="0" xfId="0" applyFont="1" applyFill="1" applyProtection="1">
      <protection hidden="1"/>
    </xf>
    <xf numFmtId="0" fontId="7" fillId="2" borderId="18" xfId="0" applyFont="1" applyFill="1" applyBorder="1" applyAlignment="1" applyProtection="1">
      <alignment horizontal="center"/>
      <protection hidden="1"/>
    </xf>
    <xf numFmtId="0" fontId="87" fillId="39" borderId="0" xfId="0" applyFont="1" applyFill="1" applyBorder="1"/>
    <xf numFmtId="0" fontId="86" fillId="39" borderId="0" xfId="0" applyFont="1" applyFill="1" applyBorder="1" applyAlignment="1">
      <alignment horizontal="left" indent="1"/>
    </xf>
    <xf numFmtId="0" fontId="16" fillId="12" borderId="0" xfId="0" applyFont="1" applyFill="1" applyBorder="1"/>
    <xf numFmtId="0" fontId="16" fillId="40" borderId="0" xfId="0" applyFont="1" applyFill="1" applyBorder="1"/>
    <xf numFmtId="0" fontId="1" fillId="40" borderId="0" xfId="0" applyFont="1" applyFill="1" applyBorder="1"/>
    <xf numFmtId="0" fontId="0" fillId="12" borderId="0" xfId="0" applyFont="1" applyFill="1" applyBorder="1"/>
    <xf numFmtId="0" fontId="11" fillId="40" borderId="0" xfId="0" applyFont="1" applyFill="1" applyBorder="1" applyAlignment="1"/>
    <xf numFmtId="0" fontId="43" fillId="12" borderId="0" xfId="0" applyFont="1" applyFill="1" applyBorder="1"/>
    <xf numFmtId="0" fontId="43" fillId="40" borderId="0" xfId="0" applyFont="1" applyFill="1" applyBorder="1"/>
    <xf numFmtId="0" fontId="11" fillId="0" borderId="0" xfId="0" applyFont="1" applyBorder="1" applyAlignment="1">
      <alignment horizontal="center"/>
    </xf>
    <xf numFmtId="0" fontId="11" fillId="0" borderId="0" xfId="0" applyFont="1" applyBorder="1"/>
    <xf numFmtId="0" fontId="16" fillId="39" borderId="19" xfId="0" applyFont="1" applyFill="1" applyBorder="1" applyAlignment="1">
      <alignment horizontal="left"/>
    </xf>
    <xf numFmtId="0" fontId="11" fillId="12" borderId="20" xfId="0" applyFont="1" applyFill="1" applyBorder="1"/>
    <xf numFmtId="0" fontId="11" fillId="40" borderId="20" xfId="0" applyFont="1" applyFill="1" applyBorder="1"/>
    <xf numFmtId="0" fontId="16" fillId="12" borderId="20" xfId="0" applyFont="1" applyFill="1" applyBorder="1" applyAlignment="1">
      <alignment horizontal="left"/>
    </xf>
    <xf numFmtId="0" fontId="16" fillId="40" borderId="20" xfId="0" applyFont="1" applyFill="1" applyBorder="1" applyAlignment="1">
      <alignment horizontal="left"/>
    </xf>
    <xf numFmtId="0" fontId="1" fillId="40" borderId="20" xfId="0" applyFont="1" applyFill="1" applyBorder="1" applyAlignment="1">
      <alignment horizontal="left"/>
    </xf>
    <xf numFmtId="0" fontId="11" fillId="12" borderId="20" xfId="0" applyFont="1" applyFill="1" applyBorder="1" applyAlignment="1">
      <alignment horizontal="left"/>
    </xf>
    <xf numFmtId="0" fontId="11" fillId="40" borderId="20" xfId="0" applyFont="1" applyFill="1" applyBorder="1" applyAlignment="1">
      <alignment horizontal="left"/>
    </xf>
    <xf numFmtId="0" fontId="0" fillId="12" borderId="20" xfId="0" applyFont="1" applyFill="1" applyBorder="1" applyAlignment="1">
      <alignment horizontal="left"/>
    </xf>
    <xf numFmtId="0" fontId="43" fillId="12" borderId="20" xfId="0" applyFont="1" applyFill="1" applyBorder="1" applyAlignment="1">
      <alignment horizontal="left"/>
    </xf>
    <xf numFmtId="0" fontId="43" fillId="40" borderId="20" xfId="0" applyFont="1" applyFill="1" applyBorder="1" applyAlignment="1">
      <alignment horizontal="left"/>
    </xf>
    <xf numFmtId="0" fontId="43" fillId="12" borderId="20" xfId="0" applyFont="1" applyFill="1" applyBorder="1" applyAlignment="1">
      <alignment horizontal="center"/>
    </xf>
    <xf numFmtId="0" fontId="43" fillId="40" borderId="20" xfId="0" applyFont="1" applyFill="1" applyBorder="1" applyAlignment="1">
      <alignment horizontal="center"/>
    </xf>
    <xf numFmtId="0" fontId="91" fillId="12" borderId="0" xfId="0" applyFont="1" applyFill="1" applyBorder="1"/>
    <xf numFmtId="0" fontId="91" fillId="40" borderId="0" xfId="0" applyFont="1" applyFill="1" applyBorder="1"/>
    <xf numFmtId="0" fontId="91" fillId="12" borderId="20" xfId="0" applyFont="1" applyFill="1" applyBorder="1" applyAlignment="1">
      <alignment horizontal="left"/>
    </xf>
    <xf numFmtId="0" fontId="91" fillId="40" borderId="20" xfId="0" applyFont="1" applyFill="1" applyBorder="1" applyAlignment="1">
      <alignment horizontal="left"/>
    </xf>
    <xf numFmtId="0" fontId="0" fillId="0" borderId="0" xfId="0" applyFont="1" applyBorder="1" applyAlignment="1">
      <alignment horizontal="center"/>
    </xf>
    <xf numFmtId="0" fontId="0" fillId="0" borderId="0" xfId="0" applyBorder="1"/>
    <xf numFmtId="0" fontId="0" fillId="12" borderId="0" xfId="0" applyFill="1" applyBorder="1"/>
    <xf numFmtId="0" fontId="0" fillId="40" borderId="0" xfId="0" applyFill="1" applyBorder="1"/>
    <xf numFmtId="0" fontId="1" fillId="12" borderId="0" xfId="0" applyFont="1" applyFill="1" applyBorder="1"/>
    <xf numFmtId="0" fontId="1" fillId="39" borderId="19" xfId="0" applyFont="1" applyFill="1" applyBorder="1" applyAlignment="1">
      <alignment horizontal="left"/>
    </xf>
    <xf numFmtId="0" fontId="0" fillId="12" borderId="20" xfId="0" applyFill="1" applyBorder="1"/>
    <xf numFmtId="0" fontId="0" fillId="40" borderId="20" xfId="0" applyFill="1" applyBorder="1"/>
    <xf numFmtId="0" fontId="1" fillId="12" borderId="20" xfId="0" applyFont="1" applyFill="1" applyBorder="1" applyAlignment="1">
      <alignment horizontal="left"/>
    </xf>
    <xf numFmtId="0" fontId="0" fillId="40" borderId="20" xfId="0" applyFont="1" applyFill="1" applyBorder="1" applyAlignment="1">
      <alignment horizontal="left"/>
    </xf>
    <xf numFmtId="0" fontId="43" fillId="12" borderId="20" xfId="0" applyFont="1" applyFill="1" applyBorder="1"/>
    <xf numFmtId="0" fontId="8" fillId="40" borderId="0" xfId="0" applyFont="1" applyFill="1" applyBorder="1"/>
    <xf numFmtId="0" fontId="8" fillId="12" borderId="0" xfId="0" applyFont="1" applyFill="1" applyBorder="1"/>
    <xf numFmtId="0" fontId="8" fillId="40" borderId="20" xfId="0" applyFont="1" applyFill="1" applyBorder="1" applyAlignment="1">
      <alignment horizontal="left"/>
    </xf>
    <xf numFmtId="0" fontId="8" fillId="12" borderId="20" xfId="0" applyFont="1" applyFill="1" applyBorder="1" applyAlignment="1">
      <alignment horizontal="left"/>
    </xf>
    <xf numFmtId="0" fontId="0" fillId="10" borderId="0" xfId="0" applyFont="1" applyFill="1" applyAlignment="1" applyProtection="1">
      <alignment horizontal="left"/>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horizontal="center"/>
      <protection hidden="1"/>
    </xf>
    <xf numFmtId="0" fontId="51" fillId="10" borderId="0" xfId="0" applyFont="1" applyFill="1" applyAlignment="1" applyProtection="1">
      <alignment horizontal="left"/>
      <protection hidden="1"/>
    </xf>
    <xf numFmtId="0" fontId="39" fillId="10" borderId="23" xfId="0" applyFont="1" applyFill="1" applyBorder="1" applyAlignment="1" applyProtection="1">
      <alignment horizontal="center"/>
      <protection hidden="1"/>
    </xf>
    <xf numFmtId="0" fontId="39" fillId="10" borderId="3" xfId="0" applyFont="1" applyFill="1" applyBorder="1" applyAlignment="1" applyProtection="1">
      <alignment horizontal="center"/>
      <protection hidden="1"/>
    </xf>
    <xf numFmtId="0" fontId="39" fillId="10" borderId="19" xfId="0" applyFont="1" applyFill="1" applyBorder="1" applyAlignment="1" applyProtection="1">
      <alignment horizontal="center"/>
      <protection hidden="1"/>
    </xf>
    <xf numFmtId="0" fontId="39" fillId="10" borderId="1" xfId="0" applyFont="1" applyFill="1" applyBorder="1" applyAlignment="1" applyProtection="1">
      <alignment horizontal="center"/>
      <protection hidden="1"/>
    </xf>
    <xf numFmtId="0" fontId="7" fillId="10" borderId="16" xfId="0" applyFont="1" applyFill="1" applyBorder="1" applyAlignment="1" applyProtection="1">
      <alignment horizontal="center" vertical="center"/>
      <protection hidden="1"/>
    </xf>
    <xf numFmtId="0" fontId="7" fillId="10" borderId="6" xfId="0" applyFont="1" applyFill="1" applyBorder="1" applyAlignment="1" applyProtection="1">
      <alignment horizontal="center" vertical="center"/>
      <protection hidden="1"/>
    </xf>
    <xf numFmtId="0" fontId="7" fillId="10" borderId="0" xfId="0" applyFont="1" applyFill="1" applyBorder="1" applyAlignment="1" applyProtection="1">
      <alignment horizontal="center" vertical="center"/>
      <protection hidden="1"/>
    </xf>
    <xf numFmtId="0" fontId="7" fillId="10" borderId="20" xfId="0" applyFont="1" applyFill="1" applyBorder="1" applyAlignment="1" applyProtection="1">
      <alignment horizontal="center" vertical="center"/>
      <protection hidden="1"/>
    </xf>
    <xf numFmtId="0" fontId="7" fillId="10" borderId="23" xfId="0" applyFont="1" applyFill="1" applyBorder="1" applyAlignment="1" applyProtection="1">
      <alignment horizontal="center" vertical="center"/>
      <protection hidden="1"/>
    </xf>
    <xf numFmtId="0" fontId="7" fillId="10" borderId="7" xfId="0" applyFont="1" applyFill="1" applyBorder="1" applyAlignment="1" applyProtection="1">
      <alignment horizontal="center" vertical="center"/>
      <protection hidden="1"/>
    </xf>
    <xf numFmtId="0" fontId="7" fillId="10" borderId="3" xfId="0" applyFont="1" applyFill="1" applyBorder="1" applyAlignment="1" applyProtection="1">
      <alignment horizontal="center" vertical="center"/>
      <protection hidden="1"/>
    </xf>
    <xf numFmtId="0" fontId="7" fillId="10" borderId="19" xfId="0" applyFont="1" applyFill="1" applyBorder="1" applyAlignment="1" applyProtection="1">
      <alignment horizontal="center" vertical="center"/>
      <protection hidden="1"/>
    </xf>
    <xf numFmtId="0" fontId="0" fillId="2" borderId="10" xfId="0" applyFill="1" applyBorder="1" applyAlignment="1" applyProtection="1">
      <alignment vertical="center" wrapText="1"/>
      <protection hidden="1"/>
    </xf>
    <xf numFmtId="0" fontId="0" fillId="2" borderId="11" xfId="0" applyFill="1" applyBorder="1" applyAlignment="1" applyProtection="1">
      <alignment vertical="center" wrapText="1"/>
      <protection hidden="1"/>
    </xf>
    <xf numFmtId="0" fontId="0" fillId="2" borderId="12" xfId="0" applyFill="1" applyBorder="1" applyAlignment="1" applyProtection="1">
      <alignment vertical="center" wrapText="1"/>
      <protection hidden="1"/>
    </xf>
    <xf numFmtId="0" fontId="0" fillId="2" borderId="13" xfId="0" applyFill="1" applyBorder="1" applyAlignment="1" applyProtection="1">
      <alignment vertical="center" wrapText="1"/>
      <protection hidden="1"/>
    </xf>
    <xf numFmtId="0" fontId="0" fillId="2" borderId="14" xfId="0" applyFill="1" applyBorder="1" applyAlignment="1" applyProtection="1">
      <alignment vertical="center" wrapText="1"/>
      <protection hidden="1"/>
    </xf>
    <xf numFmtId="0" fontId="0" fillId="2" borderId="15" xfId="0" applyFill="1" applyBorder="1" applyAlignment="1" applyProtection="1">
      <alignment vertical="center" wrapText="1"/>
      <protection hidden="1"/>
    </xf>
    <xf numFmtId="0" fontId="21" fillId="16" borderId="16" xfId="0" applyFont="1" applyFill="1" applyBorder="1" applyProtection="1">
      <protection hidden="1"/>
    </xf>
    <xf numFmtId="0" fontId="12" fillId="25" borderId="0" xfId="0" applyFont="1" applyFill="1" applyAlignment="1" applyProtection="1">
      <protection hidden="1"/>
    </xf>
    <xf numFmtId="49" fontId="2" fillId="2" borderId="4" xfId="0" applyNumberFormat="1" applyFont="1" applyFill="1" applyBorder="1" applyAlignment="1" applyProtection="1">
      <alignment horizontal="left"/>
      <protection locked="0" hidden="1"/>
    </xf>
    <xf numFmtId="0" fontId="2" fillId="2" borderId="4" xfId="0" applyFont="1" applyFill="1" applyBorder="1" applyAlignment="1" applyProtection="1">
      <protection locked="0" hidden="1"/>
    </xf>
    <xf numFmtId="0" fontId="0" fillId="40" borderId="0" xfId="0" applyFont="1" applyFill="1" applyBorder="1"/>
    <xf numFmtId="0" fontId="5" fillId="13" borderId="0" xfId="0" applyFont="1" applyFill="1" applyAlignment="1" applyProtection="1">
      <alignment horizontal="center"/>
      <protection hidden="1"/>
    </xf>
    <xf numFmtId="0" fontId="0" fillId="48" borderId="8" xfId="0" applyFill="1" applyBorder="1" applyProtection="1">
      <protection hidden="1"/>
    </xf>
    <xf numFmtId="0" fontId="0" fillId="48" borderId="4" xfId="0" applyFill="1" applyBorder="1" applyProtection="1">
      <protection hidden="1"/>
    </xf>
    <xf numFmtId="0" fontId="1" fillId="48" borderId="4" xfId="0" applyFont="1" applyFill="1" applyBorder="1" applyAlignment="1" applyProtection="1">
      <alignment horizontal="right" vertical="center"/>
      <protection hidden="1"/>
    </xf>
    <xf numFmtId="0" fontId="0" fillId="48" borderId="9" xfId="0" applyFill="1" applyBorder="1" applyProtection="1">
      <protection hidden="1"/>
    </xf>
    <xf numFmtId="0" fontId="1" fillId="48" borderId="4" xfId="0" applyFont="1" applyFill="1" applyBorder="1" applyAlignment="1" applyProtection="1">
      <alignment vertical="center"/>
      <protection hidden="1"/>
    </xf>
    <xf numFmtId="0" fontId="2" fillId="48" borderId="4" xfId="0" applyFont="1" applyFill="1" applyBorder="1" applyAlignment="1" applyProtection="1">
      <alignment horizontal="right"/>
      <protection hidden="1"/>
    </xf>
    <xf numFmtId="0" fontId="2" fillId="48" borderId="4" xfId="0" applyFont="1" applyFill="1" applyBorder="1" applyAlignment="1" applyProtection="1">
      <alignment vertical="center"/>
      <protection hidden="1"/>
    </xf>
    <xf numFmtId="0" fontId="2" fillId="48" borderId="4" xfId="0" applyFont="1" applyFill="1" applyBorder="1" applyAlignment="1" applyProtection="1">
      <alignment horizontal="right" vertical="center"/>
      <protection hidden="1"/>
    </xf>
    <xf numFmtId="0" fontId="0" fillId="48" borderId="8" xfId="0" applyFill="1" applyBorder="1" applyAlignment="1" applyProtection="1">
      <alignment vertical="center"/>
      <protection hidden="1"/>
    </xf>
    <xf numFmtId="0" fontId="0" fillId="48" borderId="4" xfId="0" applyFill="1" applyBorder="1" applyAlignment="1" applyProtection="1">
      <alignment vertical="center"/>
      <protection hidden="1"/>
    </xf>
    <xf numFmtId="0" fontId="0" fillId="48" borderId="9" xfId="0" applyFill="1" applyBorder="1" applyAlignment="1" applyProtection="1">
      <alignment vertical="center"/>
      <protection hidden="1"/>
    </xf>
    <xf numFmtId="0" fontId="1" fillId="48" borderId="4" xfId="0" applyFont="1" applyFill="1" applyBorder="1" applyProtection="1">
      <protection hidden="1"/>
    </xf>
    <xf numFmtId="0" fontId="1" fillId="48" borderId="4" xfId="0" applyFont="1" applyFill="1" applyBorder="1" applyAlignment="1" applyProtection="1">
      <alignment horizontal="right"/>
      <protection hidden="1"/>
    </xf>
    <xf numFmtId="0" fontId="1" fillId="48" borderId="4" xfId="0" applyFont="1" applyFill="1" applyBorder="1" applyAlignment="1" applyProtection="1">
      <protection hidden="1"/>
    </xf>
    <xf numFmtId="0" fontId="2" fillId="48" borderId="4" xfId="0" applyFont="1" applyFill="1" applyBorder="1" applyAlignment="1" applyProtection="1">
      <protection hidden="1"/>
    </xf>
    <xf numFmtId="0" fontId="101" fillId="41" borderId="5" xfId="0" applyFont="1" applyFill="1" applyBorder="1" applyAlignment="1">
      <alignment horizontal="center" vertical="center" wrapText="1"/>
    </xf>
    <xf numFmtId="0" fontId="101" fillId="41" borderId="6" xfId="0" applyFont="1" applyFill="1" applyBorder="1" applyAlignment="1">
      <alignment horizontal="center" vertical="center" wrapText="1"/>
    </xf>
    <xf numFmtId="0" fontId="101" fillId="41" borderId="7" xfId="0" applyFont="1" applyFill="1" applyBorder="1" applyAlignment="1">
      <alignment horizontal="center" vertical="center" wrapText="1"/>
    </xf>
    <xf numFmtId="0" fontId="98" fillId="21" borderId="5" xfId="0" applyFont="1" applyFill="1" applyBorder="1" applyAlignment="1">
      <alignment horizontal="center" vertical="center"/>
    </xf>
    <xf numFmtId="0" fontId="98" fillId="21" borderId="7" xfId="0" applyFont="1" applyFill="1" applyBorder="1" applyAlignment="1">
      <alignment horizontal="center" vertical="center"/>
    </xf>
    <xf numFmtId="0" fontId="98" fillId="11" borderId="5" xfId="0" applyFont="1" applyFill="1" applyBorder="1" applyAlignment="1">
      <alignment horizontal="center" vertical="center"/>
    </xf>
    <xf numFmtId="0" fontId="98" fillId="11" borderId="7" xfId="0" applyFont="1" applyFill="1" applyBorder="1" applyAlignment="1">
      <alignment horizontal="center" vertical="center"/>
    </xf>
    <xf numFmtId="0" fontId="101" fillId="9" borderId="5" xfId="0" applyFont="1" applyFill="1" applyBorder="1" applyAlignment="1">
      <alignment horizontal="center" vertical="center"/>
    </xf>
    <xf numFmtId="0" fontId="101" fillId="9" borderId="7" xfId="0" applyFont="1" applyFill="1" applyBorder="1" applyAlignment="1">
      <alignment horizontal="center" vertical="center"/>
    </xf>
    <xf numFmtId="0" fontId="101" fillId="9" borderId="5" xfId="0" applyFont="1" applyFill="1" applyBorder="1" applyAlignment="1">
      <alignment horizontal="center" vertical="center" wrapText="1"/>
    </xf>
    <xf numFmtId="0" fontId="101" fillId="9" borderId="6" xfId="0" applyFont="1" applyFill="1" applyBorder="1" applyAlignment="1">
      <alignment horizontal="center" vertical="center" wrapText="1"/>
    </xf>
    <xf numFmtId="0" fontId="101" fillId="9" borderId="7" xfId="0" applyFont="1" applyFill="1" applyBorder="1" applyAlignment="1">
      <alignment horizontal="center" vertical="center" wrapText="1"/>
    </xf>
    <xf numFmtId="0" fontId="101" fillId="41" borderId="5" xfId="0" applyFont="1" applyFill="1" applyBorder="1" applyAlignment="1">
      <alignment horizontal="center" vertical="center"/>
    </xf>
    <xf numFmtId="0" fontId="101" fillId="41" borderId="7" xfId="0" applyFont="1" applyFill="1" applyBorder="1" applyAlignment="1">
      <alignment horizontal="center" vertical="center"/>
    </xf>
    <xf numFmtId="0" fontId="100" fillId="8" borderId="21" xfId="0" applyFont="1" applyFill="1" applyBorder="1" applyAlignment="1">
      <alignment horizontal="center" vertical="center" wrapText="1"/>
    </xf>
    <xf numFmtId="0" fontId="100" fillId="8" borderId="2" xfId="0" applyFont="1" applyFill="1" applyBorder="1" applyAlignment="1">
      <alignment horizontal="center" vertical="center" wrapText="1"/>
    </xf>
    <xf numFmtId="0" fontId="100" fillId="8" borderId="22" xfId="0" applyFont="1" applyFill="1" applyBorder="1" applyAlignment="1">
      <alignment horizontal="center" vertical="center" wrapText="1"/>
    </xf>
    <xf numFmtId="0" fontId="100" fillId="8" borderId="16" xfId="0" applyFont="1" applyFill="1" applyBorder="1" applyAlignment="1">
      <alignment horizontal="center" vertical="center" wrapText="1"/>
    </xf>
    <xf numFmtId="0" fontId="100" fillId="8" borderId="0" xfId="0" applyFont="1" applyFill="1" applyBorder="1" applyAlignment="1">
      <alignment horizontal="center" vertical="center" wrapText="1"/>
    </xf>
    <xf numFmtId="0" fontId="100" fillId="8" borderId="20" xfId="0" applyFont="1" applyFill="1" applyBorder="1" applyAlignment="1">
      <alignment horizontal="center" vertical="center" wrapText="1"/>
    </xf>
    <xf numFmtId="0" fontId="100" fillId="8" borderId="23" xfId="0" applyFont="1" applyFill="1" applyBorder="1" applyAlignment="1">
      <alignment horizontal="center" vertical="center" wrapText="1"/>
    </xf>
    <xf numFmtId="0" fontId="100" fillId="8" borderId="3" xfId="0" applyFont="1" applyFill="1" applyBorder="1" applyAlignment="1">
      <alignment horizontal="center" vertical="center" wrapText="1"/>
    </xf>
    <xf numFmtId="0" fontId="100" fillId="8" borderId="19" xfId="0" applyFont="1" applyFill="1" applyBorder="1" applyAlignment="1">
      <alignment horizontal="center" vertical="center" wrapText="1"/>
    </xf>
    <xf numFmtId="0" fontId="98" fillId="10" borderId="21" xfId="0" applyFont="1" applyFill="1" applyBorder="1" applyAlignment="1">
      <alignment horizontal="left" vertical="center"/>
    </xf>
    <xf numFmtId="0" fontId="98" fillId="10" borderId="22" xfId="0" applyFont="1" applyFill="1" applyBorder="1" applyAlignment="1">
      <alignment horizontal="left" vertical="center"/>
    </xf>
    <xf numFmtId="0" fontId="98" fillId="10" borderId="23" xfId="0" applyFont="1" applyFill="1" applyBorder="1" applyAlignment="1">
      <alignment horizontal="left" vertical="center"/>
    </xf>
    <xf numFmtId="0" fontId="98" fillId="10" borderId="19" xfId="0" applyFont="1" applyFill="1" applyBorder="1" applyAlignment="1">
      <alignment horizontal="left" vertical="center"/>
    </xf>
    <xf numFmtId="0" fontId="98" fillId="41" borderId="21" xfId="0" applyFont="1" applyFill="1" applyBorder="1" applyAlignment="1">
      <alignment horizontal="center" vertical="center" wrapText="1"/>
    </xf>
    <xf numFmtId="0" fontId="98" fillId="41" borderId="22" xfId="0" applyFont="1" applyFill="1" applyBorder="1" applyAlignment="1">
      <alignment horizontal="center" vertical="center" wrapText="1"/>
    </xf>
    <xf numFmtId="0" fontId="98" fillId="41" borderId="16" xfId="0" applyFont="1" applyFill="1" applyBorder="1" applyAlignment="1">
      <alignment horizontal="center" vertical="center" wrapText="1"/>
    </xf>
    <xf numFmtId="0" fontId="98" fillId="41" borderId="20" xfId="0" applyFont="1" applyFill="1" applyBorder="1" applyAlignment="1">
      <alignment horizontal="center" vertical="center" wrapText="1"/>
    </xf>
    <xf numFmtId="0" fontId="98" fillId="41" borderId="23" xfId="0" applyFont="1" applyFill="1" applyBorder="1" applyAlignment="1">
      <alignment horizontal="center" vertical="center" wrapText="1"/>
    </xf>
    <xf numFmtId="0" fontId="98" fillId="41" borderId="19" xfId="0" applyFont="1" applyFill="1" applyBorder="1" applyAlignment="1">
      <alignment horizontal="center" vertical="center" wrapText="1"/>
    </xf>
    <xf numFmtId="0" fontId="88" fillId="4" borderId="0" xfId="0" applyFont="1" applyFill="1" applyAlignment="1" applyProtection="1">
      <alignment horizontal="left" vertical="center"/>
      <protection hidden="1"/>
    </xf>
    <xf numFmtId="0" fontId="20" fillId="16" borderId="16" xfId="0" applyFont="1" applyFill="1" applyBorder="1" applyAlignment="1" applyProtection="1">
      <alignment horizontal="center"/>
      <protection hidden="1"/>
    </xf>
    <xf numFmtId="0" fontId="20" fillId="16" borderId="0" xfId="0" applyFont="1" applyFill="1" applyAlignment="1" applyProtection="1">
      <alignment horizontal="center"/>
      <protection hidden="1"/>
    </xf>
    <xf numFmtId="14" fontId="69" fillId="2" borderId="0" xfId="0" applyNumberFormat="1" applyFont="1" applyFill="1" applyBorder="1" applyAlignment="1" applyProtection="1">
      <alignment horizontal="center" vertical="center"/>
      <protection hidden="1"/>
    </xf>
    <xf numFmtId="0" fontId="0" fillId="2" borderId="10" xfId="0"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11" xfId="0" applyFill="1" applyBorder="1" applyAlignment="1" applyProtection="1">
      <alignment horizontal="center"/>
      <protection hidden="1"/>
    </xf>
    <xf numFmtId="0" fontId="0" fillId="2" borderId="12" xfId="0"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2" borderId="13" xfId="0" applyFill="1" applyBorder="1" applyAlignment="1" applyProtection="1">
      <alignment horizontal="center"/>
      <protection hidden="1"/>
    </xf>
    <xf numFmtId="0" fontId="0" fillId="2" borderId="14"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0" fillId="2" borderId="15" xfId="0" applyFill="1" applyBorder="1" applyAlignment="1" applyProtection="1">
      <alignment horizontal="center"/>
      <protection hidden="1"/>
    </xf>
    <xf numFmtId="0" fontId="24" fillId="2" borderId="0" xfId="0" applyFont="1" applyFill="1" applyBorder="1" applyAlignment="1" applyProtection="1">
      <alignment horizontal="center" vertical="center"/>
      <protection hidden="1"/>
    </xf>
    <xf numFmtId="0" fontId="23" fillId="2" borderId="14" xfId="0" applyFont="1" applyFill="1" applyBorder="1" applyAlignment="1" applyProtection="1">
      <alignment horizontal="center" vertical="top"/>
      <protection hidden="1"/>
    </xf>
    <xf numFmtId="0" fontId="23" fillId="2" borderId="3" xfId="0" applyFont="1" applyFill="1" applyBorder="1" applyAlignment="1" applyProtection="1">
      <alignment horizontal="center" vertical="top"/>
      <protection hidden="1"/>
    </xf>
    <xf numFmtId="0" fontId="23" fillId="2" borderId="15" xfId="0" applyFont="1" applyFill="1" applyBorder="1" applyAlignment="1" applyProtection="1">
      <alignment horizontal="center" vertical="top"/>
      <protection hidden="1"/>
    </xf>
    <xf numFmtId="0" fontId="20" fillId="16" borderId="0" xfId="0" applyFont="1" applyFill="1" applyBorder="1" applyAlignment="1" applyProtection="1">
      <alignment horizontal="center"/>
      <protection hidden="1"/>
    </xf>
    <xf numFmtId="0" fontId="20" fillId="16" borderId="20" xfId="0" applyFont="1" applyFill="1" applyBorder="1" applyAlignment="1" applyProtection="1">
      <alignment horizontal="center"/>
      <protection hidden="1"/>
    </xf>
    <xf numFmtId="0" fontId="0" fillId="14" borderId="0" xfId="0" applyFont="1" applyFill="1" applyAlignment="1" applyProtection="1">
      <alignment horizontal="left"/>
      <protection hidden="1"/>
    </xf>
    <xf numFmtId="0" fontId="82" fillId="2" borderId="0" xfId="0" applyFont="1" applyFill="1" applyBorder="1" applyAlignment="1" applyProtection="1">
      <alignment horizontal="center" vertical="top" wrapText="1"/>
      <protection hidden="1"/>
    </xf>
    <xf numFmtId="0" fontId="2" fillId="14" borderId="0" xfId="0" applyFont="1" applyFill="1" applyAlignment="1" applyProtection="1">
      <alignment horizontal="left"/>
      <protection hidden="1"/>
    </xf>
    <xf numFmtId="0" fontId="0" fillId="2" borderId="12" xfId="0" applyFill="1" applyBorder="1" applyAlignment="1" applyProtection="1">
      <alignment horizontal="left"/>
      <protection hidden="1"/>
    </xf>
    <xf numFmtId="0" fontId="0" fillId="2" borderId="0" xfId="0" applyFill="1" applyAlignment="1" applyProtection="1">
      <alignment horizontal="left"/>
      <protection hidden="1"/>
    </xf>
    <xf numFmtId="0" fontId="0" fillId="2" borderId="0" xfId="0" applyFont="1" applyFill="1" applyBorder="1" applyAlignment="1" applyProtection="1">
      <alignment horizontal="left"/>
      <protection hidden="1"/>
    </xf>
    <xf numFmtId="0" fontId="0" fillId="2" borderId="13" xfId="0" applyFont="1" applyFill="1" applyBorder="1" applyAlignment="1" applyProtection="1">
      <alignment horizontal="left"/>
      <protection hidden="1"/>
    </xf>
    <xf numFmtId="0" fontId="1" fillId="2" borderId="18" xfId="0" applyFont="1" applyFill="1" applyBorder="1" applyAlignment="1" applyProtection="1">
      <alignment horizontal="center"/>
      <protection hidden="1"/>
    </xf>
    <xf numFmtId="0" fontId="1" fillId="2" borderId="17" xfId="0" applyFont="1" applyFill="1" applyBorder="1" applyAlignment="1" applyProtection="1">
      <alignment horizontal="center"/>
      <protection hidden="1"/>
    </xf>
    <xf numFmtId="0" fontId="1" fillId="15" borderId="16" xfId="0" applyFont="1" applyFill="1" applyBorder="1" applyAlignment="1" applyProtection="1">
      <alignment horizontal="center"/>
      <protection hidden="1"/>
    </xf>
    <xf numFmtId="0" fontId="1" fillId="15" borderId="20" xfId="0" applyFont="1" applyFill="1" applyBorder="1" applyAlignment="1" applyProtection="1">
      <alignment horizontal="center"/>
      <protection hidden="1"/>
    </xf>
    <xf numFmtId="0" fontId="1" fillId="6" borderId="16" xfId="0" applyFont="1" applyFill="1" applyBorder="1" applyAlignment="1" applyProtection="1">
      <alignment horizontal="center"/>
      <protection hidden="1"/>
    </xf>
    <xf numFmtId="0" fontId="1" fillId="6" borderId="20" xfId="0" applyFont="1" applyFill="1" applyBorder="1" applyAlignment="1" applyProtection="1">
      <alignment horizontal="center"/>
      <protection hidden="1"/>
    </xf>
    <xf numFmtId="0" fontId="1" fillId="6" borderId="0" xfId="0" applyFont="1" applyFill="1" applyBorder="1" applyAlignment="1" applyProtection="1">
      <alignment horizontal="left"/>
      <protection hidden="1"/>
    </xf>
    <xf numFmtId="0" fontId="1" fillId="6" borderId="20" xfId="0" applyFont="1" applyFill="1" applyBorder="1" applyAlignment="1" applyProtection="1">
      <alignment horizontal="left"/>
      <protection hidden="1"/>
    </xf>
    <xf numFmtId="0" fontId="0" fillId="2" borderId="18" xfId="0" applyFill="1" applyBorder="1" applyAlignment="1" applyProtection="1">
      <alignment horizontal="left"/>
      <protection hidden="1"/>
    </xf>
    <xf numFmtId="0" fontId="0" fillId="2" borderId="4" xfId="0" applyFill="1" applyBorder="1" applyAlignment="1" applyProtection="1">
      <alignment horizontal="left"/>
      <protection hidden="1"/>
    </xf>
    <xf numFmtId="0" fontId="0" fillId="2" borderId="2" xfId="0" applyFill="1" applyBorder="1" applyAlignment="1" applyProtection="1">
      <alignment horizontal="left"/>
      <protection hidden="1"/>
    </xf>
    <xf numFmtId="0" fontId="0" fillId="2" borderId="22" xfId="0" applyFill="1" applyBorder="1" applyAlignment="1" applyProtection="1">
      <alignment horizontal="left"/>
      <protection hidden="1"/>
    </xf>
    <xf numFmtId="0" fontId="0" fillId="2" borderId="5"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0" fillId="2" borderId="1" xfId="0" applyFill="1" applyBorder="1" applyAlignment="1" applyProtection="1">
      <alignment horizontal="left"/>
      <protection hidden="1"/>
    </xf>
    <xf numFmtId="0" fontId="0" fillId="4" borderId="0" xfId="0" applyFill="1" applyAlignment="1" applyProtection="1">
      <alignment horizontal="center"/>
      <protection hidden="1"/>
    </xf>
    <xf numFmtId="0" fontId="12" fillId="2" borderId="3" xfId="0" applyFont="1" applyFill="1" applyBorder="1" applyAlignment="1" applyProtection="1">
      <alignment horizontal="center"/>
      <protection hidden="1"/>
    </xf>
    <xf numFmtId="0" fontId="0" fillId="2" borderId="0" xfId="0" applyFill="1" applyBorder="1" applyAlignment="1" applyProtection="1">
      <alignment horizontal="left" vertical="top" wrapText="1"/>
      <protection hidden="1"/>
    </xf>
    <xf numFmtId="0" fontId="0" fillId="2" borderId="0" xfId="0" applyFont="1" applyFill="1" applyBorder="1" applyAlignment="1" applyProtection="1">
      <alignment horizontal="left" vertical="top" wrapText="1"/>
      <protection hidden="1"/>
    </xf>
    <xf numFmtId="0" fontId="0" fillId="2" borderId="13" xfId="0" applyFill="1" applyBorder="1" applyAlignment="1" applyProtection="1">
      <alignment horizontal="left" vertical="top" wrapText="1"/>
      <protection hidden="1"/>
    </xf>
    <xf numFmtId="0" fontId="0" fillId="2" borderId="18" xfId="0" applyFill="1" applyBorder="1" applyAlignment="1" applyProtection="1">
      <alignment horizontal="center"/>
      <protection hidden="1"/>
    </xf>
    <xf numFmtId="0" fontId="0" fillId="2" borderId="17" xfId="0" applyFill="1" applyBorder="1" applyAlignment="1" applyProtection="1">
      <alignment horizontal="center"/>
      <protection hidden="1"/>
    </xf>
    <xf numFmtId="0" fontId="1" fillId="6" borderId="0" xfId="0" applyFont="1" applyFill="1" applyBorder="1" applyAlignment="1" applyProtection="1">
      <alignment horizontal="center"/>
      <protection hidden="1"/>
    </xf>
    <xf numFmtId="0" fontId="0" fillId="5" borderId="0" xfId="0" applyFill="1" applyAlignment="1" applyProtection="1">
      <alignment horizontal="left" indent="4"/>
      <protection hidden="1"/>
    </xf>
    <xf numFmtId="0" fontId="1" fillId="15" borderId="21" xfId="0" applyFont="1" applyFill="1" applyBorder="1" applyAlignment="1" applyProtection="1">
      <alignment horizontal="center"/>
      <protection hidden="1"/>
    </xf>
    <xf numFmtId="0" fontId="1" fillId="15" borderId="22" xfId="0" applyFont="1" applyFill="1" applyBorder="1" applyAlignment="1" applyProtection="1">
      <alignment horizontal="center"/>
      <protection hidden="1"/>
    </xf>
    <xf numFmtId="0" fontId="4" fillId="6" borderId="2" xfId="0" applyFont="1" applyFill="1" applyBorder="1" applyAlignment="1" applyProtection="1">
      <alignment horizontal="center"/>
      <protection hidden="1"/>
    </xf>
    <xf numFmtId="0" fontId="4" fillId="6" borderId="22" xfId="0" applyFont="1" applyFill="1" applyBorder="1" applyAlignment="1" applyProtection="1">
      <alignment horizontal="center"/>
      <protection hidden="1"/>
    </xf>
    <xf numFmtId="0" fontId="26" fillId="26" borderId="5" xfId="0" applyFont="1" applyFill="1" applyBorder="1" applyAlignment="1" applyProtection="1">
      <alignment horizontal="center" vertical="center" textRotation="90"/>
      <protection hidden="1"/>
    </xf>
    <xf numFmtId="0" fontId="26" fillId="26" borderId="6" xfId="0" applyFont="1" applyFill="1" applyBorder="1" applyAlignment="1" applyProtection="1">
      <alignment horizontal="center" vertical="center" textRotation="90"/>
      <protection hidden="1"/>
    </xf>
    <xf numFmtId="0" fontId="26" fillId="26" borderId="7" xfId="0" applyFont="1" applyFill="1" applyBorder="1" applyAlignment="1" applyProtection="1">
      <alignment horizontal="center" vertical="center" textRotation="90"/>
      <protection hidden="1"/>
    </xf>
    <xf numFmtId="0" fontId="1" fillId="6" borderId="2" xfId="0" applyFont="1" applyFill="1" applyBorder="1" applyAlignment="1" applyProtection="1">
      <alignment horizontal="center"/>
      <protection hidden="1"/>
    </xf>
    <xf numFmtId="0" fontId="1" fillId="6" borderId="22" xfId="0" applyFont="1" applyFill="1" applyBorder="1" applyAlignment="1" applyProtection="1">
      <alignment horizontal="center"/>
      <protection hidden="1"/>
    </xf>
    <xf numFmtId="0" fontId="71" fillId="2" borderId="5" xfId="0" applyFont="1" applyFill="1" applyBorder="1" applyAlignment="1" applyProtection="1">
      <alignment horizontal="center" vertical="center"/>
      <protection hidden="1"/>
    </xf>
    <xf numFmtId="0" fontId="71" fillId="2" borderId="6" xfId="0" applyFont="1" applyFill="1" applyBorder="1" applyAlignment="1" applyProtection="1">
      <alignment horizontal="center" vertical="center"/>
      <protection hidden="1"/>
    </xf>
    <xf numFmtId="0" fontId="71" fillId="2" borderId="7" xfId="0" applyFont="1" applyFill="1" applyBorder="1" applyAlignment="1" applyProtection="1">
      <alignment horizontal="center" vertical="center"/>
      <protection hidden="1"/>
    </xf>
    <xf numFmtId="0" fontId="1" fillId="5" borderId="0" xfId="0" applyFont="1" applyFill="1" applyAlignment="1" applyProtection="1">
      <alignment horizontal="left" vertical="center" wrapText="1"/>
      <protection hidden="1"/>
    </xf>
    <xf numFmtId="0" fontId="1" fillId="6" borderId="3" xfId="0" applyFont="1" applyFill="1" applyBorder="1" applyAlignment="1" applyProtection="1">
      <alignment horizontal="center"/>
      <protection hidden="1"/>
    </xf>
    <xf numFmtId="0" fontId="1" fillId="6" borderId="19" xfId="0" applyFont="1" applyFill="1" applyBorder="1" applyAlignment="1" applyProtection="1">
      <alignment horizontal="center"/>
      <protection hidden="1"/>
    </xf>
    <xf numFmtId="0" fontId="27" fillId="2" borderId="18" xfId="0" applyFont="1" applyFill="1" applyBorder="1" applyAlignment="1" applyProtection="1">
      <alignment horizontal="center" vertical="center"/>
      <protection hidden="1"/>
    </xf>
    <xf numFmtId="0" fontId="27" fillId="2" borderId="4" xfId="0" applyFont="1" applyFill="1" applyBorder="1" applyAlignment="1" applyProtection="1">
      <alignment horizontal="center" vertical="center"/>
      <protection hidden="1"/>
    </xf>
    <xf numFmtId="0" fontId="27" fillId="2" borderId="17" xfId="0" applyFont="1" applyFill="1" applyBorder="1" applyAlignment="1" applyProtection="1">
      <alignment horizontal="center" vertical="center"/>
      <protection hidden="1"/>
    </xf>
    <xf numFmtId="0" fontId="11" fillId="2" borderId="18" xfId="0" applyFont="1" applyFill="1" applyBorder="1" applyAlignment="1" applyProtection="1">
      <alignment horizontal="center"/>
      <protection hidden="1"/>
    </xf>
    <xf numFmtId="0" fontId="11" fillId="2" borderId="4" xfId="0" applyFont="1" applyFill="1" applyBorder="1" applyAlignment="1" applyProtection="1">
      <alignment horizontal="center"/>
      <protection hidden="1"/>
    </xf>
    <xf numFmtId="0" fontId="11" fillId="2" borderId="17" xfId="0" applyFont="1" applyFill="1" applyBorder="1" applyAlignment="1" applyProtection="1">
      <alignment horizontal="center"/>
      <protection hidden="1"/>
    </xf>
    <xf numFmtId="0" fontId="19" fillId="31" borderId="0" xfId="0" applyFont="1" applyFill="1" applyAlignment="1" applyProtection="1">
      <alignment horizontal="center"/>
      <protection hidden="1"/>
    </xf>
    <xf numFmtId="0" fontId="10" fillId="2" borderId="3" xfId="0" applyFont="1" applyFill="1" applyBorder="1" applyAlignment="1" applyProtection="1">
      <alignment horizontal="right" vertical="top" wrapText="1"/>
      <protection hidden="1"/>
    </xf>
    <xf numFmtId="0" fontId="0" fillId="2" borderId="3" xfId="0" applyFill="1" applyBorder="1" applyAlignment="1" applyProtection="1">
      <alignment horizontal="left" vertical="top" wrapText="1"/>
      <protection hidden="1"/>
    </xf>
    <xf numFmtId="0" fontId="4" fillId="21" borderId="0" xfId="0" applyFont="1" applyFill="1" applyAlignment="1" applyProtection="1">
      <alignment horizontal="center"/>
      <protection hidden="1"/>
    </xf>
    <xf numFmtId="0" fontId="0" fillId="0" borderId="18" xfId="0" applyFill="1" applyBorder="1" applyAlignment="1" applyProtection="1">
      <alignment horizontal="left"/>
      <protection hidden="1"/>
    </xf>
    <xf numFmtId="0" fontId="0" fillId="0" borderId="4" xfId="0" applyFill="1" applyBorder="1" applyAlignment="1" applyProtection="1">
      <alignment horizontal="left"/>
      <protection hidden="1"/>
    </xf>
    <xf numFmtId="0" fontId="0" fillId="0" borderId="17" xfId="0" applyFill="1" applyBorder="1" applyAlignment="1" applyProtection="1">
      <alignment horizontal="left"/>
      <protection hidden="1"/>
    </xf>
    <xf numFmtId="0" fontId="16" fillId="20" borderId="0" xfId="0" applyFont="1" applyFill="1" applyAlignment="1" applyProtection="1">
      <alignment horizontal="center"/>
      <protection hidden="1"/>
    </xf>
    <xf numFmtId="0" fontId="53" fillId="19" borderId="0" xfId="0" applyFont="1" applyFill="1" applyAlignment="1" applyProtection="1">
      <alignment horizontal="center" textRotation="90"/>
      <protection hidden="1"/>
    </xf>
    <xf numFmtId="0" fontId="7" fillId="19" borderId="0" xfId="0" applyFont="1" applyFill="1" applyAlignment="1" applyProtection="1">
      <alignment horizontal="center" textRotation="90"/>
      <protection hidden="1"/>
    </xf>
    <xf numFmtId="0" fontId="7" fillId="19" borderId="0" xfId="0" applyFont="1" applyFill="1" applyBorder="1" applyAlignment="1" applyProtection="1">
      <alignment horizontal="center" textRotation="90"/>
      <protection hidden="1"/>
    </xf>
    <xf numFmtId="0" fontId="4" fillId="7" borderId="0" xfId="0" applyFont="1" applyFill="1" applyAlignment="1" applyProtection="1">
      <alignment horizontal="center"/>
      <protection hidden="1"/>
    </xf>
    <xf numFmtId="0" fontId="24" fillId="19" borderId="0" xfId="0" applyFont="1" applyFill="1" applyAlignment="1" applyProtection="1">
      <alignment horizontal="left" vertical="top"/>
      <protection hidden="1"/>
    </xf>
    <xf numFmtId="0" fontId="0" fillId="3" borderId="0" xfId="0" applyFill="1" applyBorder="1" applyAlignment="1" applyProtection="1">
      <alignment horizontal="left" vertical="top" wrapText="1" indent="2"/>
      <protection hidden="1"/>
    </xf>
    <xf numFmtId="0" fontId="0" fillId="3" borderId="0" xfId="0" applyFill="1" applyBorder="1" applyAlignment="1" applyProtection="1">
      <alignment horizontal="left"/>
      <protection hidden="1"/>
    </xf>
    <xf numFmtId="0" fontId="24" fillId="11" borderId="0" xfId="0" applyFont="1" applyFill="1" applyAlignment="1" applyProtection="1">
      <alignment horizontal="center"/>
      <protection hidden="1"/>
    </xf>
    <xf numFmtId="0" fontId="24" fillId="11" borderId="3" xfId="0" applyFont="1" applyFill="1" applyBorder="1" applyAlignment="1" applyProtection="1">
      <alignment horizontal="center"/>
      <protection hidden="1"/>
    </xf>
    <xf numFmtId="0" fontId="16" fillId="12" borderId="0" xfId="0" applyFont="1" applyFill="1" applyBorder="1" applyAlignment="1" applyProtection="1">
      <alignment horizontal="center"/>
      <protection hidden="1"/>
    </xf>
    <xf numFmtId="0" fontId="4" fillId="6" borderId="0" xfId="0" applyFont="1" applyFill="1" applyAlignment="1" applyProtection="1">
      <alignment horizontal="center"/>
      <protection hidden="1"/>
    </xf>
    <xf numFmtId="0" fontId="0" fillId="29" borderId="18" xfId="0" applyFill="1" applyBorder="1" applyAlignment="1" applyProtection="1">
      <alignment horizontal="left"/>
      <protection hidden="1"/>
    </xf>
    <xf numFmtId="0" fontId="0" fillId="29" borderId="4" xfId="0" applyFill="1" applyBorder="1" applyAlignment="1" applyProtection="1">
      <alignment horizontal="left"/>
      <protection hidden="1"/>
    </xf>
    <xf numFmtId="0" fontId="0" fillId="29" borderId="17" xfId="0" applyFill="1" applyBorder="1" applyAlignment="1" applyProtection="1">
      <alignment horizontal="left"/>
      <protection hidden="1"/>
    </xf>
    <xf numFmtId="0" fontId="0" fillId="3" borderId="0" xfId="0" applyFill="1" applyBorder="1" applyAlignment="1" applyProtection="1">
      <alignment horizontal="left" vertical="top" wrapText="1"/>
      <protection hidden="1"/>
    </xf>
    <xf numFmtId="0" fontId="11" fillId="2" borderId="21" xfId="0" applyFont="1" applyFill="1" applyBorder="1" applyAlignment="1" applyProtection="1">
      <alignment horizontal="center" vertical="top" wrapText="1"/>
      <protection hidden="1"/>
    </xf>
    <xf numFmtId="0" fontId="11" fillId="2" borderId="2" xfId="0" applyFont="1" applyFill="1" applyBorder="1" applyAlignment="1" applyProtection="1">
      <alignment horizontal="center" vertical="top" wrapText="1"/>
      <protection hidden="1"/>
    </xf>
    <xf numFmtId="0" fontId="11" fillId="2" borderId="22" xfId="0" applyFont="1" applyFill="1" applyBorder="1" applyAlignment="1" applyProtection="1">
      <alignment horizontal="center" vertical="top" wrapText="1"/>
      <protection hidden="1"/>
    </xf>
    <xf numFmtId="0" fontId="11" fillId="2" borderId="16" xfId="0" applyFont="1" applyFill="1" applyBorder="1" applyAlignment="1" applyProtection="1">
      <alignment horizontal="center" vertical="top" wrapText="1"/>
      <protection hidden="1"/>
    </xf>
    <xf numFmtId="0" fontId="11" fillId="2" borderId="0" xfId="0" applyFont="1" applyFill="1" applyBorder="1" applyAlignment="1" applyProtection="1">
      <alignment horizontal="center" vertical="top" wrapText="1"/>
      <protection hidden="1"/>
    </xf>
    <xf numFmtId="0" fontId="11" fillId="2" borderId="20" xfId="0" applyFont="1" applyFill="1" applyBorder="1" applyAlignment="1" applyProtection="1">
      <alignment horizontal="center" vertical="top" wrapText="1"/>
      <protection hidden="1"/>
    </xf>
    <xf numFmtId="0" fontId="11" fillId="2" borderId="23" xfId="0" applyFont="1" applyFill="1" applyBorder="1" applyAlignment="1" applyProtection="1">
      <alignment horizontal="center" vertical="top" wrapText="1"/>
      <protection hidden="1"/>
    </xf>
    <xf numFmtId="0" fontId="11" fillId="2" borderId="3" xfId="0" applyFont="1" applyFill="1" applyBorder="1" applyAlignment="1" applyProtection="1">
      <alignment horizontal="center" vertical="top" wrapText="1"/>
      <protection hidden="1"/>
    </xf>
    <xf numFmtId="0" fontId="11" fillId="2" borderId="19" xfId="0" applyFont="1" applyFill="1" applyBorder="1" applyAlignment="1" applyProtection="1">
      <alignment horizontal="center" vertical="top" wrapText="1"/>
      <protection hidden="1"/>
    </xf>
    <xf numFmtId="0" fontId="5" fillId="3" borderId="3" xfId="0" applyFont="1" applyFill="1" applyBorder="1" applyAlignment="1" applyProtection="1">
      <alignment horizontal="right" indent="1"/>
      <protection hidden="1"/>
    </xf>
    <xf numFmtId="0" fontId="2" fillId="3" borderId="3" xfId="0" applyFont="1" applyFill="1" applyBorder="1" applyAlignment="1" applyProtection="1">
      <alignment horizontal="left"/>
      <protection locked="0"/>
    </xf>
    <xf numFmtId="0" fontId="17" fillId="3" borderId="3" xfId="1" applyFill="1" applyBorder="1" applyAlignment="1" applyProtection="1">
      <alignment horizontal="left"/>
      <protection locked="0"/>
    </xf>
    <xf numFmtId="0" fontId="0" fillId="3" borderId="3" xfId="0" applyFill="1" applyBorder="1" applyAlignment="1" applyProtection="1">
      <alignment horizontal="left"/>
      <protection locked="0"/>
    </xf>
    <xf numFmtId="0" fontId="6" fillId="2" borderId="3" xfId="0" applyFont="1" applyFill="1" applyBorder="1" applyAlignment="1" applyProtection="1">
      <alignment horizontal="center"/>
      <protection hidden="1"/>
    </xf>
    <xf numFmtId="0" fontId="6" fillId="0" borderId="3" xfId="0" applyFont="1" applyBorder="1" applyAlignment="1" applyProtection="1">
      <alignment horizontal="center"/>
      <protection hidden="1"/>
    </xf>
    <xf numFmtId="0" fontId="7" fillId="19" borderId="3" xfId="0" applyFont="1" applyFill="1" applyBorder="1" applyAlignment="1" applyProtection="1">
      <alignment horizontal="center" textRotation="90"/>
      <protection hidden="1"/>
    </xf>
    <xf numFmtId="0" fontId="24" fillId="7" borderId="0" xfId="0" applyFont="1" applyFill="1" applyAlignment="1" applyProtection="1">
      <alignment horizontal="center"/>
      <protection hidden="1"/>
    </xf>
    <xf numFmtId="0" fontId="4" fillId="32" borderId="0" xfId="0" applyFont="1" applyFill="1" applyAlignment="1" applyProtection="1">
      <alignment horizontal="center" vertical="center"/>
      <protection hidden="1"/>
    </xf>
    <xf numFmtId="0" fontId="53" fillId="19" borderId="3" xfId="0" applyFont="1" applyFill="1" applyBorder="1" applyAlignment="1" applyProtection="1">
      <alignment horizontal="center" textRotation="90"/>
      <protection hidden="1"/>
    </xf>
    <xf numFmtId="0" fontId="53" fillId="19" borderId="0" xfId="0" applyFont="1" applyFill="1" applyBorder="1" applyAlignment="1" applyProtection="1">
      <alignment horizontal="center" textRotation="90"/>
      <protection hidden="1"/>
    </xf>
    <xf numFmtId="0" fontId="42" fillId="19" borderId="0" xfId="0" applyFont="1" applyFill="1" applyBorder="1" applyAlignment="1" applyProtection="1">
      <alignment horizontal="center" textRotation="90"/>
      <protection hidden="1"/>
    </xf>
    <xf numFmtId="0" fontId="4" fillId="10" borderId="0" xfId="0" applyFont="1" applyFill="1" applyAlignment="1" applyProtection="1">
      <alignment horizontal="center"/>
      <protection hidden="1"/>
    </xf>
    <xf numFmtId="0" fontId="5" fillId="3" borderId="18" xfId="0" applyFont="1" applyFill="1" applyBorder="1" applyAlignment="1" applyProtection="1">
      <alignment horizontal="left"/>
      <protection locked="0" hidden="1"/>
    </xf>
    <xf numFmtId="0" fontId="5" fillId="3" borderId="4" xfId="0" applyFont="1" applyFill="1" applyBorder="1" applyAlignment="1" applyProtection="1">
      <alignment horizontal="left"/>
      <protection locked="0" hidden="1"/>
    </xf>
    <xf numFmtId="0" fontId="2" fillId="2" borderId="0" xfId="0" applyFont="1" applyFill="1" applyBorder="1" applyAlignment="1" applyProtection="1">
      <alignment horizontal="left" vertical="top" wrapText="1" indent="1"/>
      <protection hidden="1"/>
    </xf>
    <xf numFmtId="0" fontId="28" fillId="2" borderId="0" xfId="0" applyFont="1" applyFill="1" applyBorder="1" applyAlignment="1" applyProtection="1">
      <alignment horizontal="left" vertical="top" indent="2"/>
      <protection hidden="1"/>
    </xf>
    <xf numFmtId="0" fontId="20" fillId="33" borderId="33" xfId="0" applyFont="1" applyFill="1" applyBorder="1" applyAlignment="1" applyProtection="1">
      <alignment horizontal="center" vertical="center" textRotation="90"/>
      <protection hidden="1"/>
    </xf>
    <xf numFmtId="0" fontId="20" fillId="33" borderId="32" xfId="0" applyFont="1" applyFill="1" applyBorder="1" applyAlignment="1" applyProtection="1">
      <alignment horizontal="center" vertical="center" textRotation="90"/>
      <protection hidden="1"/>
    </xf>
    <xf numFmtId="0" fontId="20" fillId="33" borderId="34" xfId="0" applyFont="1" applyFill="1" applyBorder="1" applyAlignment="1" applyProtection="1">
      <alignment horizontal="center" vertical="center" textRotation="90"/>
      <protection hidden="1"/>
    </xf>
    <xf numFmtId="0" fontId="4" fillId="2" borderId="0" xfId="0" applyFont="1" applyFill="1" applyBorder="1" applyAlignment="1" applyProtection="1">
      <alignment horizontal="left" indent="2"/>
      <protection hidden="1"/>
    </xf>
    <xf numFmtId="0" fontId="4" fillId="2" borderId="3" xfId="0" applyFont="1" applyFill="1" applyBorder="1" applyAlignment="1" applyProtection="1">
      <alignment horizontal="left" indent="2"/>
      <protection hidden="1"/>
    </xf>
    <xf numFmtId="0" fontId="97" fillId="33" borderId="35" xfId="0" applyFont="1" applyFill="1" applyBorder="1" applyAlignment="1" applyProtection="1">
      <alignment horizontal="left" vertical="center" textRotation="90"/>
      <protection hidden="1"/>
    </xf>
    <xf numFmtId="0" fontId="97" fillId="33" borderId="38" xfId="0" applyFont="1" applyFill="1" applyBorder="1" applyAlignment="1" applyProtection="1">
      <alignment horizontal="left" vertical="center" textRotation="90"/>
      <protection hidden="1"/>
    </xf>
    <xf numFmtId="0" fontId="97" fillId="33" borderId="41" xfId="0" applyFont="1" applyFill="1" applyBorder="1" applyAlignment="1" applyProtection="1">
      <alignment horizontal="left" vertical="center" textRotation="90"/>
      <protection hidden="1"/>
    </xf>
    <xf numFmtId="0" fontId="15" fillId="25" borderId="0" xfId="0" applyFont="1" applyFill="1" applyAlignment="1" applyProtection="1">
      <alignment horizontal="center" vertical="center" wrapText="1"/>
      <protection hidden="1"/>
    </xf>
    <xf numFmtId="0" fontId="15" fillId="38" borderId="0" xfId="0" applyFont="1" applyFill="1" applyAlignment="1" applyProtection="1">
      <alignment horizontal="center" vertical="center"/>
      <protection hidden="1"/>
    </xf>
    <xf numFmtId="0" fontId="15" fillId="28" borderId="0" xfId="0" applyFont="1" applyFill="1" applyAlignment="1" applyProtection="1">
      <alignment horizontal="center" vertical="center"/>
      <protection hidden="1"/>
    </xf>
    <xf numFmtId="0" fontId="1" fillId="25" borderId="0" xfId="0" applyFont="1" applyFill="1" applyAlignment="1" applyProtection="1">
      <alignment horizontal="center" textRotation="90" wrapText="1"/>
      <protection hidden="1"/>
    </xf>
    <xf numFmtId="0" fontId="1" fillId="28" borderId="0" xfId="0" applyFont="1" applyFill="1" applyAlignment="1" applyProtection="1">
      <alignment horizontal="center" textRotation="90"/>
      <protection hidden="1"/>
    </xf>
    <xf numFmtId="0" fontId="1" fillId="28" borderId="0" xfId="0" applyFont="1" applyFill="1" applyAlignment="1" applyProtection="1">
      <alignment horizontal="center"/>
      <protection hidden="1"/>
    </xf>
    <xf numFmtId="0" fontId="44" fillId="33" borderId="26" xfId="0" applyFont="1" applyFill="1" applyBorder="1" applyAlignment="1" applyProtection="1">
      <alignment horizontal="center" vertical="center" wrapText="1"/>
      <protection hidden="1"/>
    </xf>
    <xf numFmtId="0" fontId="44" fillId="33" borderId="24" xfId="0" applyFont="1" applyFill="1" applyBorder="1" applyAlignment="1" applyProtection="1">
      <alignment horizontal="center" vertical="center" wrapText="1"/>
      <protection hidden="1"/>
    </xf>
    <xf numFmtId="0" fontId="44" fillId="33" borderId="27" xfId="0" applyFont="1" applyFill="1" applyBorder="1" applyAlignment="1" applyProtection="1">
      <alignment horizontal="center" vertical="center" wrapText="1"/>
      <protection hidden="1"/>
    </xf>
    <xf numFmtId="0" fontId="44" fillId="33" borderId="28" xfId="0" applyFont="1" applyFill="1" applyBorder="1" applyAlignment="1" applyProtection="1">
      <alignment horizontal="center" vertical="center" wrapText="1"/>
      <protection hidden="1"/>
    </xf>
    <xf numFmtId="0" fontId="44" fillId="33" borderId="0" xfId="0" applyFont="1" applyFill="1" applyBorder="1" applyAlignment="1" applyProtection="1">
      <alignment horizontal="center" vertical="center" wrapText="1"/>
      <protection hidden="1"/>
    </xf>
    <xf numFmtId="0" fontId="44" fillId="33" borderId="29" xfId="0" applyFont="1" applyFill="1" applyBorder="1" applyAlignment="1" applyProtection="1">
      <alignment horizontal="center" vertical="center" wrapText="1"/>
      <protection hidden="1"/>
    </xf>
    <xf numFmtId="0" fontId="44" fillId="33" borderId="30" xfId="0" applyFont="1" applyFill="1" applyBorder="1" applyAlignment="1" applyProtection="1">
      <alignment horizontal="center" vertical="center" wrapText="1"/>
      <protection hidden="1"/>
    </xf>
    <xf numFmtId="0" fontId="44" fillId="33" borderId="25" xfId="0" applyFont="1" applyFill="1" applyBorder="1" applyAlignment="1" applyProtection="1">
      <alignment horizontal="center" vertical="center" wrapText="1"/>
      <protection hidden="1"/>
    </xf>
    <xf numFmtId="0" fontId="44" fillId="33" borderId="31" xfId="0" applyFont="1" applyFill="1" applyBorder="1" applyAlignment="1" applyProtection="1">
      <alignment horizontal="center" vertical="center" wrapText="1"/>
      <protection hidden="1"/>
    </xf>
    <xf numFmtId="0" fontId="0" fillId="2" borderId="21" xfId="0" applyFill="1" applyBorder="1" applyAlignment="1" applyProtection="1">
      <alignment horizontal="center" vertical="center" wrapText="1"/>
      <protection hidden="1"/>
    </xf>
    <xf numFmtId="0" fontId="0" fillId="2" borderId="2" xfId="0" applyFill="1" applyBorder="1" applyAlignment="1" applyProtection="1">
      <alignment horizontal="center" vertical="center" wrapText="1"/>
      <protection hidden="1"/>
    </xf>
    <xf numFmtId="0" fontId="0" fillId="2" borderId="22" xfId="0" applyFill="1" applyBorder="1" applyAlignment="1" applyProtection="1">
      <alignment horizontal="center" vertical="center" wrapText="1"/>
      <protection hidden="1"/>
    </xf>
    <xf numFmtId="0" fontId="0" fillId="2" borderId="16" xfId="0" applyFill="1" applyBorder="1" applyAlignment="1" applyProtection="1">
      <alignment horizontal="center" vertical="center" wrapText="1"/>
      <protection hidden="1"/>
    </xf>
    <xf numFmtId="0" fontId="0" fillId="2" borderId="0" xfId="0" applyFill="1" applyBorder="1" applyAlignment="1" applyProtection="1">
      <alignment horizontal="center" vertical="center" wrapText="1"/>
      <protection hidden="1"/>
    </xf>
    <xf numFmtId="0" fontId="0" fillId="2" borderId="20" xfId="0" applyFill="1" applyBorder="1" applyAlignment="1" applyProtection="1">
      <alignment horizontal="center" vertical="center" wrapText="1"/>
      <protection hidden="1"/>
    </xf>
    <xf numFmtId="0" fontId="0" fillId="2" borderId="23"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0" fontId="0" fillId="2" borderId="19" xfId="0" applyFill="1" applyBorder="1" applyAlignment="1" applyProtection="1">
      <alignment horizontal="center" vertical="center" wrapText="1"/>
      <protection hidden="1"/>
    </xf>
    <xf numFmtId="0" fontId="1" fillId="27" borderId="16" xfId="0" applyFont="1" applyFill="1" applyBorder="1" applyAlignment="1" applyProtection="1">
      <alignment horizontal="center"/>
      <protection hidden="1"/>
    </xf>
    <xf numFmtId="0" fontId="1" fillId="27" borderId="0" xfId="0" applyFont="1" applyFill="1" applyBorder="1" applyAlignment="1" applyProtection="1">
      <alignment horizontal="center"/>
      <protection hidden="1"/>
    </xf>
    <xf numFmtId="0" fontId="1" fillId="27" borderId="0" xfId="0" applyFont="1" applyFill="1" applyAlignment="1" applyProtection="1">
      <alignment horizontal="center"/>
      <protection hidden="1"/>
    </xf>
    <xf numFmtId="0" fontId="20" fillId="27" borderId="0" xfId="0" applyFont="1" applyFill="1" applyAlignment="1" applyProtection="1">
      <alignment horizontal="center"/>
      <protection hidden="1"/>
    </xf>
    <xf numFmtId="0" fontId="32" fillId="21" borderId="0" xfId="0" applyFont="1" applyFill="1" applyAlignment="1" applyProtection="1">
      <alignment horizontal="center" vertical="top" wrapText="1"/>
      <protection hidden="1"/>
    </xf>
    <xf numFmtId="20" fontId="5" fillId="3" borderId="4" xfId="0" applyNumberFormat="1" applyFont="1" applyFill="1" applyBorder="1" applyAlignment="1" applyProtection="1">
      <alignment horizontal="left"/>
      <protection hidden="1"/>
    </xf>
    <xf numFmtId="0" fontId="35" fillId="2" borderId="4" xfId="0" applyFont="1" applyFill="1" applyBorder="1" applyAlignment="1" applyProtection="1">
      <alignment vertical="top"/>
      <protection hidden="1"/>
    </xf>
    <xf numFmtId="0" fontId="35" fillId="2" borderId="2" xfId="0" applyFont="1" applyFill="1" applyBorder="1" applyAlignment="1" applyProtection="1">
      <alignment vertical="top"/>
      <protection hidden="1"/>
    </xf>
    <xf numFmtId="0" fontId="6" fillId="2" borderId="3" xfId="0" applyFont="1" applyFill="1" applyBorder="1" applyAlignment="1" applyProtection="1">
      <alignment horizontal="left" indent="26"/>
      <protection hidden="1"/>
    </xf>
    <xf numFmtId="0" fontId="5" fillId="3" borderId="18" xfId="0" applyFont="1" applyFill="1" applyBorder="1" applyAlignment="1" applyProtection="1">
      <alignment horizontal="left"/>
      <protection locked="0"/>
    </xf>
    <xf numFmtId="0" fontId="5" fillId="3" borderId="4" xfId="0" applyFont="1" applyFill="1" applyBorder="1" applyAlignment="1" applyProtection="1">
      <alignment horizontal="left"/>
      <protection locked="0"/>
    </xf>
    <xf numFmtId="0" fontId="2" fillId="2" borderId="0" xfId="0" applyFont="1" applyFill="1" applyBorder="1" applyAlignment="1" applyProtection="1">
      <alignment horizontal="left" vertical="top" wrapText="1" indent="2"/>
      <protection hidden="1"/>
    </xf>
    <xf numFmtId="0" fontId="4" fillId="2" borderId="0" xfId="0" applyFont="1" applyFill="1" applyBorder="1" applyAlignment="1" applyProtection="1">
      <alignment horizontal="left"/>
      <protection hidden="1"/>
    </xf>
    <xf numFmtId="0" fontId="11" fillId="30" borderId="1" xfId="0" applyFont="1" applyFill="1" applyBorder="1" applyAlignment="1" applyProtection="1">
      <alignment horizontal="center" vertical="center"/>
      <protection hidden="1"/>
    </xf>
    <xf numFmtId="0" fontId="4" fillId="3" borderId="0" xfId="0" applyFont="1" applyFill="1" applyBorder="1" applyAlignment="1" applyProtection="1">
      <alignment horizontal="left"/>
      <protection locked="0"/>
    </xf>
    <xf numFmtId="0" fontId="16" fillId="5" borderId="21" xfId="0" applyFont="1" applyFill="1" applyBorder="1" applyAlignment="1" applyProtection="1">
      <alignment horizontal="center"/>
      <protection hidden="1"/>
    </xf>
    <xf numFmtId="0" fontId="16" fillId="5" borderId="2" xfId="0" applyFont="1" applyFill="1" applyBorder="1" applyAlignment="1" applyProtection="1">
      <alignment horizontal="center"/>
      <protection hidden="1"/>
    </xf>
    <xf numFmtId="0" fontId="16" fillId="5" borderId="22" xfId="0" applyFont="1" applyFill="1" applyBorder="1" applyAlignment="1" applyProtection="1">
      <alignment horizontal="center"/>
      <protection hidden="1"/>
    </xf>
    <xf numFmtId="0" fontId="36" fillId="13" borderId="21" xfId="0" applyFont="1" applyFill="1" applyBorder="1" applyAlignment="1" applyProtection="1">
      <alignment horizontal="center" wrapText="1"/>
      <protection hidden="1"/>
    </xf>
    <xf numFmtId="0" fontId="36" fillId="13" borderId="2" xfId="0" applyFont="1" applyFill="1" applyBorder="1" applyAlignment="1" applyProtection="1">
      <alignment horizontal="center" wrapText="1"/>
      <protection hidden="1"/>
    </xf>
    <xf numFmtId="0" fontId="36" fillId="13" borderId="22" xfId="0" applyFont="1" applyFill="1" applyBorder="1" applyAlignment="1" applyProtection="1">
      <alignment horizontal="center" wrapText="1"/>
      <protection hidden="1"/>
    </xf>
    <xf numFmtId="0" fontId="36" fillId="13" borderId="23" xfId="0" applyFont="1" applyFill="1" applyBorder="1" applyAlignment="1" applyProtection="1">
      <alignment horizontal="center" wrapText="1"/>
      <protection hidden="1"/>
    </xf>
    <xf numFmtId="0" fontId="36" fillId="13" borderId="3" xfId="0" applyFont="1" applyFill="1" applyBorder="1" applyAlignment="1" applyProtection="1">
      <alignment horizontal="center" wrapText="1"/>
      <protection hidden="1"/>
    </xf>
    <xf numFmtId="0" fontId="36" fillId="13" borderId="19" xfId="0" applyFont="1" applyFill="1" applyBorder="1" applyAlignment="1" applyProtection="1">
      <alignment horizontal="center" wrapText="1"/>
      <protection hidden="1"/>
    </xf>
    <xf numFmtId="0" fontId="32" fillId="18" borderId="0" xfId="0" applyFont="1" applyFill="1" applyAlignment="1" applyProtection="1">
      <alignment horizontal="center" vertical="center"/>
      <protection hidden="1"/>
    </xf>
    <xf numFmtId="0" fontId="4" fillId="7" borderId="0" xfId="0" applyFont="1" applyFill="1" applyAlignment="1" applyProtection="1">
      <alignment horizontal="center" vertical="center"/>
      <protection hidden="1"/>
    </xf>
    <xf numFmtId="0" fontId="32" fillId="24" borderId="0" xfId="0" applyFont="1" applyFill="1" applyAlignment="1" applyProtection="1">
      <alignment horizontal="center" vertical="center"/>
      <protection hidden="1"/>
    </xf>
    <xf numFmtId="0" fontId="3" fillId="7" borderId="0" xfId="0" applyFont="1" applyFill="1" applyAlignment="1" applyProtection="1">
      <alignment horizontal="center"/>
      <protection hidden="1"/>
    </xf>
    <xf numFmtId="0" fontId="15" fillId="11" borderId="0" xfId="0" applyFont="1" applyFill="1" applyAlignment="1" applyProtection="1">
      <alignment horizontal="center" vertical="center"/>
      <protection hidden="1"/>
    </xf>
    <xf numFmtId="0" fontId="16" fillId="18" borderId="0" xfId="0" applyFont="1" applyFill="1" applyAlignment="1" applyProtection="1">
      <alignment horizontal="center" vertical="center" wrapText="1"/>
      <protection hidden="1"/>
    </xf>
    <xf numFmtId="0" fontId="1" fillId="18" borderId="0" xfId="0" applyFont="1" applyFill="1" applyAlignment="1" applyProtection="1">
      <alignment horizontal="center" vertical="center" wrapText="1"/>
      <protection hidden="1"/>
    </xf>
    <xf numFmtId="0" fontId="6" fillId="2" borderId="0" xfId="0" applyFont="1" applyFill="1" applyBorder="1" applyAlignment="1" applyProtection="1">
      <alignment horizontal="center"/>
      <protection hidden="1"/>
    </xf>
    <xf numFmtId="0" fontId="6" fillId="0" borderId="0" xfId="0" applyFont="1" applyBorder="1" applyAlignment="1" applyProtection="1">
      <alignment horizontal="center"/>
      <protection hidden="1"/>
    </xf>
    <xf numFmtId="0" fontId="64" fillId="45" borderId="0" xfId="0" applyFont="1" applyFill="1" applyAlignment="1" applyProtection="1">
      <alignment horizontal="left"/>
      <protection hidden="1"/>
    </xf>
    <xf numFmtId="0" fontId="74" fillId="7" borderId="0" xfId="0" applyFont="1" applyFill="1" applyAlignment="1" applyProtection="1">
      <alignment horizontal="center"/>
      <protection hidden="1"/>
    </xf>
    <xf numFmtId="0" fontId="6" fillId="45" borderId="0" xfId="0" applyFont="1" applyFill="1" applyAlignment="1" applyProtection="1">
      <alignment horizontal="left"/>
      <protection hidden="1"/>
    </xf>
    <xf numFmtId="0" fontId="46" fillId="11" borderId="0" xfId="0" applyFont="1" applyFill="1" applyAlignment="1" applyProtection="1">
      <alignment horizontal="right" vertical="center"/>
      <protection hidden="1"/>
    </xf>
    <xf numFmtId="0" fontId="55" fillId="11" borderId="0" xfId="0" applyFont="1" applyFill="1" applyAlignment="1" applyProtection="1">
      <alignment horizontal="right" vertical="center"/>
      <protection hidden="1"/>
    </xf>
    <xf numFmtId="0" fontId="5" fillId="11" borderId="2" xfId="0" applyFont="1" applyFill="1" applyBorder="1" applyAlignment="1" applyProtection="1">
      <alignment horizontal="left" vertical="top" wrapText="1"/>
      <protection hidden="1"/>
    </xf>
    <xf numFmtId="0" fontId="5" fillId="11" borderId="22" xfId="0" applyFont="1" applyFill="1" applyBorder="1" applyAlignment="1" applyProtection="1">
      <alignment horizontal="left" vertical="top" wrapText="1"/>
      <protection hidden="1"/>
    </xf>
    <xf numFmtId="0" fontId="0" fillId="2" borderId="21" xfId="0" applyFill="1" applyBorder="1" applyAlignment="1" applyProtection="1">
      <alignment horizontal="left" vertical="top" wrapText="1"/>
      <protection hidden="1"/>
    </xf>
    <xf numFmtId="0" fontId="0" fillId="2" borderId="2" xfId="0" applyFill="1" applyBorder="1" applyAlignment="1" applyProtection="1">
      <alignment horizontal="left" vertical="top" wrapText="1"/>
      <protection hidden="1"/>
    </xf>
    <xf numFmtId="0" fontId="0" fillId="2" borderId="22" xfId="0" applyFill="1" applyBorder="1" applyAlignment="1" applyProtection="1">
      <alignment horizontal="left" vertical="top" wrapText="1"/>
      <protection hidden="1"/>
    </xf>
    <xf numFmtId="0" fontId="0" fillId="2" borderId="23" xfId="0" applyFill="1" applyBorder="1" applyAlignment="1" applyProtection="1">
      <alignment horizontal="left" vertical="top" wrapText="1"/>
      <protection hidden="1"/>
    </xf>
    <xf numFmtId="0" fontId="0" fillId="2" borderId="19" xfId="0" applyFill="1" applyBorder="1" applyAlignment="1" applyProtection="1">
      <alignment horizontal="left" vertical="top" wrapText="1"/>
      <protection hidden="1"/>
    </xf>
    <xf numFmtId="0" fontId="4" fillId="11" borderId="0" xfId="0" applyFont="1" applyFill="1" applyAlignment="1" applyProtection="1">
      <alignment horizontal="center" vertical="top"/>
      <protection hidden="1"/>
    </xf>
    <xf numFmtId="0" fontId="4" fillId="11" borderId="3" xfId="0" applyFont="1" applyFill="1" applyBorder="1" applyAlignment="1" applyProtection="1">
      <alignment horizontal="center" vertical="top"/>
      <protection hidden="1"/>
    </xf>
    <xf numFmtId="0" fontId="0" fillId="30" borderId="1" xfId="0" applyFill="1" applyBorder="1" applyAlignment="1" applyProtection="1">
      <alignment horizontal="center" vertical="center"/>
      <protection hidden="1"/>
    </xf>
    <xf numFmtId="0" fontId="0" fillId="30" borderId="1" xfId="0" applyFont="1" applyFill="1" applyBorder="1" applyAlignment="1" applyProtection="1">
      <alignment horizontal="center" vertical="center"/>
      <protection hidden="1"/>
    </xf>
    <xf numFmtId="0" fontId="35" fillId="2" borderId="0" xfId="0" applyFont="1" applyFill="1" applyBorder="1" applyAlignment="1" applyProtection="1">
      <alignment vertical="top"/>
      <protection hidden="1"/>
    </xf>
    <xf numFmtId="0" fontId="11" fillId="20" borderId="0" xfId="0" applyFont="1" applyFill="1" applyAlignment="1" applyProtection="1">
      <alignment horizontal="left"/>
      <protection hidden="1"/>
    </xf>
    <xf numFmtId="0" fontId="11" fillId="10" borderId="0" xfId="0" applyFont="1" applyFill="1" applyAlignment="1" applyProtection="1">
      <alignment horizontal="left"/>
      <protection hidden="1"/>
    </xf>
    <xf numFmtId="0" fontId="15" fillId="38" borderId="0" xfId="0" applyFont="1" applyFill="1" applyAlignment="1" applyProtection="1">
      <alignment horizontal="center" vertical="center" wrapText="1"/>
      <protection hidden="1"/>
    </xf>
    <xf numFmtId="0" fontId="0" fillId="10" borderId="0" xfId="0" applyFill="1" applyAlignment="1" applyProtection="1">
      <alignment horizontal="left"/>
      <protection hidden="1"/>
    </xf>
    <xf numFmtId="0" fontId="5" fillId="45" borderId="0" xfId="0" applyFont="1" applyFill="1" applyAlignment="1" applyProtection="1">
      <alignment horizontal="left"/>
      <protection hidden="1"/>
    </xf>
    <xf numFmtId="0" fontId="2" fillId="2" borderId="0" xfId="0" applyFont="1" applyFill="1" applyBorder="1" applyAlignment="1" applyProtection="1">
      <alignment horizontal="left" wrapText="1"/>
      <protection hidden="1"/>
    </xf>
    <xf numFmtId="0" fontId="102" fillId="0" borderId="0" xfId="0" applyFont="1" applyAlignment="1" applyProtection="1">
      <alignment horizontal="right"/>
      <protection hidden="1"/>
    </xf>
    <xf numFmtId="0" fontId="0" fillId="20" borderId="0" xfId="0" applyFill="1" applyAlignment="1" applyProtection="1">
      <alignment horizontal="left"/>
      <protection hidden="1"/>
    </xf>
    <xf numFmtId="0" fontId="1" fillId="10" borderId="0" xfId="0" applyFont="1" applyFill="1" applyAlignment="1" applyProtection="1">
      <alignment horizontal="left"/>
      <protection hidden="1"/>
    </xf>
    <xf numFmtId="0" fontId="1" fillId="20" borderId="0" xfId="0" applyFont="1" applyFill="1" applyAlignment="1" applyProtection="1">
      <alignment horizontal="left"/>
      <protection hidden="1"/>
    </xf>
    <xf numFmtId="0" fontId="27" fillId="13" borderId="0" xfId="0" applyFont="1" applyFill="1" applyAlignment="1" applyProtection="1">
      <alignment horizontal="center" vertical="center"/>
      <protection hidden="1"/>
    </xf>
    <xf numFmtId="0" fontId="61" fillId="20" borderId="2" xfId="0" applyFont="1" applyFill="1" applyBorder="1" applyAlignment="1" applyProtection="1">
      <alignment horizontal="left" vertical="center" wrapText="1"/>
      <protection hidden="1"/>
    </xf>
    <xf numFmtId="0" fontId="61" fillId="20" borderId="0" xfId="0" applyFont="1" applyFill="1" applyBorder="1" applyAlignment="1" applyProtection="1">
      <alignment horizontal="left" vertical="center" wrapText="1"/>
      <protection hidden="1"/>
    </xf>
    <xf numFmtId="0" fontId="1" fillId="48" borderId="4" xfId="0" applyFont="1" applyFill="1" applyBorder="1" applyAlignment="1" applyProtection="1">
      <alignment horizontal="left"/>
      <protection hidden="1"/>
    </xf>
    <xf numFmtId="0" fontId="0" fillId="2" borderId="0" xfId="0" applyFont="1" applyFill="1" applyBorder="1" applyAlignment="1" applyProtection="1">
      <alignment horizontal="left" indent="2"/>
      <protection hidden="1"/>
    </xf>
    <xf numFmtId="0" fontId="0" fillId="2" borderId="13" xfId="0" applyFont="1" applyFill="1" applyBorder="1" applyAlignment="1" applyProtection="1">
      <alignment horizontal="left" indent="2"/>
      <protection hidden="1"/>
    </xf>
    <xf numFmtId="166" fontId="5" fillId="13" borderId="0" xfId="0" applyNumberFormat="1" applyFont="1" applyFill="1" applyAlignment="1" applyProtection="1">
      <alignment horizontal="center"/>
      <protection hidden="1"/>
    </xf>
    <xf numFmtId="0" fontId="5" fillId="13" borderId="0" xfId="0" applyFont="1" applyFill="1" applyAlignment="1" applyProtection="1">
      <alignment horizontal="center"/>
      <protection hidden="1"/>
    </xf>
    <xf numFmtId="166" fontId="6" fillId="13" borderId="0" xfId="0" applyNumberFormat="1" applyFont="1" applyFill="1" applyAlignment="1" applyProtection="1">
      <alignment horizontal="center"/>
      <protection hidden="1"/>
    </xf>
    <xf numFmtId="0" fontId="2" fillId="48" borderId="4" xfId="0" applyFont="1" applyFill="1" applyBorder="1" applyAlignment="1" applyProtection="1">
      <alignment horizontal="left"/>
      <protection hidden="1"/>
    </xf>
    <xf numFmtId="0" fontId="0" fillId="25" borderId="0" xfId="0" applyFont="1" applyFill="1" applyAlignment="1" applyProtection="1">
      <alignment horizontal="left" vertical="top" wrapText="1"/>
      <protection hidden="1"/>
    </xf>
    <xf numFmtId="0" fontId="66" fillId="20" borderId="0" xfId="0" applyFont="1" applyFill="1" applyAlignment="1" applyProtection="1">
      <alignment horizontal="center" vertical="center" textRotation="90"/>
      <protection hidden="1"/>
    </xf>
    <xf numFmtId="0" fontId="13" fillId="18" borderId="0" xfId="0" applyFont="1" applyFill="1" applyAlignment="1" applyProtection="1">
      <alignment horizontal="center" vertical="center" wrapText="1"/>
      <protection hidden="1"/>
    </xf>
    <xf numFmtId="166" fontId="104" fillId="13" borderId="0" xfId="0" applyNumberFormat="1" applyFont="1" applyFill="1" applyAlignment="1" applyProtection="1">
      <alignment horizontal="center"/>
      <protection hidden="1"/>
    </xf>
    <xf numFmtId="0" fontId="5" fillId="16" borderId="0" xfId="0" applyFont="1" applyFill="1" applyBorder="1" applyAlignment="1" applyProtection="1">
      <alignment horizontal="left"/>
      <protection hidden="1"/>
    </xf>
    <xf numFmtId="0" fontId="51" fillId="10" borderId="18" xfId="0" applyFont="1" applyFill="1" applyBorder="1" applyAlignment="1" applyProtection="1">
      <alignment horizontal="center"/>
      <protection hidden="1"/>
    </xf>
    <xf numFmtId="0" fontId="51" fillId="10" borderId="4" xfId="0" applyFont="1" applyFill="1" applyBorder="1" applyAlignment="1" applyProtection="1">
      <alignment horizontal="center"/>
      <protection hidden="1"/>
    </xf>
    <xf numFmtId="0" fontId="51" fillId="10" borderId="17" xfId="0" applyFont="1" applyFill="1" applyBorder="1" applyAlignment="1" applyProtection="1">
      <alignment horizontal="center"/>
      <protection hidden="1"/>
    </xf>
    <xf numFmtId="0" fontId="1" fillId="18" borderId="0" xfId="0" applyFont="1" applyFill="1" applyAlignment="1" applyProtection="1">
      <alignment horizontal="center"/>
      <protection hidden="1"/>
    </xf>
    <xf numFmtId="0" fontId="1" fillId="18" borderId="20" xfId="0" applyFont="1" applyFill="1" applyBorder="1" applyAlignment="1" applyProtection="1">
      <alignment horizontal="center"/>
      <protection hidden="1"/>
    </xf>
    <xf numFmtId="0" fontId="5" fillId="16" borderId="1" xfId="0" applyFont="1" applyFill="1" applyBorder="1" applyAlignment="1" applyProtection="1">
      <alignment horizontal="center"/>
      <protection hidden="1"/>
    </xf>
    <xf numFmtId="0" fontId="7" fillId="38" borderId="0" xfId="0" applyFont="1" applyFill="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51" fillId="2" borderId="1" xfId="0" applyFont="1" applyFill="1" applyBorder="1" applyAlignment="1" applyProtection="1">
      <alignment horizontal="center" vertical="center"/>
      <protection hidden="1"/>
    </xf>
    <xf numFmtId="0" fontId="4" fillId="18" borderId="0" xfId="0" applyFont="1" applyFill="1" applyAlignment="1" applyProtection="1">
      <alignment horizontal="center"/>
      <protection hidden="1"/>
    </xf>
    <xf numFmtId="0" fontId="5" fillId="16" borderId="18" xfId="0" applyFont="1" applyFill="1" applyBorder="1" applyAlignment="1" applyProtection="1">
      <alignment horizontal="left"/>
      <protection hidden="1"/>
    </xf>
    <xf numFmtId="0" fontId="5" fillId="16" borderId="4" xfId="0" applyFont="1" applyFill="1" applyBorder="1" applyAlignment="1" applyProtection="1">
      <alignment horizontal="left"/>
      <protection hidden="1"/>
    </xf>
    <xf numFmtId="0" fontId="5" fillId="16" borderId="17" xfId="0" applyFont="1" applyFill="1" applyBorder="1" applyAlignment="1" applyProtection="1">
      <alignment horizontal="left"/>
      <protection hidden="1"/>
    </xf>
    <xf numFmtId="0" fontId="10" fillId="13" borderId="0" xfId="0" applyFont="1" applyFill="1" applyAlignment="1" applyProtection="1">
      <alignment horizontal="center"/>
      <protection hidden="1"/>
    </xf>
    <xf numFmtId="0" fontId="105" fillId="10" borderId="0" xfId="0" applyFont="1" applyFill="1" applyAlignment="1" applyProtection="1">
      <alignment horizontal="right" vertical="center" textRotation="90" wrapText="1"/>
      <protection hidden="1"/>
    </xf>
    <xf numFmtId="0" fontId="4" fillId="17" borderId="0" xfId="0" applyFont="1" applyFill="1" applyAlignment="1" applyProtection="1">
      <alignment horizontal="center"/>
      <protection hidden="1"/>
    </xf>
    <xf numFmtId="166" fontId="76" fillId="13" borderId="0" xfId="0" applyNumberFormat="1" applyFont="1" applyFill="1" applyAlignment="1" applyProtection="1">
      <alignment horizontal="center"/>
      <protection hidden="1"/>
    </xf>
    <xf numFmtId="49" fontId="0" fillId="0" borderId="0" xfId="0" applyNumberFormat="1" applyAlignment="1">
      <alignment horizontal="center"/>
    </xf>
  </cellXfs>
  <cellStyles count="4">
    <cellStyle name="Gekoppelde cel" xfId="2" builtinId="24" customBuiltin="1"/>
    <cellStyle name="Gevolgde hyperlink" xfId="3" builtinId="9" customBuiltin="1"/>
    <cellStyle name="Hyperlink" xfId="1" builtinId="8" customBuiltin="1"/>
    <cellStyle name="Standaard" xfId="0" builtinId="0"/>
  </cellStyles>
  <dxfs count="275">
    <dxf>
      <font>
        <color theme="1"/>
      </font>
    </dxf>
    <dxf>
      <font>
        <color theme="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ill>
        <patternFill>
          <bgColor theme="6" tint="0.39994506668294322"/>
        </patternFill>
      </fill>
    </dxf>
    <dxf>
      <numFmt numFmtId="0" formatCode="General"/>
      <fill>
        <patternFill>
          <bgColor theme="9" tint="0.39994506668294322"/>
        </patternFill>
      </fill>
    </dxf>
    <dxf>
      <fill>
        <patternFill>
          <bgColor theme="5" tint="0.39994506668294322"/>
        </patternFill>
      </fill>
    </dxf>
    <dxf>
      <fill>
        <patternFill>
          <bgColor theme="6" tint="0.39994506668294322"/>
        </patternFill>
      </fill>
    </dxf>
    <dxf>
      <numFmt numFmtId="0" formatCode="General"/>
      <fill>
        <patternFill>
          <bgColor theme="9" tint="0.39994506668294322"/>
        </patternFill>
      </fill>
    </dxf>
    <dxf>
      <fill>
        <patternFill>
          <bgColor theme="5" tint="0.39994506668294322"/>
        </patternFill>
      </fill>
    </dxf>
    <dxf>
      <fill>
        <patternFill>
          <bgColor theme="6" tint="0.39994506668294322"/>
        </patternFill>
      </fill>
    </dxf>
    <dxf>
      <numFmt numFmtId="0" formatCode="General"/>
      <fill>
        <patternFill>
          <bgColor theme="9" tint="0.39994506668294322"/>
        </patternFill>
      </fill>
    </dxf>
    <dxf>
      <fill>
        <patternFill>
          <bgColor theme="5" tint="0.39994506668294322"/>
        </patternFill>
      </fill>
    </dxf>
    <dxf>
      <fill>
        <patternFill>
          <bgColor theme="6" tint="0.39994506668294322"/>
        </patternFill>
      </fill>
    </dxf>
    <dxf>
      <numFmt numFmtId="0" formatCode="General"/>
      <fill>
        <patternFill>
          <bgColor theme="9" tint="0.39994506668294322"/>
        </patternFill>
      </fill>
    </dxf>
    <dxf>
      <fill>
        <patternFill>
          <bgColor theme="5" tint="0.39994506668294322"/>
        </patternFill>
      </fill>
    </dxf>
    <dxf>
      <font>
        <b/>
        <i val="0"/>
        <color rgb="FFFF0000"/>
      </font>
      <fill>
        <patternFill patternType="none">
          <bgColor auto="1"/>
        </patternFill>
      </fill>
    </dxf>
    <dxf>
      <font>
        <color theme="1"/>
      </font>
    </dxf>
    <dxf>
      <font>
        <color theme="0"/>
      </font>
    </dxf>
    <dxf>
      <font>
        <color theme="0" tint="-0.34998626667073579"/>
      </font>
      <fill>
        <patternFill>
          <bgColor theme="0" tint="-0.34998626667073579"/>
        </patternFill>
      </fill>
      <border>
        <left/>
        <right/>
        <top/>
        <bottom/>
        <vertical/>
        <horizontal/>
      </border>
    </dxf>
    <dxf>
      <font>
        <b/>
        <i/>
        <color rgb="FFFF0000"/>
      </font>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numFmt numFmtId="0" formatCode="General"/>
      <fill>
        <patternFill>
          <bgColor theme="9" tint="0.39994506668294322"/>
        </patternFill>
      </fill>
    </dxf>
    <dxf>
      <font>
        <b/>
        <i val="0"/>
        <color theme="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34998626667073579"/>
      </font>
      <fill>
        <patternFill>
          <bgColor theme="0" tint="-0.34998626667073579"/>
        </patternFill>
      </fill>
      <border>
        <right/>
        <top/>
        <bottom/>
        <vertical/>
        <horizontal/>
      </border>
    </dxf>
    <dxf>
      <font>
        <color theme="0" tint="-0.34998626667073579"/>
      </font>
      <fill>
        <patternFill>
          <bgColor theme="0" tint="-0.34998626667073579"/>
        </patternFill>
      </fill>
      <border>
        <left/>
        <right/>
        <top/>
        <bottom/>
        <vertical/>
        <horizontal/>
      </border>
    </dxf>
    <dxf>
      <font>
        <color theme="1"/>
      </font>
    </dxf>
    <dxf>
      <font>
        <color theme="0"/>
      </font>
    </dxf>
    <dxf>
      <fill>
        <patternFill>
          <bgColor theme="6" tint="0.39994506668294322"/>
        </patternFill>
      </fill>
    </dxf>
    <dxf>
      <fill>
        <patternFill>
          <bgColor theme="8" tint="0.59996337778862885"/>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ont>
        <b/>
        <i val="0"/>
        <color theme="1"/>
      </font>
    </dxf>
    <dxf>
      <font>
        <color theme="1"/>
      </font>
    </dxf>
    <dxf>
      <font>
        <color theme="0"/>
      </font>
    </dxf>
    <dxf>
      <font>
        <b val="0"/>
        <i/>
        <color auto="1"/>
      </font>
    </dxf>
    <dxf>
      <font>
        <b/>
        <i val="0"/>
      </font>
    </dxf>
    <dxf>
      <font>
        <b/>
        <i/>
        <color theme="0"/>
      </font>
      <fill>
        <patternFill>
          <bgColor theme="0" tint="-0.34998626667073579"/>
        </patternFill>
      </fill>
    </dxf>
    <dxf>
      <font>
        <color theme="0"/>
      </font>
    </dxf>
    <dxf>
      <font>
        <color auto="1"/>
      </font>
    </dxf>
    <dxf>
      <font>
        <color theme="0" tint="-0.34998626667073579"/>
      </font>
      <fill>
        <patternFill>
          <bgColor theme="0" tint="-0.34998626667073579"/>
        </patternFill>
      </fill>
      <border>
        <left/>
        <right/>
        <top/>
        <bottom/>
        <vertical/>
        <horizontal/>
      </border>
    </dxf>
    <dxf>
      <font>
        <color theme="1"/>
      </font>
    </dxf>
    <dxf>
      <font>
        <color theme="0"/>
      </font>
    </dxf>
  </dxfs>
  <tableStyles count="0" defaultTableStyle="TableStyleMedium9" defaultPivotStyle="PivotStyleLight16"/>
  <colors>
    <mruColors>
      <color rgb="FF0084A4"/>
      <color rgb="FFFF0000"/>
      <color rgb="FF66FFCC"/>
      <color rgb="FFFF9933"/>
      <color rgb="FFCCFFCC"/>
      <color rgb="FFFFFFCC"/>
      <color rgb="FFFFFF99"/>
      <color rgb="FFFFFF66"/>
      <color rgb="FF007494"/>
      <color rgb="FF0064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webp"/><Relationship Id="rId13" Type="http://schemas.openxmlformats.org/officeDocument/2006/relationships/image" Target="../media/image13.webp"/><Relationship Id="rId18" Type="http://schemas.openxmlformats.org/officeDocument/2006/relationships/image" Target="../media/image18.webp"/><Relationship Id="rId26" Type="http://schemas.openxmlformats.org/officeDocument/2006/relationships/image" Target="../media/image26.webp"/><Relationship Id="rId3" Type="http://schemas.openxmlformats.org/officeDocument/2006/relationships/image" Target="../media/image3.png"/><Relationship Id="rId21" Type="http://schemas.openxmlformats.org/officeDocument/2006/relationships/image" Target="../media/image21.webp"/><Relationship Id="rId7" Type="http://schemas.openxmlformats.org/officeDocument/2006/relationships/image" Target="../media/image7.webp"/><Relationship Id="rId12" Type="http://schemas.openxmlformats.org/officeDocument/2006/relationships/image" Target="../media/image12.webp"/><Relationship Id="rId17" Type="http://schemas.openxmlformats.org/officeDocument/2006/relationships/image" Target="../media/image17.webp"/><Relationship Id="rId25" Type="http://schemas.openxmlformats.org/officeDocument/2006/relationships/image" Target="../media/image25.webp"/><Relationship Id="rId2" Type="http://schemas.openxmlformats.org/officeDocument/2006/relationships/image" Target="../media/image2.png"/><Relationship Id="rId16" Type="http://schemas.openxmlformats.org/officeDocument/2006/relationships/image" Target="../media/image16.webp"/><Relationship Id="rId20" Type="http://schemas.openxmlformats.org/officeDocument/2006/relationships/image" Target="../media/image20.webp"/><Relationship Id="rId29" Type="http://schemas.openxmlformats.org/officeDocument/2006/relationships/image" Target="../media/image29.jpg"/><Relationship Id="rId1" Type="http://schemas.openxmlformats.org/officeDocument/2006/relationships/image" Target="../media/image1.png"/><Relationship Id="rId6" Type="http://schemas.openxmlformats.org/officeDocument/2006/relationships/image" Target="../media/image6.webp"/><Relationship Id="rId11" Type="http://schemas.openxmlformats.org/officeDocument/2006/relationships/image" Target="../media/image11.webp"/><Relationship Id="rId24" Type="http://schemas.openxmlformats.org/officeDocument/2006/relationships/image" Target="../media/image24.webp"/><Relationship Id="rId5" Type="http://schemas.openxmlformats.org/officeDocument/2006/relationships/image" Target="../media/image5.webp"/><Relationship Id="rId15" Type="http://schemas.openxmlformats.org/officeDocument/2006/relationships/image" Target="../media/image15.webp"/><Relationship Id="rId23" Type="http://schemas.openxmlformats.org/officeDocument/2006/relationships/image" Target="../media/image23.webp"/><Relationship Id="rId28" Type="http://schemas.openxmlformats.org/officeDocument/2006/relationships/image" Target="../media/image28.webp"/><Relationship Id="rId10" Type="http://schemas.openxmlformats.org/officeDocument/2006/relationships/image" Target="../media/image10.webp"/><Relationship Id="rId19" Type="http://schemas.openxmlformats.org/officeDocument/2006/relationships/image" Target="../media/image19.webp"/><Relationship Id="rId4" Type="http://schemas.openxmlformats.org/officeDocument/2006/relationships/image" Target="../media/image4.png"/><Relationship Id="rId9" Type="http://schemas.openxmlformats.org/officeDocument/2006/relationships/image" Target="../media/image9.webp"/><Relationship Id="rId14" Type="http://schemas.openxmlformats.org/officeDocument/2006/relationships/image" Target="../media/image14.webp"/><Relationship Id="rId22" Type="http://schemas.openxmlformats.org/officeDocument/2006/relationships/image" Target="../media/image22.webp"/><Relationship Id="rId27" Type="http://schemas.openxmlformats.org/officeDocument/2006/relationships/image" Target="../media/image27.webp"/></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20</xdr:col>
      <xdr:colOff>0</xdr:colOff>
      <xdr:row>63</xdr:row>
      <xdr:rowOff>9525</xdr:rowOff>
    </xdr:to>
    <xdr:grpSp>
      <xdr:nvGrpSpPr>
        <xdr:cNvPr id="29" name="Voorblad">
          <a:extLst>
            <a:ext uri="{FF2B5EF4-FFF2-40B4-BE49-F238E27FC236}">
              <a16:creationId xmlns:a16="http://schemas.microsoft.com/office/drawing/2014/main" id="{00000000-0008-0000-0500-00001D000000}"/>
            </a:ext>
          </a:extLst>
        </xdr:cNvPr>
        <xdr:cNvGrpSpPr/>
      </xdr:nvGrpSpPr>
      <xdr:grpSpPr>
        <a:xfrm>
          <a:off x="182880" y="192405"/>
          <a:ext cx="7589520" cy="12001500"/>
          <a:chOff x="193524" y="182032"/>
          <a:chExt cx="8013095" cy="12004524"/>
        </a:xfrm>
      </xdr:grpSpPr>
      <xdr:grpSp>
        <xdr:nvGrpSpPr>
          <xdr:cNvPr id="16" name="Achtergrond">
            <a:extLst>
              <a:ext uri="{FF2B5EF4-FFF2-40B4-BE49-F238E27FC236}">
                <a16:creationId xmlns:a16="http://schemas.microsoft.com/office/drawing/2014/main" id="{00000000-0008-0000-0500-000010000000}"/>
              </a:ext>
            </a:extLst>
          </xdr:cNvPr>
          <xdr:cNvGrpSpPr/>
        </xdr:nvGrpSpPr>
        <xdr:grpSpPr>
          <a:xfrm>
            <a:off x="387047" y="2026742"/>
            <a:ext cx="7626049" cy="9612906"/>
            <a:chOff x="387047" y="2026742"/>
            <a:chExt cx="7626049" cy="9612906"/>
          </a:xfrm>
        </xdr:grpSpPr>
        <xdr:pic>
          <xdr:nvPicPr>
            <xdr:cNvPr id="131" name="Achtergrond - onder">
              <a:extLst>
                <a:ext uri="{FF2B5EF4-FFF2-40B4-BE49-F238E27FC236}">
                  <a16:creationId xmlns:a16="http://schemas.microsoft.com/office/drawing/2014/main" id="{00000000-0008-0000-0500-00008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047" y="8722685"/>
              <a:ext cx="7626049" cy="2916963"/>
            </a:xfrm>
            <a:prstGeom prst="rect">
              <a:avLst/>
            </a:prstGeom>
            <a:solidFill>
              <a:schemeClr val="bg1"/>
            </a:solidFill>
            <a:effectLst>
              <a:glow>
                <a:schemeClr val="accent1">
                  <a:alpha val="40000"/>
                </a:schemeClr>
              </a:glow>
              <a:softEdge rad="25400"/>
            </a:effectLst>
          </xdr:spPr>
        </xdr:pic>
        <xdr:pic>
          <xdr:nvPicPr>
            <xdr:cNvPr id="31" name="Achtergrond - midden">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5687" y="3139131"/>
              <a:ext cx="7615990" cy="5376544"/>
            </a:xfrm>
            <a:prstGeom prst="rect">
              <a:avLst/>
            </a:prstGeom>
            <a:solidFill>
              <a:schemeClr val="bg1"/>
            </a:solidFill>
            <a:effectLst>
              <a:glow>
                <a:schemeClr val="accent1">
                  <a:alpha val="40000"/>
                </a:schemeClr>
              </a:glow>
              <a:softEdge rad="25400"/>
            </a:effectLst>
          </xdr:spPr>
        </xdr:pic>
        <xdr:pic>
          <xdr:nvPicPr>
            <xdr:cNvPr id="130" name="Achtergrond - boven">
              <a:extLst>
                <a:ext uri="{FF2B5EF4-FFF2-40B4-BE49-F238E27FC236}">
                  <a16:creationId xmlns:a16="http://schemas.microsoft.com/office/drawing/2014/main" id="{00000000-0008-0000-0500-00008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7047" y="2026742"/>
              <a:ext cx="7626049" cy="741592"/>
            </a:xfrm>
            <a:prstGeom prst="rect">
              <a:avLst/>
            </a:prstGeom>
            <a:solidFill>
              <a:schemeClr val="bg1"/>
            </a:solidFill>
            <a:effectLst>
              <a:glow>
                <a:schemeClr val="accent1">
                  <a:alpha val="40000"/>
                </a:schemeClr>
              </a:glow>
              <a:softEdge rad="25400"/>
            </a:effectLst>
          </xdr:spPr>
        </xdr:pic>
      </xdr:grpSp>
      <xdr:grpSp>
        <xdr:nvGrpSpPr>
          <xdr:cNvPr id="30" name="Voorgrond">
            <a:extLst>
              <a:ext uri="{FF2B5EF4-FFF2-40B4-BE49-F238E27FC236}">
                <a16:creationId xmlns:a16="http://schemas.microsoft.com/office/drawing/2014/main" id="{00000000-0008-0000-0500-00001E000000}"/>
              </a:ext>
            </a:extLst>
          </xdr:cNvPr>
          <xdr:cNvGrpSpPr/>
        </xdr:nvGrpSpPr>
        <xdr:grpSpPr>
          <a:xfrm>
            <a:off x="388140" y="2221411"/>
            <a:ext cx="7623862" cy="9181213"/>
            <a:chOff x="388140" y="2221411"/>
            <a:chExt cx="7623862" cy="9181213"/>
          </a:xfrm>
        </xdr:grpSpPr>
        <xdr:grpSp>
          <xdr:nvGrpSpPr>
            <xdr:cNvPr id="28" name="Groepsindeling">
              <a:extLst>
                <a:ext uri="{FF2B5EF4-FFF2-40B4-BE49-F238E27FC236}">
                  <a16:creationId xmlns:a16="http://schemas.microsoft.com/office/drawing/2014/main" id="{00000000-0008-0000-0500-00001C000000}"/>
                </a:ext>
              </a:extLst>
            </xdr:cNvPr>
            <xdr:cNvGrpSpPr/>
          </xdr:nvGrpSpPr>
          <xdr:grpSpPr>
            <a:xfrm>
              <a:off x="1026274" y="8894893"/>
              <a:ext cx="6591175" cy="2507731"/>
              <a:chOff x="1026274" y="8894893"/>
              <a:chExt cx="6591175" cy="2507731"/>
            </a:xfrm>
          </xdr:grpSpPr>
          <xdr:grpSp>
            <xdr:nvGrpSpPr>
              <xdr:cNvPr id="14" name="Groepsindeling - Landen">
                <a:extLst>
                  <a:ext uri="{FF2B5EF4-FFF2-40B4-BE49-F238E27FC236}">
                    <a16:creationId xmlns:a16="http://schemas.microsoft.com/office/drawing/2014/main" id="{00000000-0008-0000-0500-00000E000000}"/>
                  </a:ext>
                </a:extLst>
              </xdr:cNvPr>
              <xdr:cNvGrpSpPr/>
            </xdr:nvGrpSpPr>
            <xdr:grpSpPr>
              <a:xfrm>
                <a:off x="1322387" y="9124158"/>
                <a:ext cx="6295062" cy="2278466"/>
                <a:chOff x="1322387" y="9124158"/>
                <a:chExt cx="6295062" cy="2278466"/>
              </a:xfrm>
            </xdr:grpSpPr>
            <xdr:grpSp>
              <xdr:nvGrpSpPr>
                <xdr:cNvPr id="26" name="Groep 8" hidden="1">
                  <a:extLst>
                    <a:ext uri="{FF2B5EF4-FFF2-40B4-BE49-F238E27FC236}">
                      <a16:creationId xmlns:a16="http://schemas.microsoft.com/office/drawing/2014/main" id="{00000000-0008-0000-0500-00001A000000}"/>
                    </a:ext>
                  </a:extLst>
                </xdr:cNvPr>
                <xdr:cNvGrpSpPr/>
              </xdr:nvGrpSpPr>
              <xdr:grpSpPr>
                <a:xfrm>
                  <a:off x="6302129" y="10471091"/>
                  <a:ext cx="1315320" cy="931533"/>
                  <a:chOff x="5867826" y="10785231"/>
                  <a:chExt cx="1225039" cy="967848"/>
                </a:xfrm>
              </xdr:grpSpPr>
              <xdr:sp macro="" textlink="$P$59">
                <xdr:nvSpPr>
                  <xdr:cNvPr id="88" name="84 - land">
                    <a:extLst>
                      <a:ext uri="{FF2B5EF4-FFF2-40B4-BE49-F238E27FC236}">
                        <a16:creationId xmlns:a16="http://schemas.microsoft.com/office/drawing/2014/main" id="{00000000-0008-0000-0500-000058000000}"/>
                      </a:ext>
                    </a:extLst>
                  </xdr:cNvPr>
                  <xdr:cNvSpPr txBox="1"/>
                </xdr:nvSpPr>
                <xdr:spPr>
                  <a:xfrm>
                    <a:off x="5867826" y="1151059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9CC7758C-C737-4F71-B128-BF53049F12AA}" type="TxLink">
                      <a:rPr lang="en-US" sz="1400" b="0" i="0" u="none" strike="noStrike">
                        <a:solidFill>
                          <a:srgbClr val="007494"/>
                        </a:solidFill>
                        <a:latin typeface="Calibri"/>
                        <a:cs typeface="Calibri"/>
                      </a:rPr>
                      <a:pPr/>
                      <a:t>Land H4</a:t>
                    </a:fld>
                    <a:endParaRPr lang="nl-NL" sz="1100" i="0">
                      <a:solidFill>
                        <a:srgbClr val="007494"/>
                      </a:solidFill>
                    </a:endParaRPr>
                  </a:p>
                </xdr:txBody>
              </xdr:sp>
              <xdr:sp macro="" textlink="$P$58">
                <xdr:nvSpPr>
                  <xdr:cNvPr id="87" name="83 - land">
                    <a:extLst>
                      <a:ext uri="{FF2B5EF4-FFF2-40B4-BE49-F238E27FC236}">
                        <a16:creationId xmlns:a16="http://schemas.microsoft.com/office/drawing/2014/main" id="{00000000-0008-0000-0500-000057000000}"/>
                      </a:ext>
                    </a:extLst>
                  </xdr:cNvPr>
                  <xdr:cNvSpPr txBox="1"/>
                </xdr:nvSpPr>
                <xdr:spPr>
                  <a:xfrm>
                    <a:off x="5868865" y="1126880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2C7CD86A-BD0C-4C8B-811A-DAEAF5AAE598}" type="TxLink">
                      <a:rPr lang="en-US" sz="1400" b="0" i="0" u="none" strike="noStrike">
                        <a:solidFill>
                          <a:srgbClr val="007494"/>
                        </a:solidFill>
                        <a:latin typeface="Calibri"/>
                        <a:cs typeface="Calibri"/>
                      </a:rPr>
                      <a:pPr/>
                      <a:t>Land H3</a:t>
                    </a:fld>
                    <a:endParaRPr lang="nl-NL" sz="1100" i="0">
                      <a:solidFill>
                        <a:srgbClr val="007494"/>
                      </a:solidFill>
                    </a:endParaRPr>
                  </a:p>
                </xdr:txBody>
              </xdr:sp>
              <xdr:sp macro="" textlink="$P$57">
                <xdr:nvSpPr>
                  <xdr:cNvPr id="86" name="82 - land">
                    <a:extLst>
                      <a:ext uri="{FF2B5EF4-FFF2-40B4-BE49-F238E27FC236}">
                        <a16:creationId xmlns:a16="http://schemas.microsoft.com/office/drawing/2014/main" id="{00000000-0008-0000-0500-000056000000}"/>
                      </a:ext>
                    </a:extLst>
                  </xdr:cNvPr>
                  <xdr:cNvSpPr txBox="1"/>
                </xdr:nvSpPr>
                <xdr:spPr>
                  <a:xfrm>
                    <a:off x="5868865" y="11027019"/>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CB7648F6-B8E2-461A-A1DC-0C0405C04126}" type="TxLink">
                      <a:rPr lang="en-US" sz="1400" b="0" i="0" u="none" strike="noStrike">
                        <a:solidFill>
                          <a:srgbClr val="007494"/>
                        </a:solidFill>
                        <a:latin typeface="Calibri"/>
                        <a:cs typeface="Calibri"/>
                      </a:rPr>
                      <a:pPr/>
                      <a:t>Land H2</a:t>
                    </a:fld>
                    <a:endParaRPr lang="nl-NL" sz="1100" i="0">
                      <a:solidFill>
                        <a:srgbClr val="007494"/>
                      </a:solidFill>
                    </a:endParaRPr>
                  </a:p>
                </xdr:txBody>
              </xdr:sp>
              <xdr:sp macro="" textlink="$P$56">
                <xdr:nvSpPr>
                  <xdr:cNvPr id="85" name="81 - land">
                    <a:extLst>
                      <a:ext uri="{FF2B5EF4-FFF2-40B4-BE49-F238E27FC236}">
                        <a16:creationId xmlns:a16="http://schemas.microsoft.com/office/drawing/2014/main" id="{00000000-0008-0000-0500-000055000000}"/>
                      </a:ext>
                    </a:extLst>
                  </xdr:cNvPr>
                  <xdr:cNvSpPr txBox="1"/>
                </xdr:nvSpPr>
                <xdr:spPr>
                  <a:xfrm>
                    <a:off x="5868865" y="10785231"/>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FFEA3501-A9F6-40AC-911C-298FAB35A08C}" type="TxLink">
                      <a:rPr lang="en-US" sz="1400" b="0" i="0" u="none" strike="noStrike">
                        <a:solidFill>
                          <a:srgbClr val="007494"/>
                        </a:solidFill>
                        <a:latin typeface="Calibri"/>
                        <a:cs typeface="Calibri"/>
                      </a:rPr>
                      <a:pPr/>
                      <a:t>Land H1</a:t>
                    </a:fld>
                    <a:endParaRPr lang="nl-NL" sz="1100" i="0">
                      <a:solidFill>
                        <a:srgbClr val="007494"/>
                      </a:solidFill>
                    </a:endParaRPr>
                  </a:p>
                </xdr:txBody>
              </xdr:sp>
            </xdr:grpSp>
            <xdr:grpSp>
              <xdr:nvGrpSpPr>
                <xdr:cNvPr id="25" name="Groep 7">
                  <a:extLst>
                    <a:ext uri="{FF2B5EF4-FFF2-40B4-BE49-F238E27FC236}">
                      <a16:creationId xmlns:a16="http://schemas.microsoft.com/office/drawing/2014/main" id="{00000000-0008-0000-0500-000019000000}"/>
                    </a:ext>
                  </a:extLst>
                </xdr:cNvPr>
                <xdr:cNvGrpSpPr/>
              </xdr:nvGrpSpPr>
              <xdr:grpSpPr>
                <a:xfrm>
                  <a:off x="4642216" y="10471091"/>
                  <a:ext cx="1315320" cy="931533"/>
                  <a:chOff x="4321846" y="10785231"/>
                  <a:chExt cx="1225039" cy="967848"/>
                </a:xfrm>
              </xdr:grpSpPr>
              <xdr:sp macro="" textlink="$M$59">
                <xdr:nvSpPr>
                  <xdr:cNvPr id="84" name="74 - land">
                    <a:extLst>
                      <a:ext uri="{FF2B5EF4-FFF2-40B4-BE49-F238E27FC236}">
                        <a16:creationId xmlns:a16="http://schemas.microsoft.com/office/drawing/2014/main" id="{00000000-0008-0000-0500-000054000000}"/>
                      </a:ext>
                    </a:extLst>
                  </xdr:cNvPr>
                  <xdr:cNvSpPr txBox="1"/>
                </xdr:nvSpPr>
                <xdr:spPr>
                  <a:xfrm>
                    <a:off x="4321846" y="1151059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19AB224-1835-432C-A4CD-0921276C5C63}" type="TxLink">
                      <a:rPr lang="en-US" sz="1400" b="0" i="0" u="none" strike="noStrike">
                        <a:solidFill>
                          <a:srgbClr val="007494"/>
                        </a:solidFill>
                        <a:latin typeface="Calibri"/>
                        <a:cs typeface="Calibri"/>
                      </a:rPr>
                      <a:pPr/>
                      <a:t>Duitsland</a:t>
                    </a:fld>
                    <a:endParaRPr lang="nl-NL" sz="1100" i="0">
                      <a:solidFill>
                        <a:srgbClr val="007494"/>
                      </a:solidFill>
                    </a:endParaRPr>
                  </a:p>
                </xdr:txBody>
              </xdr:sp>
              <xdr:sp macro="" textlink="$M$58">
                <xdr:nvSpPr>
                  <xdr:cNvPr id="83" name="73 - land">
                    <a:extLst>
                      <a:ext uri="{FF2B5EF4-FFF2-40B4-BE49-F238E27FC236}">
                        <a16:creationId xmlns:a16="http://schemas.microsoft.com/office/drawing/2014/main" id="{00000000-0008-0000-0500-000053000000}"/>
                      </a:ext>
                    </a:extLst>
                  </xdr:cNvPr>
                  <xdr:cNvSpPr txBox="1"/>
                </xdr:nvSpPr>
                <xdr:spPr>
                  <a:xfrm>
                    <a:off x="4322885" y="1126880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F6F788B0-19B9-43BB-ACB3-EBF5C5311CFE}" type="TxLink">
                      <a:rPr lang="en-US" sz="1400" b="0" i="0" u="none" strike="noStrike">
                        <a:solidFill>
                          <a:srgbClr val="007494"/>
                        </a:solidFill>
                        <a:latin typeface="Calibri"/>
                        <a:cs typeface="Calibri"/>
                      </a:rPr>
                      <a:pPr/>
                      <a:t>Frankrijk</a:t>
                    </a:fld>
                    <a:endParaRPr lang="nl-NL" sz="1100" i="0">
                      <a:solidFill>
                        <a:srgbClr val="007494"/>
                      </a:solidFill>
                    </a:endParaRPr>
                  </a:p>
                </xdr:txBody>
              </xdr:sp>
              <xdr:sp macro="" textlink="$M$57">
                <xdr:nvSpPr>
                  <xdr:cNvPr id="82" name="72 - land">
                    <a:extLst>
                      <a:ext uri="{FF2B5EF4-FFF2-40B4-BE49-F238E27FC236}">
                        <a16:creationId xmlns:a16="http://schemas.microsoft.com/office/drawing/2014/main" id="{00000000-0008-0000-0500-000052000000}"/>
                      </a:ext>
                    </a:extLst>
                  </xdr:cNvPr>
                  <xdr:cNvSpPr txBox="1"/>
                </xdr:nvSpPr>
                <xdr:spPr>
                  <a:xfrm>
                    <a:off x="4322885" y="11027019"/>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513ACEE4-0E2C-42BD-A43C-2C0952E0A2A8}" type="TxLink">
                      <a:rPr lang="en-US" sz="1400" b="0" i="0" u="none" strike="noStrike">
                        <a:solidFill>
                          <a:srgbClr val="007494"/>
                        </a:solidFill>
                        <a:latin typeface="Calibri"/>
                        <a:cs typeface="Calibri"/>
                      </a:rPr>
                      <a:pPr/>
                      <a:t>Portugal</a:t>
                    </a:fld>
                    <a:endParaRPr lang="nl-NL" sz="1100" i="0">
                      <a:solidFill>
                        <a:srgbClr val="007494"/>
                      </a:solidFill>
                    </a:endParaRPr>
                  </a:p>
                </xdr:txBody>
              </xdr:sp>
              <xdr:sp macro="" textlink="$M$56">
                <xdr:nvSpPr>
                  <xdr:cNvPr id="81" name="71 - land">
                    <a:extLst>
                      <a:ext uri="{FF2B5EF4-FFF2-40B4-BE49-F238E27FC236}">
                        <a16:creationId xmlns:a16="http://schemas.microsoft.com/office/drawing/2014/main" id="{00000000-0008-0000-0500-000051000000}"/>
                      </a:ext>
                    </a:extLst>
                  </xdr:cNvPr>
                  <xdr:cNvSpPr txBox="1"/>
                </xdr:nvSpPr>
                <xdr:spPr>
                  <a:xfrm>
                    <a:off x="4322885" y="10785231"/>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851E4BD-1AF0-4CAE-B62D-2F058995DC53}" type="TxLink">
                      <a:rPr lang="en-US" sz="1400" b="0" i="0" u="none" strike="noStrike">
                        <a:solidFill>
                          <a:srgbClr val="007494"/>
                        </a:solidFill>
                        <a:latin typeface="Calibri"/>
                        <a:cs typeface="Calibri"/>
                      </a:rPr>
                      <a:pPr/>
                      <a:t>Hongarije</a:t>
                    </a:fld>
                    <a:endParaRPr lang="nl-NL" sz="1100" i="0">
                      <a:solidFill>
                        <a:srgbClr val="007494"/>
                      </a:solidFill>
                    </a:endParaRPr>
                  </a:p>
                </xdr:txBody>
              </xdr:sp>
            </xdr:grpSp>
            <xdr:grpSp>
              <xdr:nvGrpSpPr>
                <xdr:cNvPr id="24" name="Groep 6">
                  <a:extLst>
                    <a:ext uri="{FF2B5EF4-FFF2-40B4-BE49-F238E27FC236}">
                      <a16:creationId xmlns:a16="http://schemas.microsoft.com/office/drawing/2014/main" id="{00000000-0008-0000-0500-000018000000}"/>
                    </a:ext>
                  </a:extLst>
                </xdr:cNvPr>
                <xdr:cNvGrpSpPr/>
              </xdr:nvGrpSpPr>
              <xdr:grpSpPr>
                <a:xfrm>
                  <a:off x="2982301" y="10471091"/>
                  <a:ext cx="1315320" cy="931533"/>
                  <a:chOff x="2775865" y="10785231"/>
                  <a:chExt cx="1225039" cy="967848"/>
                </a:xfrm>
              </xdr:grpSpPr>
              <xdr:sp macro="" textlink="$J$59">
                <xdr:nvSpPr>
                  <xdr:cNvPr id="80" name="64 - land">
                    <a:extLst>
                      <a:ext uri="{FF2B5EF4-FFF2-40B4-BE49-F238E27FC236}">
                        <a16:creationId xmlns:a16="http://schemas.microsoft.com/office/drawing/2014/main" id="{00000000-0008-0000-0500-000050000000}"/>
                      </a:ext>
                    </a:extLst>
                  </xdr:cNvPr>
                  <xdr:cNvSpPr txBox="1"/>
                </xdr:nvSpPr>
                <xdr:spPr>
                  <a:xfrm>
                    <a:off x="2775865" y="1151059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66D19D1-154D-47BB-A65C-3D9BBB825B15}" type="TxLink">
                      <a:rPr lang="en-US" sz="1400" b="0" i="0" u="none" strike="noStrike">
                        <a:solidFill>
                          <a:srgbClr val="007494"/>
                        </a:solidFill>
                        <a:latin typeface="Calibri"/>
                        <a:cs typeface="Calibri"/>
                      </a:rPr>
                      <a:pPr/>
                      <a:t>Slowakije</a:t>
                    </a:fld>
                    <a:endParaRPr lang="nl-NL" sz="1100" i="0">
                      <a:solidFill>
                        <a:srgbClr val="007494"/>
                      </a:solidFill>
                    </a:endParaRPr>
                  </a:p>
                </xdr:txBody>
              </xdr:sp>
              <xdr:sp macro="" textlink="$J$58">
                <xdr:nvSpPr>
                  <xdr:cNvPr id="78" name="63 - land">
                    <a:extLst>
                      <a:ext uri="{FF2B5EF4-FFF2-40B4-BE49-F238E27FC236}">
                        <a16:creationId xmlns:a16="http://schemas.microsoft.com/office/drawing/2014/main" id="{00000000-0008-0000-0500-00004E000000}"/>
                      </a:ext>
                    </a:extLst>
                  </xdr:cNvPr>
                  <xdr:cNvSpPr txBox="1"/>
                </xdr:nvSpPr>
                <xdr:spPr>
                  <a:xfrm>
                    <a:off x="2776904" y="1126880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E7AE9E35-F6F4-4183-B572-1FF17903B1A8}" type="TxLink">
                      <a:rPr lang="en-US" sz="1400" b="0" i="0" u="none" strike="noStrike">
                        <a:solidFill>
                          <a:srgbClr val="007494"/>
                        </a:solidFill>
                        <a:latin typeface="Calibri"/>
                        <a:cs typeface="Calibri"/>
                      </a:rPr>
                      <a:pPr/>
                      <a:t>Polen</a:t>
                    </a:fld>
                    <a:endParaRPr lang="nl-NL" sz="1100" i="0">
                      <a:solidFill>
                        <a:srgbClr val="007494"/>
                      </a:solidFill>
                    </a:endParaRPr>
                  </a:p>
                </xdr:txBody>
              </xdr:sp>
              <xdr:sp macro="" textlink="$J$57">
                <xdr:nvSpPr>
                  <xdr:cNvPr id="77" name="62 - land">
                    <a:extLst>
                      <a:ext uri="{FF2B5EF4-FFF2-40B4-BE49-F238E27FC236}">
                        <a16:creationId xmlns:a16="http://schemas.microsoft.com/office/drawing/2014/main" id="{00000000-0008-0000-0500-00004D000000}"/>
                      </a:ext>
                    </a:extLst>
                  </xdr:cNvPr>
                  <xdr:cNvSpPr txBox="1"/>
                </xdr:nvSpPr>
                <xdr:spPr>
                  <a:xfrm>
                    <a:off x="2776904" y="11027019"/>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06449C1B-6F57-4A96-AC63-0ABE895DFD14}" type="TxLink">
                      <a:rPr lang="en-US" sz="1400" b="0" i="0" u="none" strike="noStrike">
                        <a:solidFill>
                          <a:srgbClr val="007494"/>
                        </a:solidFill>
                        <a:latin typeface="Calibri"/>
                        <a:cs typeface="Calibri"/>
                      </a:rPr>
                      <a:pPr/>
                      <a:t>Zweden</a:t>
                    </a:fld>
                    <a:endParaRPr lang="nl-NL" sz="1100" i="0">
                      <a:solidFill>
                        <a:srgbClr val="007494"/>
                      </a:solidFill>
                    </a:endParaRPr>
                  </a:p>
                </xdr:txBody>
              </xdr:sp>
              <xdr:sp macro="" textlink="$J$56">
                <xdr:nvSpPr>
                  <xdr:cNvPr id="75" name="61 - land">
                    <a:extLst>
                      <a:ext uri="{FF2B5EF4-FFF2-40B4-BE49-F238E27FC236}">
                        <a16:creationId xmlns:a16="http://schemas.microsoft.com/office/drawing/2014/main" id="{00000000-0008-0000-0500-00004B000000}"/>
                      </a:ext>
                    </a:extLst>
                  </xdr:cNvPr>
                  <xdr:cNvSpPr txBox="1"/>
                </xdr:nvSpPr>
                <xdr:spPr>
                  <a:xfrm>
                    <a:off x="2776904" y="10785231"/>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0F320DE-60F5-4765-97F2-5A7265D8E790}" type="TxLink">
                      <a:rPr lang="en-US" sz="1400" b="0" i="0" u="none" strike="noStrike">
                        <a:solidFill>
                          <a:srgbClr val="007494"/>
                        </a:solidFill>
                        <a:latin typeface="Calibri"/>
                        <a:cs typeface="Calibri"/>
                      </a:rPr>
                      <a:pPr/>
                      <a:t>Spanje</a:t>
                    </a:fld>
                    <a:endParaRPr lang="nl-NL" sz="1100" i="0">
                      <a:solidFill>
                        <a:srgbClr val="007494"/>
                      </a:solidFill>
                    </a:endParaRPr>
                  </a:p>
                </xdr:txBody>
              </xdr:sp>
            </xdr:grpSp>
            <xdr:grpSp>
              <xdr:nvGrpSpPr>
                <xdr:cNvPr id="22" name="Groep 5">
                  <a:extLst>
                    <a:ext uri="{FF2B5EF4-FFF2-40B4-BE49-F238E27FC236}">
                      <a16:creationId xmlns:a16="http://schemas.microsoft.com/office/drawing/2014/main" id="{00000000-0008-0000-0500-000016000000}"/>
                    </a:ext>
                  </a:extLst>
                </xdr:cNvPr>
                <xdr:cNvGrpSpPr/>
              </xdr:nvGrpSpPr>
              <xdr:grpSpPr>
                <a:xfrm>
                  <a:off x="1322387" y="10471091"/>
                  <a:ext cx="1315320" cy="931533"/>
                  <a:chOff x="1229884" y="10785231"/>
                  <a:chExt cx="1225039" cy="967848"/>
                </a:xfrm>
              </xdr:grpSpPr>
              <xdr:sp macro="" textlink="$G$59">
                <xdr:nvSpPr>
                  <xdr:cNvPr id="74" name="54 - land">
                    <a:extLst>
                      <a:ext uri="{FF2B5EF4-FFF2-40B4-BE49-F238E27FC236}">
                        <a16:creationId xmlns:a16="http://schemas.microsoft.com/office/drawing/2014/main" id="{00000000-0008-0000-0500-00004A000000}"/>
                      </a:ext>
                    </a:extLst>
                  </xdr:cNvPr>
                  <xdr:cNvSpPr txBox="1"/>
                </xdr:nvSpPr>
                <xdr:spPr>
                  <a:xfrm>
                    <a:off x="1229884" y="1151059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4D9E5FF-14F3-4BA6-8F81-143FFAF2EAAF}" type="TxLink">
                      <a:rPr lang="en-US" sz="1400" b="0" i="0" u="none" strike="noStrike">
                        <a:solidFill>
                          <a:srgbClr val="007494"/>
                        </a:solidFill>
                        <a:latin typeface="Calibri"/>
                        <a:cs typeface="Calibri"/>
                      </a:rPr>
                      <a:pPr/>
                      <a:t>Tsjechië</a:t>
                    </a:fld>
                    <a:endParaRPr lang="nl-NL" sz="1100" i="0">
                      <a:solidFill>
                        <a:srgbClr val="007494"/>
                      </a:solidFill>
                    </a:endParaRPr>
                  </a:p>
                </xdr:txBody>
              </xdr:sp>
              <xdr:sp macro="" textlink="$G$58">
                <xdr:nvSpPr>
                  <xdr:cNvPr id="73" name="53 - land">
                    <a:extLst>
                      <a:ext uri="{FF2B5EF4-FFF2-40B4-BE49-F238E27FC236}">
                        <a16:creationId xmlns:a16="http://schemas.microsoft.com/office/drawing/2014/main" id="{00000000-0008-0000-0500-000049000000}"/>
                      </a:ext>
                    </a:extLst>
                  </xdr:cNvPr>
                  <xdr:cNvSpPr txBox="1"/>
                </xdr:nvSpPr>
                <xdr:spPr>
                  <a:xfrm>
                    <a:off x="1230923" y="1126880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2F222264-E9C9-4A97-8BDB-98C0B4CBD729}" type="TxLink">
                      <a:rPr lang="en-US" sz="1400" b="0" i="0" u="none" strike="noStrike">
                        <a:solidFill>
                          <a:srgbClr val="007494"/>
                        </a:solidFill>
                        <a:latin typeface="Calibri"/>
                        <a:cs typeface="Calibri"/>
                      </a:rPr>
                      <a:pPr/>
                      <a:t>Schotland</a:t>
                    </a:fld>
                    <a:endParaRPr lang="nl-NL" sz="1100" i="0">
                      <a:solidFill>
                        <a:srgbClr val="007494"/>
                      </a:solidFill>
                    </a:endParaRPr>
                  </a:p>
                </xdr:txBody>
              </xdr:sp>
              <xdr:sp macro="" textlink="$G$57">
                <xdr:nvSpPr>
                  <xdr:cNvPr id="72" name="52 - land">
                    <a:extLst>
                      <a:ext uri="{FF2B5EF4-FFF2-40B4-BE49-F238E27FC236}">
                        <a16:creationId xmlns:a16="http://schemas.microsoft.com/office/drawing/2014/main" id="{00000000-0008-0000-0500-000048000000}"/>
                      </a:ext>
                    </a:extLst>
                  </xdr:cNvPr>
                  <xdr:cNvSpPr txBox="1"/>
                </xdr:nvSpPr>
                <xdr:spPr>
                  <a:xfrm>
                    <a:off x="1230923" y="11027019"/>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855DB79-AA49-4845-8C6A-EF0B53143C06}" type="TxLink">
                      <a:rPr lang="en-US" sz="1400" b="0" i="0" u="none" strike="noStrike">
                        <a:solidFill>
                          <a:srgbClr val="007494"/>
                        </a:solidFill>
                        <a:latin typeface="Calibri"/>
                        <a:cs typeface="Calibri"/>
                      </a:rPr>
                      <a:pPr/>
                      <a:t>Kroatië</a:t>
                    </a:fld>
                    <a:endParaRPr lang="nl-NL" sz="1100" i="0">
                      <a:solidFill>
                        <a:srgbClr val="007494"/>
                      </a:solidFill>
                    </a:endParaRPr>
                  </a:p>
                </xdr:txBody>
              </xdr:sp>
              <xdr:sp macro="" textlink="$G$56">
                <xdr:nvSpPr>
                  <xdr:cNvPr id="71" name="51 - land">
                    <a:extLst>
                      <a:ext uri="{FF2B5EF4-FFF2-40B4-BE49-F238E27FC236}">
                        <a16:creationId xmlns:a16="http://schemas.microsoft.com/office/drawing/2014/main" id="{00000000-0008-0000-0500-000047000000}"/>
                      </a:ext>
                    </a:extLst>
                  </xdr:cNvPr>
                  <xdr:cNvSpPr txBox="1"/>
                </xdr:nvSpPr>
                <xdr:spPr>
                  <a:xfrm>
                    <a:off x="1230923" y="10785231"/>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2F912311-7533-44E5-99ED-14C09B5C1C4C}" type="TxLink">
                      <a:rPr lang="en-US" sz="1400" b="0" i="0" u="none" strike="noStrike">
                        <a:solidFill>
                          <a:srgbClr val="007494"/>
                        </a:solidFill>
                        <a:latin typeface="Calibri"/>
                        <a:cs typeface="Calibri"/>
                      </a:rPr>
                      <a:pPr/>
                      <a:t>Engeland</a:t>
                    </a:fld>
                    <a:endParaRPr lang="nl-NL" sz="1100" i="0">
                      <a:solidFill>
                        <a:srgbClr val="007494"/>
                      </a:solidFill>
                    </a:endParaRPr>
                  </a:p>
                </xdr:txBody>
              </xdr:sp>
            </xdr:grpSp>
            <xdr:grpSp>
              <xdr:nvGrpSpPr>
                <xdr:cNvPr id="21" name="Groep 4" hidden="1">
                  <a:extLst>
                    <a:ext uri="{FF2B5EF4-FFF2-40B4-BE49-F238E27FC236}">
                      <a16:creationId xmlns:a16="http://schemas.microsoft.com/office/drawing/2014/main" id="{00000000-0008-0000-0500-000015000000}"/>
                    </a:ext>
                  </a:extLst>
                </xdr:cNvPr>
                <xdr:cNvGrpSpPr/>
              </xdr:nvGrpSpPr>
              <xdr:grpSpPr>
                <a:xfrm>
                  <a:off x="6302129" y="9124158"/>
                  <a:ext cx="1315320" cy="931533"/>
                  <a:chOff x="5867826" y="9385788"/>
                  <a:chExt cx="1225039" cy="967848"/>
                </a:xfrm>
              </xdr:grpSpPr>
              <xdr:sp macro="" textlink="$P$53">
                <xdr:nvSpPr>
                  <xdr:cNvPr id="70" name="44 - land">
                    <a:extLst>
                      <a:ext uri="{FF2B5EF4-FFF2-40B4-BE49-F238E27FC236}">
                        <a16:creationId xmlns:a16="http://schemas.microsoft.com/office/drawing/2014/main" id="{00000000-0008-0000-0500-000046000000}"/>
                      </a:ext>
                    </a:extLst>
                  </xdr:cNvPr>
                  <xdr:cNvSpPr txBox="1"/>
                </xdr:nvSpPr>
                <xdr:spPr>
                  <a:xfrm>
                    <a:off x="5867826" y="10111154"/>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F76672E1-7ADF-43ED-9FE6-7E09994FA866}" type="TxLink">
                      <a:rPr lang="en-US" sz="1400" b="0" i="0" u="none" strike="noStrike">
                        <a:solidFill>
                          <a:srgbClr val="007494"/>
                        </a:solidFill>
                        <a:latin typeface="Calibri"/>
                        <a:cs typeface="Calibri"/>
                      </a:rPr>
                      <a:pPr/>
                      <a:t>Land G4</a:t>
                    </a:fld>
                    <a:endParaRPr lang="nl-NL" sz="1100" i="0">
                      <a:solidFill>
                        <a:srgbClr val="007494"/>
                      </a:solidFill>
                    </a:endParaRPr>
                  </a:p>
                </xdr:txBody>
              </xdr:sp>
              <xdr:sp macro="" textlink="$P$52">
                <xdr:nvSpPr>
                  <xdr:cNvPr id="69" name="43 - land">
                    <a:extLst>
                      <a:ext uri="{FF2B5EF4-FFF2-40B4-BE49-F238E27FC236}">
                        <a16:creationId xmlns:a16="http://schemas.microsoft.com/office/drawing/2014/main" id="{00000000-0008-0000-0500-000045000000}"/>
                      </a:ext>
                    </a:extLst>
                  </xdr:cNvPr>
                  <xdr:cNvSpPr txBox="1"/>
                </xdr:nvSpPr>
                <xdr:spPr>
                  <a:xfrm>
                    <a:off x="5868865" y="9869365"/>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7DCC577-7029-4D46-85AD-A3AB5142BC4B}" type="TxLink">
                      <a:rPr lang="en-US" sz="1400" b="0" i="0" u="none" strike="noStrike">
                        <a:solidFill>
                          <a:srgbClr val="007494"/>
                        </a:solidFill>
                        <a:latin typeface="Calibri"/>
                        <a:cs typeface="Calibri"/>
                      </a:rPr>
                      <a:pPr/>
                      <a:t>Land G3</a:t>
                    </a:fld>
                    <a:endParaRPr lang="nl-NL" sz="1100" i="0">
                      <a:solidFill>
                        <a:srgbClr val="007494"/>
                      </a:solidFill>
                    </a:endParaRPr>
                  </a:p>
                </xdr:txBody>
              </xdr:sp>
              <xdr:sp macro="" textlink="$P$51">
                <xdr:nvSpPr>
                  <xdr:cNvPr id="68" name="42 - land">
                    <a:extLst>
                      <a:ext uri="{FF2B5EF4-FFF2-40B4-BE49-F238E27FC236}">
                        <a16:creationId xmlns:a16="http://schemas.microsoft.com/office/drawing/2014/main" id="{00000000-0008-0000-0500-000044000000}"/>
                      </a:ext>
                    </a:extLst>
                  </xdr:cNvPr>
                  <xdr:cNvSpPr txBox="1"/>
                </xdr:nvSpPr>
                <xdr:spPr>
                  <a:xfrm>
                    <a:off x="5868865" y="962757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EFA2CE55-4733-4457-AFDA-6E5CC028387A}" type="TxLink">
                      <a:rPr lang="en-US" sz="1400" b="0" i="0" u="none" strike="noStrike">
                        <a:solidFill>
                          <a:srgbClr val="007494"/>
                        </a:solidFill>
                        <a:latin typeface="Calibri"/>
                        <a:cs typeface="Calibri"/>
                      </a:rPr>
                      <a:pPr/>
                      <a:t>Land G2</a:t>
                    </a:fld>
                    <a:endParaRPr lang="nl-NL" sz="1100" i="0">
                      <a:solidFill>
                        <a:srgbClr val="007494"/>
                      </a:solidFill>
                    </a:endParaRPr>
                  </a:p>
                </xdr:txBody>
              </xdr:sp>
              <xdr:sp macro="" textlink="$P$50">
                <xdr:nvSpPr>
                  <xdr:cNvPr id="67" name="41 - land">
                    <a:extLst>
                      <a:ext uri="{FF2B5EF4-FFF2-40B4-BE49-F238E27FC236}">
                        <a16:creationId xmlns:a16="http://schemas.microsoft.com/office/drawing/2014/main" id="{00000000-0008-0000-0500-000043000000}"/>
                      </a:ext>
                    </a:extLst>
                  </xdr:cNvPr>
                  <xdr:cNvSpPr txBox="1"/>
                </xdr:nvSpPr>
                <xdr:spPr>
                  <a:xfrm>
                    <a:off x="5868865" y="938578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72630FD5-3D83-4939-AD31-C7130029DBD1}" type="TxLink">
                      <a:rPr lang="en-US" sz="1400" b="0" i="0" u="none" strike="noStrike">
                        <a:solidFill>
                          <a:srgbClr val="007494"/>
                        </a:solidFill>
                        <a:latin typeface="Calibri"/>
                        <a:cs typeface="Calibri"/>
                      </a:rPr>
                      <a:pPr/>
                      <a:t>Land G1</a:t>
                    </a:fld>
                    <a:endParaRPr lang="nl-NL" sz="1100" i="0">
                      <a:solidFill>
                        <a:srgbClr val="007494"/>
                      </a:solidFill>
                    </a:endParaRPr>
                  </a:p>
                </xdr:txBody>
              </xdr:sp>
            </xdr:grpSp>
            <xdr:grpSp>
              <xdr:nvGrpSpPr>
                <xdr:cNvPr id="20" name="Groep 3">
                  <a:extLst>
                    <a:ext uri="{FF2B5EF4-FFF2-40B4-BE49-F238E27FC236}">
                      <a16:creationId xmlns:a16="http://schemas.microsoft.com/office/drawing/2014/main" id="{00000000-0008-0000-0500-000014000000}"/>
                    </a:ext>
                  </a:extLst>
                </xdr:cNvPr>
                <xdr:cNvGrpSpPr/>
              </xdr:nvGrpSpPr>
              <xdr:grpSpPr>
                <a:xfrm>
                  <a:off x="4642216" y="9124158"/>
                  <a:ext cx="1315320" cy="931533"/>
                  <a:chOff x="4321846" y="9385788"/>
                  <a:chExt cx="1225039" cy="967848"/>
                </a:xfrm>
              </xdr:grpSpPr>
              <xdr:sp macro="" textlink="$M$53">
                <xdr:nvSpPr>
                  <xdr:cNvPr id="66" name="34 - land">
                    <a:extLst>
                      <a:ext uri="{FF2B5EF4-FFF2-40B4-BE49-F238E27FC236}">
                        <a16:creationId xmlns:a16="http://schemas.microsoft.com/office/drawing/2014/main" id="{00000000-0008-0000-0500-000042000000}"/>
                      </a:ext>
                    </a:extLst>
                  </xdr:cNvPr>
                  <xdr:cNvSpPr txBox="1"/>
                </xdr:nvSpPr>
                <xdr:spPr>
                  <a:xfrm>
                    <a:off x="4321846" y="10111154"/>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872AFFF9-90E4-4989-BDC8-6D32F4782182}" type="TxLink">
                      <a:rPr lang="en-US" sz="1400" b="0" i="0" u="none" strike="noStrike">
                        <a:solidFill>
                          <a:srgbClr val="007494"/>
                        </a:solidFill>
                        <a:latin typeface="Calibri"/>
                        <a:cs typeface="Calibri"/>
                      </a:rPr>
                      <a:pPr/>
                      <a:t>N.-Macedonië</a:t>
                    </a:fld>
                    <a:endParaRPr lang="nl-NL" sz="1100" i="0">
                      <a:solidFill>
                        <a:srgbClr val="007494"/>
                      </a:solidFill>
                    </a:endParaRPr>
                  </a:p>
                </xdr:txBody>
              </xdr:sp>
              <xdr:sp macro="" textlink="$M$52">
                <xdr:nvSpPr>
                  <xdr:cNvPr id="65" name="33 - land">
                    <a:extLst>
                      <a:ext uri="{FF2B5EF4-FFF2-40B4-BE49-F238E27FC236}">
                        <a16:creationId xmlns:a16="http://schemas.microsoft.com/office/drawing/2014/main" id="{00000000-0008-0000-0500-000041000000}"/>
                      </a:ext>
                    </a:extLst>
                  </xdr:cNvPr>
                  <xdr:cNvSpPr txBox="1"/>
                </xdr:nvSpPr>
                <xdr:spPr>
                  <a:xfrm>
                    <a:off x="4322885" y="9869365"/>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88E47707-FE8C-4915-A7EC-46B926FADC3E}" type="TxLink">
                      <a:rPr lang="en-US" sz="1400" b="0" i="0" u="none" strike="noStrike">
                        <a:solidFill>
                          <a:srgbClr val="007494"/>
                        </a:solidFill>
                        <a:latin typeface="Calibri"/>
                        <a:cs typeface="Calibri"/>
                      </a:rPr>
                      <a:pPr/>
                      <a:t>Oostenrijk</a:t>
                    </a:fld>
                    <a:endParaRPr lang="nl-NL" sz="1100" i="0">
                      <a:solidFill>
                        <a:srgbClr val="007494"/>
                      </a:solidFill>
                    </a:endParaRPr>
                  </a:p>
                </xdr:txBody>
              </xdr:sp>
              <xdr:sp macro="" textlink="$M$51">
                <xdr:nvSpPr>
                  <xdr:cNvPr id="64" name="32 - land">
                    <a:extLst>
                      <a:ext uri="{FF2B5EF4-FFF2-40B4-BE49-F238E27FC236}">
                        <a16:creationId xmlns:a16="http://schemas.microsoft.com/office/drawing/2014/main" id="{00000000-0008-0000-0500-000040000000}"/>
                      </a:ext>
                    </a:extLst>
                  </xdr:cNvPr>
                  <xdr:cNvSpPr txBox="1"/>
                </xdr:nvSpPr>
                <xdr:spPr>
                  <a:xfrm>
                    <a:off x="4322885" y="962757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6014EB84-2F28-4171-872E-3764C456E7EF}" type="TxLink">
                      <a:rPr lang="en-US" sz="1400" b="0" i="0" u="none" strike="noStrike">
                        <a:solidFill>
                          <a:srgbClr val="007494"/>
                        </a:solidFill>
                        <a:latin typeface="Calibri"/>
                        <a:cs typeface="Calibri"/>
                      </a:rPr>
                      <a:pPr/>
                      <a:t>Oekraïne</a:t>
                    </a:fld>
                    <a:endParaRPr lang="nl-NL" sz="1100" i="0">
                      <a:solidFill>
                        <a:srgbClr val="007494"/>
                      </a:solidFill>
                    </a:endParaRPr>
                  </a:p>
                </xdr:txBody>
              </xdr:sp>
              <xdr:sp macro="" textlink="$M$50">
                <xdr:nvSpPr>
                  <xdr:cNvPr id="63" name="31 - land">
                    <a:extLst>
                      <a:ext uri="{FF2B5EF4-FFF2-40B4-BE49-F238E27FC236}">
                        <a16:creationId xmlns:a16="http://schemas.microsoft.com/office/drawing/2014/main" id="{00000000-0008-0000-0500-00003F000000}"/>
                      </a:ext>
                    </a:extLst>
                  </xdr:cNvPr>
                  <xdr:cNvSpPr txBox="1"/>
                </xdr:nvSpPr>
                <xdr:spPr>
                  <a:xfrm>
                    <a:off x="4322885" y="938578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F18BECD-93F8-4AB3-AA4F-23F2D15F3E67}" type="TxLink">
                      <a:rPr lang="en-US" sz="1400" b="0" i="0" u="none" strike="noStrike">
                        <a:solidFill>
                          <a:srgbClr val="007494"/>
                        </a:solidFill>
                        <a:latin typeface="Calibri"/>
                        <a:cs typeface="Calibri"/>
                      </a:rPr>
                      <a:pPr/>
                      <a:t>Nederland</a:t>
                    </a:fld>
                    <a:endParaRPr lang="nl-NL" sz="1100" i="0">
                      <a:solidFill>
                        <a:srgbClr val="007494"/>
                      </a:solidFill>
                    </a:endParaRPr>
                  </a:p>
                </xdr:txBody>
              </xdr:sp>
            </xdr:grpSp>
            <xdr:grpSp>
              <xdr:nvGrpSpPr>
                <xdr:cNvPr id="19" name="Groep 2">
                  <a:extLst>
                    <a:ext uri="{FF2B5EF4-FFF2-40B4-BE49-F238E27FC236}">
                      <a16:creationId xmlns:a16="http://schemas.microsoft.com/office/drawing/2014/main" id="{00000000-0008-0000-0500-000013000000}"/>
                    </a:ext>
                  </a:extLst>
                </xdr:cNvPr>
                <xdr:cNvGrpSpPr/>
              </xdr:nvGrpSpPr>
              <xdr:grpSpPr>
                <a:xfrm>
                  <a:off x="2982301" y="9124158"/>
                  <a:ext cx="1315320" cy="931533"/>
                  <a:chOff x="2775865" y="9385788"/>
                  <a:chExt cx="1225039" cy="967848"/>
                </a:xfrm>
              </xdr:grpSpPr>
              <xdr:sp macro="" textlink="$J$53">
                <xdr:nvSpPr>
                  <xdr:cNvPr id="62" name="24 - land">
                    <a:extLst>
                      <a:ext uri="{FF2B5EF4-FFF2-40B4-BE49-F238E27FC236}">
                        <a16:creationId xmlns:a16="http://schemas.microsoft.com/office/drawing/2014/main" id="{00000000-0008-0000-0500-00003E000000}"/>
                      </a:ext>
                    </a:extLst>
                  </xdr:cNvPr>
                  <xdr:cNvSpPr txBox="1"/>
                </xdr:nvSpPr>
                <xdr:spPr>
                  <a:xfrm>
                    <a:off x="2775865" y="10111154"/>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9150D4F8-EFA2-406D-AB18-22338433A0B1}" type="TxLink">
                      <a:rPr lang="en-US" sz="1400" b="0" i="0" u="none" strike="noStrike">
                        <a:solidFill>
                          <a:srgbClr val="007494"/>
                        </a:solidFill>
                        <a:latin typeface="Calibri"/>
                        <a:cs typeface="Calibri"/>
                      </a:rPr>
                      <a:pPr/>
                      <a:t>Rusland</a:t>
                    </a:fld>
                    <a:endParaRPr lang="nl-NL" sz="1100" i="0">
                      <a:solidFill>
                        <a:srgbClr val="007494"/>
                      </a:solidFill>
                    </a:endParaRPr>
                  </a:p>
                </xdr:txBody>
              </xdr:sp>
              <xdr:sp macro="" textlink="$J$52">
                <xdr:nvSpPr>
                  <xdr:cNvPr id="61" name="23 - land">
                    <a:extLst>
                      <a:ext uri="{FF2B5EF4-FFF2-40B4-BE49-F238E27FC236}">
                        <a16:creationId xmlns:a16="http://schemas.microsoft.com/office/drawing/2014/main" id="{00000000-0008-0000-0500-00003D000000}"/>
                      </a:ext>
                    </a:extLst>
                  </xdr:cNvPr>
                  <xdr:cNvSpPr txBox="1"/>
                </xdr:nvSpPr>
                <xdr:spPr>
                  <a:xfrm>
                    <a:off x="2776904" y="9869365"/>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E7615CAA-7EA5-4B24-AE00-BCE16B74BEC8}" type="TxLink">
                      <a:rPr lang="en-US" sz="1400" b="0" i="0" u="none" strike="noStrike">
                        <a:solidFill>
                          <a:srgbClr val="007494"/>
                        </a:solidFill>
                        <a:latin typeface="Calibri"/>
                        <a:cs typeface="Calibri"/>
                      </a:rPr>
                      <a:pPr/>
                      <a:t>België</a:t>
                    </a:fld>
                    <a:endParaRPr lang="nl-NL" sz="1100" i="0">
                      <a:solidFill>
                        <a:srgbClr val="007494"/>
                      </a:solidFill>
                    </a:endParaRPr>
                  </a:p>
                </xdr:txBody>
              </xdr:sp>
              <xdr:sp macro="" textlink="$J$51">
                <xdr:nvSpPr>
                  <xdr:cNvPr id="60" name="22 - land">
                    <a:extLst>
                      <a:ext uri="{FF2B5EF4-FFF2-40B4-BE49-F238E27FC236}">
                        <a16:creationId xmlns:a16="http://schemas.microsoft.com/office/drawing/2014/main" id="{00000000-0008-0000-0500-00003C000000}"/>
                      </a:ext>
                    </a:extLst>
                  </xdr:cNvPr>
                  <xdr:cNvSpPr txBox="1"/>
                </xdr:nvSpPr>
                <xdr:spPr>
                  <a:xfrm>
                    <a:off x="2776904" y="962757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B60F8AD-96FB-4EC6-B7EF-E50C1342CA2F}" type="TxLink">
                      <a:rPr lang="en-US" sz="1400" b="0" i="0" u="none" strike="noStrike">
                        <a:solidFill>
                          <a:srgbClr val="007494"/>
                        </a:solidFill>
                        <a:latin typeface="Calibri"/>
                        <a:cs typeface="Calibri"/>
                      </a:rPr>
                      <a:pPr/>
                      <a:t>Finland</a:t>
                    </a:fld>
                    <a:endParaRPr lang="nl-NL" sz="1100" i="0">
                      <a:solidFill>
                        <a:srgbClr val="007494"/>
                      </a:solidFill>
                    </a:endParaRPr>
                  </a:p>
                </xdr:txBody>
              </xdr:sp>
              <xdr:sp macro="" textlink="$J$50">
                <xdr:nvSpPr>
                  <xdr:cNvPr id="58" name="21 - land">
                    <a:extLst>
                      <a:ext uri="{FF2B5EF4-FFF2-40B4-BE49-F238E27FC236}">
                        <a16:creationId xmlns:a16="http://schemas.microsoft.com/office/drawing/2014/main" id="{00000000-0008-0000-0500-00003A000000}"/>
                      </a:ext>
                    </a:extLst>
                  </xdr:cNvPr>
                  <xdr:cNvSpPr txBox="1"/>
                </xdr:nvSpPr>
                <xdr:spPr>
                  <a:xfrm>
                    <a:off x="2776904" y="938578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C72C6AE1-9F1A-4D56-B9F5-C6BCDE24DA10}" type="TxLink">
                      <a:rPr lang="en-US" sz="1400" b="0" i="0" u="none" strike="noStrike">
                        <a:solidFill>
                          <a:srgbClr val="007494"/>
                        </a:solidFill>
                        <a:latin typeface="Calibri"/>
                        <a:cs typeface="Calibri"/>
                      </a:rPr>
                      <a:pPr/>
                      <a:t>Denemarken</a:t>
                    </a:fld>
                    <a:endParaRPr lang="nl-NL" sz="1100" i="0">
                      <a:solidFill>
                        <a:srgbClr val="007494"/>
                      </a:solidFill>
                    </a:endParaRPr>
                  </a:p>
                </xdr:txBody>
              </xdr:sp>
            </xdr:grpSp>
            <xdr:grpSp>
              <xdr:nvGrpSpPr>
                <xdr:cNvPr id="18" name="Groep 1">
                  <a:extLst>
                    <a:ext uri="{FF2B5EF4-FFF2-40B4-BE49-F238E27FC236}">
                      <a16:creationId xmlns:a16="http://schemas.microsoft.com/office/drawing/2014/main" id="{00000000-0008-0000-0500-000012000000}"/>
                    </a:ext>
                  </a:extLst>
                </xdr:cNvPr>
                <xdr:cNvGrpSpPr/>
              </xdr:nvGrpSpPr>
              <xdr:grpSpPr>
                <a:xfrm>
                  <a:off x="1322387" y="9124158"/>
                  <a:ext cx="1315320" cy="931533"/>
                  <a:chOff x="1229884" y="9385788"/>
                  <a:chExt cx="1225039" cy="967848"/>
                </a:xfrm>
              </xdr:grpSpPr>
              <xdr:sp macro="" textlink="$G$53">
                <xdr:nvSpPr>
                  <xdr:cNvPr id="57" name="14 - land">
                    <a:extLst>
                      <a:ext uri="{FF2B5EF4-FFF2-40B4-BE49-F238E27FC236}">
                        <a16:creationId xmlns:a16="http://schemas.microsoft.com/office/drawing/2014/main" id="{00000000-0008-0000-0500-000039000000}"/>
                      </a:ext>
                    </a:extLst>
                  </xdr:cNvPr>
                  <xdr:cNvSpPr txBox="1"/>
                </xdr:nvSpPr>
                <xdr:spPr>
                  <a:xfrm>
                    <a:off x="1229884" y="10111154"/>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49B1CB8-5DD0-44A5-9FBB-926A07EF10A2}" type="TxLink">
                      <a:rPr lang="en-US" sz="1400" b="0" i="0" u="none" strike="noStrike">
                        <a:solidFill>
                          <a:srgbClr val="007494"/>
                        </a:solidFill>
                        <a:latin typeface="Calibri"/>
                        <a:cs typeface="Calibri"/>
                      </a:rPr>
                      <a:pPr/>
                      <a:t>Zwitserland</a:t>
                    </a:fld>
                    <a:endParaRPr lang="nl-NL" sz="1100" i="0">
                      <a:solidFill>
                        <a:srgbClr val="007494"/>
                      </a:solidFill>
                    </a:endParaRPr>
                  </a:p>
                </xdr:txBody>
              </xdr:sp>
              <xdr:sp macro="" textlink="$G$52">
                <xdr:nvSpPr>
                  <xdr:cNvPr id="56" name="13 - land">
                    <a:extLst>
                      <a:ext uri="{FF2B5EF4-FFF2-40B4-BE49-F238E27FC236}">
                        <a16:creationId xmlns:a16="http://schemas.microsoft.com/office/drawing/2014/main" id="{00000000-0008-0000-0500-000038000000}"/>
                      </a:ext>
                    </a:extLst>
                  </xdr:cNvPr>
                  <xdr:cNvSpPr txBox="1"/>
                </xdr:nvSpPr>
                <xdr:spPr>
                  <a:xfrm>
                    <a:off x="1230923" y="9869365"/>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23900AC6-EBD8-4AC2-82D7-C87980CCBE30}" type="TxLink">
                      <a:rPr lang="en-US" sz="1400" b="0" i="0" u="none" strike="noStrike">
                        <a:solidFill>
                          <a:srgbClr val="007494"/>
                        </a:solidFill>
                        <a:latin typeface="Calibri"/>
                        <a:cs typeface="Calibri"/>
                      </a:rPr>
                      <a:pPr/>
                      <a:t>Wales</a:t>
                    </a:fld>
                    <a:endParaRPr lang="nl-NL" sz="1100" i="0">
                      <a:solidFill>
                        <a:srgbClr val="007494"/>
                      </a:solidFill>
                    </a:endParaRPr>
                  </a:p>
                </xdr:txBody>
              </xdr:sp>
              <xdr:sp macro="" textlink="$G$51">
                <xdr:nvSpPr>
                  <xdr:cNvPr id="55" name="12 - land">
                    <a:extLst>
                      <a:ext uri="{FF2B5EF4-FFF2-40B4-BE49-F238E27FC236}">
                        <a16:creationId xmlns:a16="http://schemas.microsoft.com/office/drawing/2014/main" id="{00000000-0008-0000-0500-000037000000}"/>
                      </a:ext>
                    </a:extLst>
                  </xdr:cNvPr>
                  <xdr:cNvSpPr txBox="1"/>
                </xdr:nvSpPr>
                <xdr:spPr>
                  <a:xfrm>
                    <a:off x="1230923" y="962757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0CE0363-9FB9-4B89-96C1-63D5A094CEF5}" type="TxLink">
                      <a:rPr lang="en-US" sz="1400" b="0" i="0" u="none" strike="noStrike">
                        <a:solidFill>
                          <a:srgbClr val="007494"/>
                        </a:solidFill>
                        <a:latin typeface="Calibri"/>
                        <a:cs typeface="Calibri"/>
                      </a:rPr>
                      <a:pPr/>
                      <a:t>Italië</a:t>
                    </a:fld>
                    <a:endParaRPr lang="nl-NL" sz="1100" i="0">
                      <a:solidFill>
                        <a:srgbClr val="007494"/>
                      </a:solidFill>
                    </a:endParaRPr>
                  </a:p>
                </xdr:txBody>
              </xdr:sp>
              <xdr:sp macro="" textlink="$G$50">
                <xdr:nvSpPr>
                  <xdr:cNvPr id="17" name="11 - land">
                    <a:extLst>
                      <a:ext uri="{FF2B5EF4-FFF2-40B4-BE49-F238E27FC236}">
                        <a16:creationId xmlns:a16="http://schemas.microsoft.com/office/drawing/2014/main" id="{00000000-0008-0000-0500-000011000000}"/>
                      </a:ext>
                    </a:extLst>
                  </xdr:cNvPr>
                  <xdr:cNvSpPr txBox="1"/>
                </xdr:nvSpPr>
                <xdr:spPr>
                  <a:xfrm>
                    <a:off x="1230923" y="938578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F70F3EB9-88B8-4442-AF49-811C75BE3BF2}" type="TxLink">
                      <a:rPr lang="en-US" sz="1400" b="0" i="0" u="none" strike="noStrike">
                        <a:solidFill>
                          <a:srgbClr val="007494"/>
                        </a:solidFill>
                        <a:latin typeface="Calibri"/>
                        <a:cs typeface="Calibri"/>
                      </a:rPr>
                      <a:pPr/>
                      <a:t>Turkije</a:t>
                    </a:fld>
                    <a:endParaRPr lang="nl-NL" sz="1100" i="0">
                      <a:solidFill>
                        <a:srgbClr val="007494"/>
                      </a:solidFill>
                    </a:endParaRPr>
                  </a:p>
                </xdr:txBody>
              </xdr:sp>
            </xdr:grpSp>
          </xdr:grpSp>
          <xdr:grpSp>
            <xdr:nvGrpSpPr>
              <xdr:cNvPr id="13" name="Groepsindeling - Vlaggen">
                <a:extLst>
                  <a:ext uri="{FF2B5EF4-FFF2-40B4-BE49-F238E27FC236}">
                    <a16:creationId xmlns:a16="http://schemas.microsoft.com/office/drawing/2014/main" id="{00000000-0008-0000-0500-00000D000000}"/>
                  </a:ext>
                </a:extLst>
              </xdr:cNvPr>
              <xdr:cNvGrpSpPr/>
            </xdr:nvGrpSpPr>
            <xdr:grpSpPr>
              <a:xfrm>
                <a:off x="1026274" y="9165907"/>
                <a:ext cx="5233767" cy="2192007"/>
                <a:chOff x="1026274" y="9165907"/>
                <a:chExt cx="5233767" cy="2192007"/>
              </a:xfrm>
            </xdr:grpSpPr>
            <xdr:grpSp>
              <xdr:nvGrpSpPr>
                <xdr:cNvPr id="10" name="Groep 8" hidden="1">
                  <a:extLst>
                    <a:ext uri="{FF2B5EF4-FFF2-40B4-BE49-F238E27FC236}">
                      <a16:creationId xmlns:a16="http://schemas.microsoft.com/office/drawing/2014/main" id="{00000000-0008-0000-0500-00000A000000}"/>
                    </a:ext>
                  </a:extLst>
                </xdr:cNvPr>
                <xdr:cNvGrpSpPr/>
              </xdr:nvGrpSpPr>
              <xdr:grpSpPr>
                <a:xfrm>
                  <a:off x="6011860" y="10510680"/>
                  <a:ext cx="248181" cy="841380"/>
                  <a:chOff x="5549305" y="10737348"/>
                  <a:chExt cx="230905" cy="863991"/>
                </a:xfrm>
              </xdr:grpSpPr>
              <xdr:pic>
                <xdr:nvPicPr>
                  <xdr:cNvPr id="158" name="84 - vlag">
                    <a:extLst>
                      <a:ext uri="{FF2B5EF4-FFF2-40B4-BE49-F238E27FC236}">
                        <a16:creationId xmlns:a16="http://schemas.microsoft.com/office/drawing/2014/main" id="{00000000-0008-0000-0500-00009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5" y="11451236"/>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7" name="83 - vlag">
                    <a:extLst>
                      <a:ext uri="{FF2B5EF4-FFF2-40B4-BE49-F238E27FC236}">
                        <a16:creationId xmlns:a16="http://schemas.microsoft.com/office/drawing/2014/main" id="{00000000-0008-0000-0500-00009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5" y="11213273"/>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6" name="82 - vlag">
                    <a:extLst>
                      <a:ext uri="{FF2B5EF4-FFF2-40B4-BE49-F238E27FC236}">
                        <a16:creationId xmlns:a16="http://schemas.microsoft.com/office/drawing/2014/main" id="{00000000-0008-0000-0500-00009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6" y="10975311"/>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5" name="81 - vlag">
                    <a:extLst>
                      <a:ext uri="{FF2B5EF4-FFF2-40B4-BE49-F238E27FC236}">
                        <a16:creationId xmlns:a16="http://schemas.microsoft.com/office/drawing/2014/main" id="{00000000-0008-0000-0500-00009B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6" y="10737348"/>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9" name="Groep 7">
                  <a:extLst>
                    <a:ext uri="{FF2B5EF4-FFF2-40B4-BE49-F238E27FC236}">
                      <a16:creationId xmlns:a16="http://schemas.microsoft.com/office/drawing/2014/main" id="{00000000-0008-0000-0500-000009000000}"/>
                    </a:ext>
                  </a:extLst>
                </xdr:cNvPr>
                <xdr:cNvGrpSpPr/>
              </xdr:nvGrpSpPr>
              <xdr:grpSpPr>
                <a:xfrm>
                  <a:off x="4346997" y="10510036"/>
                  <a:ext cx="252650" cy="847878"/>
                  <a:chOff x="4000355" y="10736693"/>
                  <a:chExt cx="235064" cy="870664"/>
                </a:xfrm>
              </xdr:grpSpPr>
              <xdr:pic>
                <xdr:nvPicPr>
                  <xdr:cNvPr id="154" name="74 - vlag">
                    <a:extLst>
                      <a:ext uri="{FF2B5EF4-FFF2-40B4-BE49-F238E27FC236}">
                        <a16:creationId xmlns:a16="http://schemas.microsoft.com/office/drawing/2014/main" id="{00000000-0008-0000-0500-00009A000000}"/>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4000355" y="11456252"/>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3" name="73 - vlag">
                    <a:extLst>
                      <a:ext uri="{FF2B5EF4-FFF2-40B4-BE49-F238E27FC236}">
                        <a16:creationId xmlns:a16="http://schemas.microsoft.com/office/drawing/2014/main" id="{00000000-0008-0000-0500-000099000000}"/>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4001620" y="11213272"/>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2" name="72 - vlag">
                    <a:extLst>
                      <a:ext uri="{FF2B5EF4-FFF2-40B4-BE49-F238E27FC236}">
                        <a16:creationId xmlns:a16="http://schemas.microsoft.com/office/drawing/2014/main" id="{00000000-0008-0000-0500-000098000000}"/>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4001620" y="10975310"/>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49" name="71 - vlag">
                    <a:extLst>
                      <a:ext uri="{FF2B5EF4-FFF2-40B4-BE49-F238E27FC236}">
                        <a16:creationId xmlns:a16="http://schemas.microsoft.com/office/drawing/2014/main" id="{00000000-0008-0000-0500-000095000000}"/>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4004514" y="10736693"/>
                    <a:ext cx="230905" cy="150768"/>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8" name="Groep 6">
                  <a:extLst>
                    <a:ext uri="{FF2B5EF4-FFF2-40B4-BE49-F238E27FC236}">
                      <a16:creationId xmlns:a16="http://schemas.microsoft.com/office/drawing/2014/main" id="{00000000-0008-0000-0500-000008000000}"/>
                    </a:ext>
                  </a:extLst>
                </xdr:cNvPr>
                <xdr:cNvGrpSpPr/>
              </xdr:nvGrpSpPr>
              <xdr:grpSpPr>
                <a:xfrm>
                  <a:off x="2687999" y="10510680"/>
                  <a:ext cx="251237" cy="841380"/>
                  <a:chOff x="2456828" y="10737348"/>
                  <a:chExt cx="233749" cy="863991"/>
                </a:xfrm>
              </xdr:grpSpPr>
              <xdr:pic>
                <xdr:nvPicPr>
                  <xdr:cNvPr id="128" name="64 - vlag">
                    <a:extLst>
                      <a:ext uri="{FF2B5EF4-FFF2-40B4-BE49-F238E27FC236}">
                        <a16:creationId xmlns:a16="http://schemas.microsoft.com/office/drawing/2014/main" id="{00000000-0008-0000-0500-00008000000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2459771" y="11451236"/>
                    <a:ext cx="230806"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7" name="63 - vlag">
                    <a:extLst>
                      <a:ext uri="{FF2B5EF4-FFF2-40B4-BE49-F238E27FC236}">
                        <a16:creationId xmlns:a16="http://schemas.microsoft.com/office/drawing/2014/main" id="{00000000-0008-0000-0500-00007F000000}"/>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bwMode="auto">
                  <a:xfrm>
                    <a:off x="2456829" y="11213273"/>
                    <a:ext cx="230905"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6" name="62 - vlag">
                    <a:extLst>
                      <a:ext uri="{FF2B5EF4-FFF2-40B4-BE49-F238E27FC236}">
                        <a16:creationId xmlns:a16="http://schemas.microsoft.com/office/drawing/2014/main" id="{00000000-0008-0000-0500-00007E000000}"/>
                      </a:ext>
                    </a:extLst>
                  </xdr:cNvPr>
                  <xdr:cNvPicPr>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2456829" y="10975311"/>
                    <a:ext cx="230905"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4" name="61 - vlag">
                    <a:extLst>
                      <a:ext uri="{FF2B5EF4-FFF2-40B4-BE49-F238E27FC236}">
                        <a16:creationId xmlns:a16="http://schemas.microsoft.com/office/drawing/2014/main" id="{00000000-0008-0000-0500-00007C000000}"/>
                      </a:ext>
                    </a:extLst>
                  </xdr:cNvPr>
                  <xdr:cNvPicPr>
                    <a:picLocks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2456828" y="10737348"/>
                    <a:ext cx="230905"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7" name="Groep 5">
                  <a:extLst>
                    <a:ext uri="{FF2B5EF4-FFF2-40B4-BE49-F238E27FC236}">
                      <a16:creationId xmlns:a16="http://schemas.microsoft.com/office/drawing/2014/main" id="{00000000-0008-0000-0500-000007000000}"/>
                    </a:ext>
                  </a:extLst>
                </xdr:cNvPr>
                <xdr:cNvGrpSpPr/>
              </xdr:nvGrpSpPr>
              <xdr:grpSpPr>
                <a:xfrm>
                  <a:off x="1026274" y="10515563"/>
                  <a:ext cx="249540" cy="837470"/>
                  <a:chOff x="910772" y="10742364"/>
                  <a:chExt cx="232170" cy="859976"/>
                </a:xfrm>
              </xdr:grpSpPr>
              <xdr:pic>
                <xdr:nvPicPr>
                  <xdr:cNvPr id="123" name="54 - vlag">
                    <a:extLst>
                      <a:ext uri="{FF2B5EF4-FFF2-40B4-BE49-F238E27FC236}">
                        <a16:creationId xmlns:a16="http://schemas.microsoft.com/office/drawing/2014/main" id="{00000000-0008-0000-0500-00007B000000}"/>
                      </a:ext>
                    </a:extLst>
                  </xdr:cNvPr>
                  <xdr:cNvPicPr>
                    <a:picLocks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bwMode="auto">
                  <a:xfrm>
                    <a:off x="912037" y="11451235"/>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2" name="53 - vlag">
                    <a:extLst>
                      <a:ext uri="{FF2B5EF4-FFF2-40B4-BE49-F238E27FC236}">
                        <a16:creationId xmlns:a16="http://schemas.microsoft.com/office/drawing/2014/main" id="{00000000-0008-0000-0500-00007A000000}"/>
                      </a:ext>
                    </a:extLst>
                  </xdr:cNvPr>
                  <xdr:cNvPicPr>
                    <a:picLocks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bwMode="auto">
                  <a:xfrm>
                    <a:off x="910772" y="11218746"/>
                    <a:ext cx="230905" cy="150768"/>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1" name="52 - vlag">
                    <a:extLst>
                      <a:ext uri="{FF2B5EF4-FFF2-40B4-BE49-F238E27FC236}">
                        <a16:creationId xmlns:a16="http://schemas.microsoft.com/office/drawing/2014/main" id="{00000000-0008-0000-0500-000079000000}"/>
                      </a:ext>
                    </a:extLst>
                  </xdr:cNvPr>
                  <xdr:cNvPicPr>
                    <a:picLocks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bwMode="auto">
                  <a:xfrm>
                    <a:off x="910772" y="10991999"/>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9" name="51 - vlag">
                    <a:extLst>
                      <a:ext uri="{FF2B5EF4-FFF2-40B4-BE49-F238E27FC236}">
                        <a16:creationId xmlns:a16="http://schemas.microsoft.com/office/drawing/2014/main" id="{00000000-0008-0000-0500-000077000000}"/>
                      </a:ext>
                    </a:extLst>
                  </xdr:cNvPr>
                  <xdr:cNvPicPr>
                    <a:picLocks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bwMode="auto">
                  <a:xfrm>
                    <a:off x="910772" y="10742364"/>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6" name="Groep 4" hidden="1">
                  <a:extLst>
                    <a:ext uri="{FF2B5EF4-FFF2-40B4-BE49-F238E27FC236}">
                      <a16:creationId xmlns:a16="http://schemas.microsoft.com/office/drawing/2014/main" id="{00000000-0008-0000-0500-000006000000}"/>
                    </a:ext>
                  </a:extLst>
                </xdr:cNvPr>
                <xdr:cNvGrpSpPr/>
              </xdr:nvGrpSpPr>
              <xdr:grpSpPr>
                <a:xfrm>
                  <a:off x="6011858" y="9165915"/>
                  <a:ext cx="248182" cy="841380"/>
                  <a:chOff x="5549305" y="9356445"/>
                  <a:chExt cx="230906" cy="863991"/>
                </a:xfrm>
              </xdr:grpSpPr>
              <xdr:pic>
                <xdr:nvPicPr>
                  <xdr:cNvPr id="118" name="44 - vlag">
                    <a:extLst>
                      <a:ext uri="{FF2B5EF4-FFF2-40B4-BE49-F238E27FC236}">
                        <a16:creationId xmlns:a16="http://schemas.microsoft.com/office/drawing/2014/main" id="{00000000-0008-0000-0500-000076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6" y="10070333"/>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7" name="43 - vlag">
                    <a:extLst>
                      <a:ext uri="{FF2B5EF4-FFF2-40B4-BE49-F238E27FC236}">
                        <a16:creationId xmlns:a16="http://schemas.microsoft.com/office/drawing/2014/main" id="{00000000-0008-0000-0500-000075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7" y="9832370"/>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6" name="42 - vlag">
                    <a:extLst>
                      <a:ext uri="{FF2B5EF4-FFF2-40B4-BE49-F238E27FC236}">
                        <a16:creationId xmlns:a16="http://schemas.microsoft.com/office/drawing/2014/main" id="{00000000-0008-0000-0500-000074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6" y="9594408"/>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5" name="41 - vlag">
                    <a:extLst>
                      <a:ext uri="{FF2B5EF4-FFF2-40B4-BE49-F238E27FC236}">
                        <a16:creationId xmlns:a16="http://schemas.microsoft.com/office/drawing/2014/main" id="{00000000-0008-0000-0500-000073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5" y="9356445"/>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5" name="Groep 3">
                  <a:extLst>
                    <a:ext uri="{FF2B5EF4-FFF2-40B4-BE49-F238E27FC236}">
                      <a16:creationId xmlns:a16="http://schemas.microsoft.com/office/drawing/2014/main" id="{00000000-0008-0000-0500-000005000000}"/>
                    </a:ext>
                  </a:extLst>
                </xdr:cNvPr>
                <xdr:cNvGrpSpPr/>
              </xdr:nvGrpSpPr>
              <xdr:grpSpPr>
                <a:xfrm>
                  <a:off x="4341334" y="9165907"/>
                  <a:ext cx="255228" cy="842362"/>
                  <a:chOff x="3995063" y="9356444"/>
                  <a:chExt cx="237461" cy="865000"/>
                </a:xfrm>
              </xdr:grpSpPr>
              <xdr:pic>
                <xdr:nvPicPr>
                  <xdr:cNvPr id="114" name="34 - vlag">
                    <a:extLst>
                      <a:ext uri="{FF2B5EF4-FFF2-40B4-BE49-F238E27FC236}">
                        <a16:creationId xmlns:a16="http://schemas.microsoft.com/office/drawing/2014/main" id="{00000000-0008-0000-0500-000072000000}"/>
                      </a:ext>
                    </a:extLst>
                  </xdr:cNvPr>
                  <xdr:cNvPicPr>
                    <a:picLocks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bwMode="auto">
                  <a:xfrm>
                    <a:off x="3995063" y="10070676"/>
                    <a:ext cx="230904" cy="150768"/>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3" name="33 - vlag">
                    <a:extLst>
                      <a:ext uri="{FF2B5EF4-FFF2-40B4-BE49-F238E27FC236}">
                        <a16:creationId xmlns:a16="http://schemas.microsoft.com/office/drawing/2014/main" id="{00000000-0008-0000-0500-000071000000}"/>
                      </a:ext>
                    </a:extLst>
                  </xdr:cNvPr>
                  <xdr:cNvPicPr>
                    <a:picLocks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bwMode="auto">
                  <a:xfrm>
                    <a:off x="3998654" y="9832370"/>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2" name="32 - vlag">
                    <a:extLst>
                      <a:ext uri="{FF2B5EF4-FFF2-40B4-BE49-F238E27FC236}">
                        <a16:creationId xmlns:a16="http://schemas.microsoft.com/office/drawing/2014/main" id="{00000000-0008-0000-0500-000070000000}"/>
                      </a:ext>
                    </a:extLst>
                  </xdr:cNvPr>
                  <xdr:cNvPicPr>
                    <a:picLocks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bwMode="auto">
                  <a:xfrm>
                    <a:off x="4001620" y="9594408"/>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1" name="31 - vlag">
                    <a:extLst>
                      <a:ext uri="{FF2B5EF4-FFF2-40B4-BE49-F238E27FC236}">
                        <a16:creationId xmlns:a16="http://schemas.microsoft.com/office/drawing/2014/main" id="{00000000-0008-0000-0500-00006F000000}"/>
                      </a:ext>
                    </a:extLst>
                  </xdr:cNvPr>
                  <xdr:cNvPicPr>
                    <a:picLocks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bwMode="auto">
                  <a:xfrm>
                    <a:off x="4001619" y="9356444"/>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4" name="Groep 2">
                  <a:extLst>
                    <a:ext uri="{FF2B5EF4-FFF2-40B4-BE49-F238E27FC236}">
                      <a16:creationId xmlns:a16="http://schemas.microsoft.com/office/drawing/2014/main" id="{00000000-0008-0000-0500-000004000000}"/>
                    </a:ext>
                  </a:extLst>
                </xdr:cNvPr>
                <xdr:cNvGrpSpPr/>
              </xdr:nvGrpSpPr>
              <xdr:grpSpPr>
                <a:xfrm>
                  <a:off x="2686641" y="9165916"/>
                  <a:ext cx="249540" cy="842356"/>
                  <a:chOff x="2455564" y="9356444"/>
                  <a:chExt cx="232170" cy="864993"/>
                </a:xfrm>
              </xdr:grpSpPr>
              <xdr:pic>
                <xdr:nvPicPr>
                  <xdr:cNvPr id="110" name="24 - vlag">
                    <a:extLst>
                      <a:ext uri="{FF2B5EF4-FFF2-40B4-BE49-F238E27FC236}">
                        <a16:creationId xmlns:a16="http://schemas.microsoft.com/office/drawing/2014/main" id="{00000000-0008-0000-0500-00006E000000}"/>
                      </a:ext>
                    </a:extLst>
                  </xdr:cNvPr>
                  <xdr:cNvPicPr>
                    <a:picLocks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bwMode="auto">
                  <a:xfrm>
                    <a:off x="2456829" y="10070332"/>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9" name="23 - vlag">
                    <a:extLst>
                      <a:ext uri="{FF2B5EF4-FFF2-40B4-BE49-F238E27FC236}">
                        <a16:creationId xmlns:a16="http://schemas.microsoft.com/office/drawing/2014/main" id="{00000000-0008-0000-0500-00006D000000}"/>
                      </a:ext>
                    </a:extLst>
                  </xdr:cNvPr>
                  <xdr:cNvPicPr>
                    <a:picLocks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bwMode="auto">
                  <a:xfrm>
                    <a:off x="2456829" y="9832369"/>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8" name="22 - vlag">
                    <a:extLst>
                      <a:ext uri="{FF2B5EF4-FFF2-40B4-BE49-F238E27FC236}">
                        <a16:creationId xmlns:a16="http://schemas.microsoft.com/office/drawing/2014/main" id="{00000000-0008-0000-0500-00006C000000}"/>
                      </a:ext>
                    </a:extLst>
                  </xdr:cNvPr>
                  <xdr:cNvPicPr>
                    <a:picLocks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bwMode="auto">
                  <a:xfrm>
                    <a:off x="2455564" y="9599424"/>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7" name="21 - vlag">
                    <a:extLst>
                      <a:ext uri="{FF2B5EF4-FFF2-40B4-BE49-F238E27FC236}">
                        <a16:creationId xmlns:a16="http://schemas.microsoft.com/office/drawing/2014/main" id="{00000000-0008-0000-0500-00006B000000}"/>
                      </a:ext>
                    </a:extLst>
                  </xdr:cNvPr>
                  <xdr:cNvPicPr>
                    <a:picLocks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bwMode="auto">
                  <a:xfrm>
                    <a:off x="2455564" y="9356444"/>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3" name="Groep 1">
                  <a:extLst>
                    <a:ext uri="{FF2B5EF4-FFF2-40B4-BE49-F238E27FC236}">
                      <a16:creationId xmlns:a16="http://schemas.microsoft.com/office/drawing/2014/main" id="{00000000-0008-0000-0500-000003000000}"/>
                    </a:ext>
                  </a:extLst>
                </xdr:cNvPr>
                <xdr:cNvGrpSpPr/>
              </xdr:nvGrpSpPr>
              <xdr:grpSpPr>
                <a:xfrm>
                  <a:off x="1027634" y="9165915"/>
                  <a:ext cx="251286" cy="841377"/>
                  <a:chOff x="912037" y="9356446"/>
                  <a:chExt cx="233794" cy="863988"/>
                </a:xfrm>
              </xdr:grpSpPr>
              <xdr:pic>
                <xdr:nvPicPr>
                  <xdr:cNvPr id="106" name="14 - vlag">
                    <a:extLst>
                      <a:ext uri="{FF2B5EF4-FFF2-40B4-BE49-F238E27FC236}">
                        <a16:creationId xmlns:a16="http://schemas.microsoft.com/office/drawing/2014/main" id="{00000000-0008-0000-0500-00006A000000}"/>
                      </a:ext>
                    </a:extLst>
                  </xdr:cNvPr>
                  <xdr:cNvPicPr>
                    <a:picLocks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bwMode="auto">
                  <a:xfrm>
                    <a:off x="914927" y="10069329"/>
                    <a:ext cx="230904"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3" name="13 - vlag">
                    <a:extLst>
                      <a:ext uri="{FF2B5EF4-FFF2-40B4-BE49-F238E27FC236}">
                        <a16:creationId xmlns:a16="http://schemas.microsoft.com/office/drawing/2014/main" id="{00000000-0008-0000-0500-000067000000}"/>
                      </a:ext>
                    </a:extLst>
                  </xdr:cNvPr>
                  <xdr:cNvPicPr>
                    <a:picLocks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bwMode="auto">
                  <a:xfrm>
                    <a:off x="912037" y="9832369"/>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2" name="12 - vlag">
                    <a:extLst>
                      <a:ext uri="{FF2B5EF4-FFF2-40B4-BE49-F238E27FC236}">
                        <a16:creationId xmlns:a16="http://schemas.microsoft.com/office/drawing/2014/main" id="{00000000-0008-0000-0500-000066000000}"/>
                      </a:ext>
                    </a:extLst>
                  </xdr:cNvPr>
                  <xdr:cNvPicPr>
                    <a:picLocks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bwMode="auto">
                  <a:xfrm>
                    <a:off x="912037" y="9594407"/>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76" name="11 - vlag">
                    <a:extLst>
                      <a:ext uri="{FF2B5EF4-FFF2-40B4-BE49-F238E27FC236}">
                        <a16:creationId xmlns:a16="http://schemas.microsoft.com/office/drawing/2014/main" id="{00000000-0008-0000-0500-00004C000000}"/>
                      </a:ext>
                    </a:extLst>
                  </xdr:cNvPr>
                  <xdr:cNvPicPr>
                    <a:picLocks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bwMode="auto">
                  <a:xfrm>
                    <a:off x="912037" y="9356446"/>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grpSp>
            <xdr:nvGrpSpPr>
              <xdr:cNvPr id="15" name="Groepsindeling - Groepshoofden">
                <a:extLst>
                  <a:ext uri="{FF2B5EF4-FFF2-40B4-BE49-F238E27FC236}">
                    <a16:creationId xmlns:a16="http://schemas.microsoft.com/office/drawing/2014/main" id="{00000000-0008-0000-0500-00000F000000}"/>
                  </a:ext>
                </a:extLst>
              </xdr:cNvPr>
              <xdr:cNvGrpSpPr/>
            </xdr:nvGrpSpPr>
            <xdr:grpSpPr>
              <a:xfrm>
                <a:off x="1324819" y="8894893"/>
                <a:ext cx="6288871" cy="1587082"/>
                <a:chOff x="1226244" y="9144000"/>
                <a:chExt cx="5846106" cy="1630087"/>
              </a:xfrm>
            </xdr:grpSpPr>
            <xdr:sp macro="" textlink="$P$55">
              <xdr:nvSpPr>
                <xdr:cNvPr id="105" name="Groepshoofd - 8" hidden="1">
                  <a:extLst>
                    <a:ext uri="{FF2B5EF4-FFF2-40B4-BE49-F238E27FC236}">
                      <a16:creationId xmlns:a16="http://schemas.microsoft.com/office/drawing/2014/main" id="{00000000-0008-0000-0500-000069000000}"/>
                    </a:ext>
                  </a:extLst>
                </xdr:cNvPr>
                <xdr:cNvSpPr txBox="1"/>
              </xdr:nvSpPr>
              <xdr:spPr>
                <a:xfrm>
                  <a:off x="5848350" y="1053465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C00AAF1A-4F07-4911-A76F-97B782D12C57}" type="TxLink">
                    <a:rPr lang="en-US" sz="1400" b="1" i="0" u="none" strike="noStrike">
                      <a:solidFill>
                        <a:srgbClr val="007494"/>
                      </a:solidFill>
                      <a:latin typeface="Calibri"/>
                      <a:cs typeface="Calibri"/>
                    </a:rPr>
                    <a:pPr/>
                    <a:t>Groep H</a:t>
                  </a:fld>
                  <a:endParaRPr lang="nl-NL" sz="1100" i="0">
                    <a:solidFill>
                      <a:srgbClr val="007494"/>
                    </a:solidFill>
                  </a:endParaRPr>
                </a:p>
              </xdr:txBody>
            </xdr:sp>
            <xdr:sp macro="" textlink="$M$55">
              <xdr:nvSpPr>
                <xdr:cNvPr id="104" name="Groepshoofd - 7">
                  <a:extLst>
                    <a:ext uri="{FF2B5EF4-FFF2-40B4-BE49-F238E27FC236}">
                      <a16:creationId xmlns:a16="http://schemas.microsoft.com/office/drawing/2014/main" id="{00000000-0008-0000-0500-000068000000}"/>
                    </a:ext>
                  </a:extLst>
                </xdr:cNvPr>
                <xdr:cNvSpPr txBox="1"/>
              </xdr:nvSpPr>
              <xdr:spPr>
                <a:xfrm>
                  <a:off x="4305300" y="10525125"/>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97E70DE-9A6F-4F9B-8D07-B003F76C6F2F}" type="TxLink">
                    <a:rPr lang="en-US" sz="1400" b="1" i="0" u="none" strike="noStrike">
                      <a:solidFill>
                        <a:srgbClr val="007494"/>
                      </a:solidFill>
                      <a:latin typeface="Calibri"/>
                      <a:cs typeface="Calibri"/>
                    </a:rPr>
                    <a:pPr/>
                    <a:t>Groep F</a:t>
                  </a:fld>
                  <a:endParaRPr lang="nl-NL" sz="1100" i="0">
                    <a:solidFill>
                      <a:srgbClr val="007494"/>
                    </a:solidFill>
                  </a:endParaRPr>
                </a:p>
              </xdr:txBody>
            </xdr:sp>
            <xdr:sp macro="" textlink="$J$55">
              <xdr:nvSpPr>
                <xdr:cNvPr id="101" name="Groepshoofd - 6">
                  <a:extLst>
                    <a:ext uri="{FF2B5EF4-FFF2-40B4-BE49-F238E27FC236}">
                      <a16:creationId xmlns:a16="http://schemas.microsoft.com/office/drawing/2014/main" id="{00000000-0008-0000-0500-000065000000}"/>
                    </a:ext>
                  </a:extLst>
                </xdr:cNvPr>
                <xdr:cNvSpPr txBox="1"/>
              </xdr:nvSpPr>
              <xdr:spPr>
                <a:xfrm>
                  <a:off x="2762250" y="10525125"/>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E7FE9B3-24DA-4347-A59C-D51803420CAA}" type="TxLink">
                    <a:rPr lang="en-US" sz="1400" b="1" i="0" u="none" strike="noStrike">
                      <a:solidFill>
                        <a:srgbClr val="007494"/>
                      </a:solidFill>
                      <a:latin typeface="Calibri"/>
                      <a:cs typeface="Calibri"/>
                    </a:rPr>
                    <a:pPr/>
                    <a:t>Groep E</a:t>
                  </a:fld>
                  <a:endParaRPr lang="nl-NL" sz="1100" i="0">
                    <a:solidFill>
                      <a:srgbClr val="007494"/>
                    </a:solidFill>
                  </a:endParaRPr>
                </a:p>
              </xdr:txBody>
            </xdr:sp>
            <xdr:sp macro="" textlink="$G$55">
              <xdr:nvSpPr>
                <xdr:cNvPr id="100" name="Groepshoofd - 5">
                  <a:extLst>
                    <a:ext uri="{FF2B5EF4-FFF2-40B4-BE49-F238E27FC236}">
                      <a16:creationId xmlns:a16="http://schemas.microsoft.com/office/drawing/2014/main" id="{00000000-0008-0000-0500-000064000000}"/>
                    </a:ext>
                  </a:extLst>
                </xdr:cNvPr>
                <xdr:cNvSpPr txBox="1"/>
              </xdr:nvSpPr>
              <xdr:spPr>
                <a:xfrm>
                  <a:off x="1226244" y="10525125"/>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1F1F5F05-7BAD-44D2-8F8C-620846C1CFE1}" type="TxLink">
                    <a:rPr lang="en-US" sz="1400" b="1" i="0" u="none" strike="noStrike">
                      <a:solidFill>
                        <a:srgbClr val="007494"/>
                      </a:solidFill>
                      <a:latin typeface="Calibri"/>
                      <a:cs typeface="Calibri"/>
                    </a:rPr>
                    <a:pPr/>
                    <a:t>Groep D</a:t>
                  </a:fld>
                  <a:endParaRPr lang="nl-NL" sz="1100" i="0">
                    <a:solidFill>
                      <a:srgbClr val="007494"/>
                    </a:solidFill>
                  </a:endParaRPr>
                </a:p>
              </xdr:txBody>
            </xdr:sp>
            <xdr:sp macro="" textlink="$P$49">
              <xdr:nvSpPr>
                <xdr:cNvPr id="99" name="Groepshoofd - 4" hidden="1">
                  <a:extLst>
                    <a:ext uri="{FF2B5EF4-FFF2-40B4-BE49-F238E27FC236}">
                      <a16:creationId xmlns:a16="http://schemas.microsoft.com/office/drawing/2014/main" id="{00000000-0008-0000-0500-000063000000}"/>
                    </a:ext>
                  </a:extLst>
                </xdr:cNvPr>
                <xdr:cNvSpPr txBox="1"/>
              </xdr:nvSpPr>
              <xdr:spPr>
                <a:xfrm>
                  <a:off x="5848350" y="914400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5459153-F73D-495F-9992-0E8B25A47169}" type="TxLink">
                    <a:rPr lang="en-US" sz="1400" b="1" i="0" u="none" strike="noStrike">
                      <a:solidFill>
                        <a:srgbClr val="007494"/>
                      </a:solidFill>
                      <a:latin typeface="Calibri"/>
                      <a:cs typeface="Calibri"/>
                    </a:rPr>
                    <a:pPr/>
                    <a:t>Groep G</a:t>
                  </a:fld>
                  <a:endParaRPr lang="nl-NL" sz="1100" i="0">
                    <a:solidFill>
                      <a:srgbClr val="007494"/>
                    </a:solidFill>
                  </a:endParaRPr>
                </a:p>
              </xdr:txBody>
            </xdr:sp>
            <xdr:sp macro="" textlink="$M$49">
              <xdr:nvSpPr>
                <xdr:cNvPr id="98" name="Groepshoofd - 3">
                  <a:extLst>
                    <a:ext uri="{FF2B5EF4-FFF2-40B4-BE49-F238E27FC236}">
                      <a16:creationId xmlns:a16="http://schemas.microsoft.com/office/drawing/2014/main" id="{00000000-0008-0000-0500-000062000000}"/>
                    </a:ext>
                  </a:extLst>
                </xdr:cNvPr>
                <xdr:cNvSpPr txBox="1"/>
              </xdr:nvSpPr>
              <xdr:spPr>
                <a:xfrm>
                  <a:off x="4305300" y="914400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52B406A-FFD6-4822-8721-9272494183D5}" type="TxLink">
                    <a:rPr lang="en-US" sz="1400" b="1" i="0" u="none" strike="noStrike">
                      <a:solidFill>
                        <a:srgbClr val="007494"/>
                      </a:solidFill>
                      <a:latin typeface="Calibri"/>
                      <a:cs typeface="Calibri"/>
                    </a:rPr>
                    <a:pPr/>
                    <a:t>Groep C</a:t>
                  </a:fld>
                  <a:endParaRPr lang="nl-NL" sz="1100" i="0">
                    <a:solidFill>
                      <a:srgbClr val="007494"/>
                    </a:solidFill>
                  </a:endParaRPr>
                </a:p>
              </xdr:txBody>
            </xdr:sp>
            <xdr:sp macro="" textlink="$J$49">
              <xdr:nvSpPr>
                <xdr:cNvPr id="96" name="Groepshoofd - 2">
                  <a:extLst>
                    <a:ext uri="{FF2B5EF4-FFF2-40B4-BE49-F238E27FC236}">
                      <a16:creationId xmlns:a16="http://schemas.microsoft.com/office/drawing/2014/main" id="{00000000-0008-0000-0500-000060000000}"/>
                    </a:ext>
                  </a:extLst>
                </xdr:cNvPr>
                <xdr:cNvSpPr txBox="1"/>
              </xdr:nvSpPr>
              <xdr:spPr>
                <a:xfrm>
                  <a:off x="2769294" y="914400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562024E7-93FB-4C12-95B0-27AD2779BF32}" type="TxLink">
                    <a:rPr lang="en-US" sz="1400" b="1" i="0" u="none" strike="noStrike">
                      <a:solidFill>
                        <a:srgbClr val="007494"/>
                      </a:solidFill>
                      <a:latin typeface="Calibri"/>
                      <a:cs typeface="Calibri"/>
                    </a:rPr>
                    <a:pPr/>
                    <a:t>Groep B</a:t>
                  </a:fld>
                  <a:endParaRPr lang="nl-NL" sz="1100" i="0">
                    <a:solidFill>
                      <a:srgbClr val="007494"/>
                    </a:solidFill>
                  </a:endParaRPr>
                </a:p>
              </xdr:txBody>
            </xdr:sp>
            <xdr:sp macro="" textlink="$G$49">
              <xdr:nvSpPr>
                <xdr:cNvPr id="95" name="Groepshoofd - 1">
                  <a:extLst>
                    <a:ext uri="{FF2B5EF4-FFF2-40B4-BE49-F238E27FC236}">
                      <a16:creationId xmlns:a16="http://schemas.microsoft.com/office/drawing/2014/main" id="{00000000-0008-0000-0500-00005F000000}"/>
                    </a:ext>
                  </a:extLst>
                </xdr:cNvPr>
                <xdr:cNvSpPr txBox="1"/>
              </xdr:nvSpPr>
              <xdr:spPr>
                <a:xfrm>
                  <a:off x="1226244" y="914400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E1DE034-0919-45DF-9171-A375197A8CDD}" type="TxLink">
                    <a:rPr lang="en-US" sz="1400" b="1" i="0" u="none" strike="noStrike">
                      <a:solidFill>
                        <a:srgbClr val="007494"/>
                      </a:solidFill>
                      <a:latin typeface="Calibri"/>
                      <a:cs typeface="Calibri"/>
                    </a:rPr>
                    <a:pPr/>
                    <a:t>Groep A</a:t>
                  </a:fld>
                  <a:endParaRPr lang="nl-NL" sz="1100" i="0">
                    <a:solidFill>
                      <a:srgbClr val="007494"/>
                    </a:solidFill>
                  </a:endParaRPr>
                </a:p>
              </xdr:txBody>
            </xdr:sp>
          </xdr:grpSp>
        </xdr:grpSp>
        <xdr:sp macro="" textlink="$J$43">
          <xdr:nvSpPr>
            <xdr:cNvPr id="11" name="Nieuwsbalk 03">
              <a:extLst>
                <a:ext uri="{FF2B5EF4-FFF2-40B4-BE49-F238E27FC236}">
                  <a16:creationId xmlns:a16="http://schemas.microsoft.com/office/drawing/2014/main" id="{00000000-0008-0000-0500-00000B000000}"/>
                </a:ext>
              </a:extLst>
            </xdr:cNvPr>
            <xdr:cNvSpPr txBox="1"/>
          </xdr:nvSpPr>
          <xdr:spPr>
            <a:xfrm>
              <a:off x="388140" y="7751619"/>
              <a:ext cx="7623862" cy="503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DB72B64-CAEF-46A6-85FF-A9EF9733471D}" type="TxLink">
                <a:rPr lang="en-US" sz="1800" b="1" i="0" u="none" strike="noStrike">
                  <a:solidFill>
                    <a:srgbClr val="0084A4"/>
                  </a:solidFill>
                  <a:effectLst/>
                  <a:latin typeface="Calibri" panose="020F0502020204030204" pitchFamily="34" charset="0"/>
                  <a:ea typeface="Segoe UI Black" panose="020B0A02040204020203" pitchFamily="34" charset="0"/>
                  <a:cs typeface="Calibri" panose="020F0502020204030204" pitchFamily="34" charset="0"/>
                </a:rPr>
                <a:pPr algn="ctr"/>
                <a:t>NOG 31 DAGEN TOT DE START VAN HET EK</a:t>
              </a:fld>
              <a:endParaRPr lang="nl-NL" sz="2400" b="1" i="0">
                <a:solidFill>
                  <a:srgbClr val="0084A4"/>
                </a:solidFill>
                <a:effectLst/>
                <a:latin typeface="Calibri" panose="020F0502020204030204" pitchFamily="34" charset="0"/>
                <a:ea typeface="Segoe UI Black" panose="020B0A02040204020203" pitchFamily="34" charset="0"/>
                <a:cs typeface="Calibri" panose="020F0502020204030204" pitchFamily="34" charset="0"/>
              </a:endParaRPr>
            </a:p>
          </xdr:txBody>
        </xdr:sp>
        <xdr:grpSp>
          <xdr:nvGrpSpPr>
            <xdr:cNvPr id="34" name="Titelbalk">
              <a:extLst>
                <a:ext uri="{FF2B5EF4-FFF2-40B4-BE49-F238E27FC236}">
                  <a16:creationId xmlns:a16="http://schemas.microsoft.com/office/drawing/2014/main" id="{00000000-0008-0000-0500-000022000000}"/>
                </a:ext>
              </a:extLst>
            </xdr:cNvPr>
            <xdr:cNvGrpSpPr/>
          </xdr:nvGrpSpPr>
          <xdr:grpSpPr>
            <a:xfrm>
              <a:off x="388465" y="2221411"/>
              <a:ext cx="7623213" cy="563325"/>
              <a:chOff x="366228" y="2286000"/>
              <a:chExt cx="7090500" cy="578827"/>
            </a:xfrm>
          </xdr:grpSpPr>
          <xdr:sp macro="" textlink="$C$15">
            <xdr:nvSpPr>
              <xdr:cNvPr id="243" name="Titelbalk 02">
                <a:extLst>
                  <a:ext uri="{FF2B5EF4-FFF2-40B4-BE49-F238E27FC236}">
                    <a16:creationId xmlns:a16="http://schemas.microsoft.com/office/drawing/2014/main" id="{00000000-0008-0000-0500-0000F3000000}"/>
                  </a:ext>
                </a:extLst>
              </xdr:cNvPr>
              <xdr:cNvSpPr txBox="1"/>
            </xdr:nvSpPr>
            <xdr:spPr>
              <a:xfrm>
                <a:off x="366228" y="2504827"/>
                <a:ext cx="70905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DDE8CAD-A802-407B-B764-A0502012DA55}" type="TxLink">
                  <a:rPr lang="en-US" sz="1100" b="1" i="1" u="none" strike="noStrike">
                    <a:solidFill>
                      <a:srgbClr val="FF0000"/>
                    </a:solidFill>
                    <a:effectLst/>
                    <a:latin typeface="Calibri"/>
                    <a:ea typeface="Segoe UI Black" panose="020B0A02040204020203" pitchFamily="34" charset="0"/>
                    <a:cs typeface="Calibri"/>
                  </a:rPr>
                  <a:pPr algn="ctr"/>
                  <a:t> </a:t>
                </a:fld>
                <a:endParaRPr lang="nl-NL" sz="2800" i="0">
                  <a:solidFill>
                    <a:srgbClr val="FF0000"/>
                  </a:solidFill>
                  <a:effectLst/>
                  <a:latin typeface="Segoe UI Black" panose="020B0A02040204020203" pitchFamily="34" charset="0"/>
                  <a:ea typeface="Segoe UI Black" panose="020B0A02040204020203" pitchFamily="34" charset="0"/>
                  <a:cs typeface="Segoe UI Black" panose="020B0A02040204020203" pitchFamily="34" charset="0"/>
                </a:endParaRPr>
              </a:p>
            </xdr:txBody>
          </xdr:sp>
          <xdr:sp macro="" textlink="$D$13">
            <xdr:nvSpPr>
              <xdr:cNvPr id="242" name="Titelbalk 01">
                <a:extLst>
                  <a:ext uri="{FF2B5EF4-FFF2-40B4-BE49-F238E27FC236}">
                    <a16:creationId xmlns:a16="http://schemas.microsoft.com/office/drawing/2014/main" id="{00000000-0008-0000-0500-0000F2000000}"/>
                  </a:ext>
                </a:extLst>
              </xdr:cNvPr>
              <xdr:cNvSpPr txBox="1"/>
            </xdr:nvSpPr>
            <xdr:spPr>
              <a:xfrm>
                <a:off x="549519" y="2286000"/>
                <a:ext cx="672611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918922C8-6C4C-4384-A969-82659D3522FB}" type="TxLink">
                  <a:rPr lang="en-US" sz="2000" b="1" i="0" u="none" strike="noStrike">
                    <a:ln>
                      <a:noFill/>
                    </a:ln>
                    <a:solidFill>
                      <a:srgbClr val="007494"/>
                    </a:solidFill>
                    <a:effectLst/>
                    <a:latin typeface="Calibri"/>
                    <a:ea typeface="Segoe UI Black" panose="020B0A02040204020203" pitchFamily="34" charset="0"/>
                    <a:cs typeface="Calibri"/>
                  </a:rPr>
                  <a:pPr algn="ctr"/>
                  <a:t>HET EXCEL DEELNAME FORMULIER EK2020 (EUROPA)</a:t>
                </a:fld>
                <a:endParaRPr lang="nl-NL" sz="2800" i="0">
                  <a:ln>
                    <a:noFill/>
                  </a:ln>
                  <a:solidFill>
                    <a:srgbClr val="007494"/>
                  </a:solidFill>
                  <a:effectLst/>
                  <a:latin typeface="Segoe UI Black" panose="020B0A02040204020203" pitchFamily="34" charset="0"/>
                  <a:ea typeface="Segoe UI Black" panose="020B0A02040204020203" pitchFamily="34" charset="0"/>
                  <a:cs typeface="Segoe UI Black" panose="020B0A02040204020203" pitchFamily="34" charset="0"/>
                </a:endParaRPr>
              </a:p>
            </xdr:txBody>
          </xdr:sp>
        </xdr:grpSp>
      </xdr:grpSp>
      <xdr:sp macro="" textlink="">
        <xdr:nvSpPr>
          <xdr:cNvPr id="35" name="Kader" hidden="1">
            <a:extLst>
              <a:ext uri="{FF2B5EF4-FFF2-40B4-BE49-F238E27FC236}">
                <a16:creationId xmlns:a16="http://schemas.microsoft.com/office/drawing/2014/main" id="{00000000-0008-0000-0500-000023000000}"/>
              </a:ext>
            </a:extLst>
          </xdr:cNvPr>
          <xdr:cNvSpPr/>
        </xdr:nvSpPr>
        <xdr:spPr>
          <a:xfrm>
            <a:off x="193524" y="182032"/>
            <a:ext cx="8013095" cy="12004524"/>
          </a:xfrm>
          <a:prstGeom prst="rect">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clientData/>
  </xdr:twoCellAnchor>
  <xdr:twoCellAnchor>
    <xdr:from>
      <xdr:col>2</xdr:col>
      <xdr:colOff>1</xdr:colOff>
      <xdr:row>4</xdr:row>
      <xdr:rowOff>0</xdr:rowOff>
    </xdr:from>
    <xdr:to>
      <xdr:col>19</xdr:col>
      <xdr:colOff>0</xdr:colOff>
      <xdr:row>10</xdr:row>
      <xdr:rowOff>0</xdr:rowOff>
    </xdr:to>
    <xdr:sp macro="" textlink="">
      <xdr:nvSpPr>
        <xdr:cNvPr id="59" name="Image_Voorblad">
          <a:extLst>
            <a:ext uri="{FF2B5EF4-FFF2-40B4-BE49-F238E27FC236}">
              <a16:creationId xmlns:a16="http://schemas.microsoft.com/office/drawing/2014/main" id="{00000000-0008-0000-0500-00003B000000}"/>
            </a:ext>
          </a:extLst>
        </xdr:cNvPr>
        <xdr:cNvSpPr/>
      </xdr:nvSpPr>
      <xdr:spPr>
        <a:xfrm>
          <a:off x="361951" y="762000"/>
          <a:ext cx="7077074" cy="1143000"/>
        </a:xfrm>
        <a:prstGeom prst="rect">
          <a:avLst/>
        </a:prstGeom>
        <a:blipFill dpi="0" rotWithShape="1">
          <a:blip xmlns:r="http://schemas.openxmlformats.org/officeDocument/2006/relationships" r:embed="rId29"/>
          <a:srcRect/>
          <a:stretch>
            <a:fillRect/>
          </a:stretch>
        </a:blipFill>
        <a:ln w="82550">
          <a:solidFill>
            <a:sysClr val="windowText" lastClr="000000">
              <a:alpha val="0"/>
            </a:sysClr>
          </a:solid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76198</xdr:colOff>
      <xdr:row>6</xdr:row>
      <xdr:rowOff>85725</xdr:rowOff>
    </xdr:from>
    <xdr:to>
      <xdr:col>16</xdr:col>
      <xdr:colOff>389023</xdr:colOff>
      <xdr:row>12</xdr:row>
      <xdr:rowOff>130725</xdr:rowOff>
    </xdr:to>
    <xdr:grpSp>
      <xdr:nvGrpSpPr>
        <xdr:cNvPr id="120" name="DEMO VERSIE" hidden="1">
          <a:extLst>
            <a:ext uri="{FF2B5EF4-FFF2-40B4-BE49-F238E27FC236}">
              <a16:creationId xmlns:a16="http://schemas.microsoft.com/office/drawing/2014/main" id="{00000000-0008-0000-0500-000078000000}"/>
            </a:ext>
          </a:extLst>
        </xdr:cNvPr>
        <xdr:cNvGrpSpPr/>
      </xdr:nvGrpSpPr>
      <xdr:grpSpPr>
        <a:xfrm rot="20934966">
          <a:off x="990598" y="1183005"/>
          <a:ext cx="6027825" cy="1142280"/>
          <a:chOff x="10163175" y="7800975"/>
          <a:chExt cx="2543175" cy="571500"/>
        </a:xfrm>
        <a:effectLst>
          <a:outerShdw blurRad="50800" dist="38100" dir="2700000" algn="tl" rotWithShape="0">
            <a:prstClr val="black">
              <a:alpha val="40000"/>
            </a:prstClr>
          </a:outerShdw>
        </a:effectLst>
      </xdr:grpSpPr>
      <xdr:sp macro="" textlink="">
        <xdr:nvSpPr>
          <xdr:cNvPr id="125" name="Kader">
            <a:extLst>
              <a:ext uri="{FF2B5EF4-FFF2-40B4-BE49-F238E27FC236}">
                <a16:creationId xmlns:a16="http://schemas.microsoft.com/office/drawing/2014/main" id="{00000000-0008-0000-0500-00007D000000}"/>
              </a:ext>
            </a:extLst>
          </xdr:cNvPr>
          <xdr:cNvSpPr/>
        </xdr:nvSpPr>
        <xdr:spPr>
          <a:xfrm>
            <a:off x="10163175" y="7800975"/>
            <a:ext cx="2543175" cy="571500"/>
          </a:xfrm>
          <a:prstGeom prst="roundRect">
            <a:avLst/>
          </a:prstGeom>
          <a:solidFill>
            <a:schemeClr val="bg1">
              <a:alpha val="3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Q72">
        <xdr:nvSpPr>
          <xdr:cNvPr id="129" name="Tekst">
            <a:extLst>
              <a:ext uri="{FF2B5EF4-FFF2-40B4-BE49-F238E27FC236}">
                <a16:creationId xmlns:a16="http://schemas.microsoft.com/office/drawing/2014/main" id="{00000000-0008-0000-0500-000081000000}"/>
              </a:ext>
            </a:extLst>
          </xdr:cNvPr>
          <xdr:cNvSpPr txBox="1"/>
        </xdr:nvSpPr>
        <xdr:spPr>
          <a:xfrm>
            <a:off x="10163175" y="7800975"/>
            <a:ext cx="2543175" cy="57150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fld id="{A53ABB10-F4EA-49D9-A46B-8C27516207C2}" type="TxLink">
              <a:rPr lang="en-US" sz="4400" b="1" i="1" u="none" strike="noStrike">
                <a:solidFill>
                  <a:srgbClr val="FF0000"/>
                </a:solidFill>
                <a:latin typeface="Comic Sans MS" panose="030F0702030302020204" pitchFamily="66" charset="0"/>
                <a:cs typeface="Calibri"/>
              </a:rPr>
              <a:pPr algn="ctr"/>
              <a:t> </a:t>
            </a:fld>
            <a:endParaRPr lang="nl-NL" sz="4400" b="1">
              <a:solidFill>
                <a:srgbClr val="FF0000"/>
              </a:solidFill>
              <a:latin typeface="Comic Sans MS" panose="030F0702030302020204" pitchFamily="66" charset="0"/>
            </a:endParaRPr>
          </a:p>
        </xdr:txBody>
      </xdr:sp>
    </xdr:grp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excel-pool.nl/4best3" TargetMode="External"/><Relationship Id="rId1" Type="http://schemas.openxmlformats.org/officeDocument/2006/relationships/hyperlink" Target="http://www.excel-pool.nl/4beste3"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excel-pool.nl/4beste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C000"/>
  </sheetPr>
  <dimension ref="A1:D250"/>
  <sheetViews>
    <sheetView workbookViewId="0">
      <pane xSplit="2" ySplit="3" topLeftCell="C10" activePane="bottomRight" state="frozen"/>
      <selection activeCell="V2" sqref="V2:Z4"/>
      <selection pane="topRight" activeCell="V2" sqref="V2:Z4"/>
      <selection pane="bottomLeft" activeCell="V2" sqref="V2:Z4"/>
      <selection pane="bottomRight" activeCell="C19" sqref="C19"/>
    </sheetView>
  </sheetViews>
  <sheetFormatPr defaultRowHeight="14.4" x14ac:dyDescent="0.3"/>
  <cols>
    <col min="1" max="1" width="8.6640625" style="657" customWidth="1"/>
    <col min="2" max="2" width="10.6640625" style="974" customWidth="1"/>
    <col min="3" max="3" width="50.6640625" style="975" customWidth="1"/>
    <col min="4" max="27" width="50.6640625" customWidth="1"/>
  </cols>
  <sheetData>
    <row r="1" spans="1:4" s="687" customFormat="1" x14ac:dyDescent="0.3">
      <c r="A1" s="688" t="s">
        <v>613</v>
      </c>
      <c r="B1" s="946"/>
      <c r="C1" s="947">
        <f>Voorblad!W66</f>
        <v>1</v>
      </c>
    </row>
    <row r="2" spans="1:4" s="687" customFormat="1" x14ac:dyDescent="0.3">
      <c r="A2" s="688" t="s">
        <v>614</v>
      </c>
      <c r="B2" s="946"/>
      <c r="C2" s="947">
        <f>$C$1+2</f>
        <v>3</v>
      </c>
    </row>
    <row r="3" spans="1:4" s="659" customFormat="1" x14ac:dyDescent="0.3">
      <c r="A3" s="658" t="s">
        <v>546</v>
      </c>
      <c r="B3" s="979" t="s">
        <v>605</v>
      </c>
      <c r="C3" s="659" t="s">
        <v>547</v>
      </c>
      <c r="D3" s="659" t="s">
        <v>412</v>
      </c>
    </row>
    <row r="4" spans="1:4" s="661" customFormat="1" x14ac:dyDescent="0.3">
      <c r="A4" s="660"/>
      <c r="B4" s="980"/>
      <c r="C4" s="976"/>
    </row>
    <row r="5" spans="1:4" s="662" customFormat="1" x14ac:dyDescent="0.3">
      <c r="A5" s="665" t="s">
        <v>615</v>
      </c>
      <c r="B5" s="981"/>
      <c r="C5" s="977"/>
    </row>
    <row r="6" spans="1:4" s="661" customFormat="1" x14ac:dyDescent="0.3">
      <c r="A6" s="664" t="str">
        <f>"01-A-001"</f>
        <v>01-A-001</v>
      </c>
      <c r="B6" s="965" t="str">
        <f ca="1">INDIRECT(CHAR(64+$C$2)&amp;ROW())</f>
        <v>EK2020</v>
      </c>
      <c r="C6" s="976" t="s">
        <v>611</v>
      </c>
      <c r="D6" s="661" t="s">
        <v>612</v>
      </c>
    </row>
    <row r="7" spans="1:4" s="662" customFormat="1" x14ac:dyDescent="0.3">
      <c r="A7" s="663" t="str">
        <f t="shared" ref="A7:A70" si="0">LEFT(A6,5)&amp;RIGHT("000"&amp;RIGHT(A6,3)*1+1,3)</f>
        <v>01-A-002</v>
      </c>
      <c r="B7" s="983" t="str">
        <f ca="1">INDIRECT(CHAR(64+$C$2)&amp;ROW())</f>
        <v>Europa</v>
      </c>
      <c r="C7" s="977" t="s">
        <v>554</v>
      </c>
      <c r="D7" s="662" t="s">
        <v>555</v>
      </c>
    </row>
    <row r="8" spans="1:4" s="661" customFormat="1" x14ac:dyDescent="0.3">
      <c r="A8" s="664" t="str">
        <f t="shared" si="0"/>
        <v>01-A-003</v>
      </c>
      <c r="B8" s="965" t="str">
        <f ca="1">INDIRECT(CHAR(64+$C$2)&amp;ROW())</f>
        <v>UEFA Europees Kampioenschap 2020: Europa</v>
      </c>
      <c r="C8" s="712" t="s">
        <v>549</v>
      </c>
      <c r="D8" s="666" t="s">
        <v>548</v>
      </c>
    </row>
    <row r="9" spans="1:4" s="662" customFormat="1" x14ac:dyDescent="0.3">
      <c r="A9" s="663" t="str">
        <f t="shared" si="0"/>
        <v>01-A-004</v>
      </c>
      <c r="B9" s="983" t="str">
        <f ca="1">INDIRECT(CHAR(64+$C$2)&amp;ROW())</f>
        <v>Nog één dag tot de start van het EK</v>
      </c>
      <c r="C9" s="713" t="s">
        <v>550</v>
      </c>
      <c r="D9" s="667" t="s">
        <v>552</v>
      </c>
    </row>
    <row r="10" spans="1:4" s="661" customFormat="1" x14ac:dyDescent="0.3">
      <c r="A10" s="664" t="str">
        <f t="shared" si="0"/>
        <v>01-A-005</v>
      </c>
      <c r="B10" s="965" t="str">
        <f ca="1">INDIRECT(CHAR(64+$C$2)&amp;ROW())</f>
        <v>Nog ### dagen tot de start van het EK</v>
      </c>
      <c r="C10" s="712" t="s">
        <v>551</v>
      </c>
      <c r="D10" s="666" t="s">
        <v>553</v>
      </c>
    </row>
    <row r="11" spans="1:4" s="685" customFormat="1" x14ac:dyDescent="0.3">
      <c r="A11" s="683" t="str">
        <f t="shared" si="0"/>
        <v>01-A-006</v>
      </c>
      <c r="B11" s="987"/>
      <c r="C11" s="985"/>
    </row>
    <row r="12" spans="1:4" s="686" customFormat="1" x14ac:dyDescent="0.3">
      <c r="A12" s="684" t="str">
        <f t="shared" si="0"/>
        <v>01-A-007</v>
      </c>
      <c r="B12" s="988"/>
      <c r="C12" s="986"/>
    </row>
    <row r="13" spans="1:4" s="685" customFormat="1" x14ac:dyDescent="0.3">
      <c r="A13" s="683" t="str">
        <f t="shared" si="0"/>
        <v>01-A-008</v>
      </c>
      <c r="B13" s="987"/>
      <c r="C13" s="985"/>
    </row>
    <row r="14" spans="1:4" s="686" customFormat="1" x14ac:dyDescent="0.3">
      <c r="A14" s="684" t="str">
        <f t="shared" si="0"/>
        <v>01-A-009</v>
      </c>
      <c r="B14" s="988"/>
      <c r="C14" s="986"/>
    </row>
    <row r="15" spans="1:4" s="662" customFormat="1" x14ac:dyDescent="0.3">
      <c r="A15" s="663" t="str">
        <f t="shared" si="0"/>
        <v>01-A-010</v>
      </c>
      <c r="B15" s="983" t="str">
        <f ca="1">INDIRECT(CHAR(64+$C$2)&amp;ROW())</f>
        <v>Het Beheerders Bestand</v>
      </c>
      <c r="C15" s="977" t="s">
        <v>556</v>
      </c>
      <c r="D15" s="662" t="s">
        <v>557</v>
      </c>
    </row>
    <row r="16" spans="1:4" s="661" customFormat="1" x14ac:dyDescent="0.3">
      <c r="A16" s="664" t="str">
        <f t="shared" si="0"/>
        <v>01-A-011</v>
      </c>
      <c r="B16" s="965" t="str">
        <f ca="1">INDIRECT(CHAR(64+$C$2)&amp;ROW())</f>
        <v>Demo</v>
      </c>
      <c r="C16" s="976" t="s">
        <v>606</v>
      </c>
      <c r="D16" s="661" t="s">
        <v>606</v>
      </c>
    </row>
    <row r="17" spans="1:4" s="662" customFormat="1" x14ac:dyDescent="0.3">
      <c r="A17" s="663" t="str">
        <f t="shared" si="0"/>
        <v>01-A-012</v>
      </c>
      <c r="B17" s="983" t="str">
        <f ca="1">UPPER(INDIRECT(CHAR(64+$C$2)&amp;ROW()))</f>
        <v>BETA VERSIE</v>
      </c>
      <c r="C17" s="977" t="s">
        <v>955</v>
      </c>
      <c r="D17" s="662" t="s">
        <v>956</v>
      </c>
    </row>
    <row r="18" spans="1:4" s="661" customFormat="1" x14ac:dyDescent="0.3">
      <c r="A18" s="664" t="str">
        <f t="shared" si="0"/>
        <v>01-A-013</v>
      </c>
      <c r="B18" s="965" t="str">
        <f ca="1">UPPER(INDIRECT(CHAR(64+$C$2)&amp;ROW()))</f>
        <v>DEMO VERSIE</v>
      </c>
      <c r="C18" s="976" t="s">
        <v>607</v>
      </c>
      <c r="D18" s="661" t="s">
        <v>608</v>
      </c>
    </row>
    <row r="19" spans="1:4" s="662" customFormat="1" x14ac:dyDescent="0.3">
      <c r="A19" s="663" t="str">
        <f t="shared" si="0"/>
        <v>01-A-014</v>
      </c>
      <c r="B19" s="983" t="str">
        <f ca="1">UPPER(INDIRECT(CHAR(64+$C$2)&amp;ROW()))</f>
        <v>PREVIEW VERSIE</v>
      </c>
      <c r="C19" s="977" t="s">
        <v>953</v>
      </c>
      <c r="D19" s="662" t="s">
        <v>954</v>
      </c>
    </row>
    <row r="20" spans="1:4" s="661" customFormat="1" x14ac:dyDescent="0.3">
      <c r="A20" s="664" t="str">
        <f t="shared" si="0"/>
        <v>01-A-015</v>
      </c>
      <c r="B20" s="965" t="str">
        <f t="shared" ref="B20:B33" ca="1" si="1">INDIRECT(CHAR(64+$C$2)&amp;ROW())</f>
        <v>Extra Beheerdersmodule voor de Organisatoren</v>
      </c>
      <c r="C20" s="976" t="s">
        <v>563</v>
      </c>
      <c r="D20" s="661" t="s">
        <v>566</v>
      </c>
    </row>
    <row r="21" spans="1:4" s="662" customFormat="1" x14ac:dyDescent="0.3">
      <c r="A21" s="663" t="str">
        <f t="shared" si="0"/>
        <v>01-A-016</v>
      </c>
      <c r="B21" s="983" t="str">
        <f t="shared" ca="1" si="1"/>
        <v>Het Deelname Fomulier</v>
      </c>
      <c r="C21" s="977" t="s">
        <v>558</v>
      </c>
      <c r="D21" s="662" t="s">
        <v>567</v>
      </c>
    </row>
    <row r="22" spans="1:4" s="661" customFormat="1" x14ac:dyDescent="0.3">
      <c r="A22" s="664" t="str">
        <f t="shared" si="0"/>
        <v>01-A-017</v>
      </c>
      <c r="B22" s="965" t="str">
        <f t="shared" ca="1" si="1"/>
        <v>Het Excel Deelname Formulier</v>
      </c>
      <c r="C22" s="976" t="s">
        <v>559</v>
      </c>
      <c r="D22" s="661" t="s">
        <v>560</v>
      </c>
    </row>
    <row r="23" spans="1:4" s="685" customFormat="1" x14ac:dyDescent="0.3">
      <c r="A23" s="683" t="str">
        <f t="shared" si="0"/>
        <v>01-A-018</v>
      </c>
      <c r="B23" s="987" t="str">
        <f t="shared" ca="1" si="1"/>
        <v>Externe Ranglijst</v>
      </c>
      <c r="C23" s="985" t="s">
        <v>561</v>
      </c>
      <c r="D23" s="685" t="s">
        <v>562</v>
      </c>
    </row>
    <row r="24" spans="1:4" s="686" customFormat="1" x14ac:dyDescent="0.3">
      <c r="A24" s="684" t="str">
        <f t="shared" si="0"/>
        <v>01-A-019</v>
      </c>
      <c r="B24" s="988" t="str">
        <f t="shared" ca="1" si="1"/>
        <v>Uitbreidingsmodule voor het Beheerders Bestand</v>
      </c>
      <c r="C24" s="986" t="s">
        <v>564</v>
      </c>
      <c r="D24" s="686" t="s">
        <v>568</v>
      </c>
    </row>
    <row r="25" spans="1:4" s="685" customFormat="1" x14ac:dyDescent="0.3">
      <c r="A25" s="683" t="str">
        <f t="shared" si="0"/>
        <v>01-A-020</v>
      </c>
      <c r="B25" s="987" t="str">
        <f t="shared" ca="1" si="1"/>
        <v>Update voor de Excel EK-Pool naar versie</v>
      </c>
      <c r="C25" s="985" t="s">
        <v>565</v>
      </c>
      <c r="D25" s="685" t="s">
        <v>569</v>
      </c>
    </row>
    <row r="26" spans="1:4" s="686" customFormat="1" x14ac:dyDescent="0.3">
      <c r="A26" s="684" t="str">
        <f t="shared" si="0"/>
        <v>01-A-021</v>
      </c>
      <c r="B26" s="988" t="str">
        <f t="shared" ca="1" si="1"/>
        <v>Helpbestand voor Excel-pool.nl</v>
      </c>
      <c r="C26" s="986" t="s">
        <v>580</v>
      </c>
      <c r="D26" s="686" t="s">
        <v>581</v>
      </c>
    </row>
    <row r="27" spans="1:4" s="667" customFormat="1" x14ac:dyDescent="0.3">
      <c r="A27" s="663" t="str">
        <f t="shared" si="0"/>
        <v>01-A-022</v>
      </c>
      <c r="B27" s="964" t="str">
        <f t="shared" ca="1" si="1"/>
        <v>LET OP: Voor een optimaal gebruik van dit bestand wordt geadviseerd om de macro's in te schakelen.</v>
      </c>
      <c r="C27" s="713" t="s">
        <v>1366</v>
      </c>
      <c r="D27" s="667" t="s">
        <v>577</v>
      </c>
    </row>
    <row r="28" spans="1:4" s="686" customFormat="1" x14ac:dyDescent="0.3">
      <c r="A28" s="684" t="str">
        <f t="shared" si="0"/>
        <v>01-A-023</v>
      </c>
      <c r="B28" s="988" t="str">
        <f t="shared" ca="1" si="1"/>
        <v>LET OP: Deze module maakt gebruik van macro's. Het word geadviseerd om deze in te schakelen.</v>
      </c>
      <c r="C28" s="986" t="s">
        <v>570</v>
      </c>
      <c r="D28" s="686" t="s">
        <v>578</v>
      </c>
    </row>
    <row r="29" spans="1:4" s="667" customFormat="1" x14ac:dyDescent="0.3">
      <c r="A29" s="663" t="str">
        <f t="shared" si="0"/>
        <v>01-A-024</v>
      </c>
      <c r="B29" s="964" t="str">
        <f t="shared" ca="1" si="1"/>
        <v>LET OP: Dit formulier bevat geen reglement. Vraag uw organisator om het reglement toe te voegen.</v>
      </c>
      <c r="C29" s="713" t="s">
        <v>571</v>
      </c>
      <c r="D29" s="667" t="s">
        <v>634</v>
      </c>
    </row>
    <row r="30" spans="1:4" s="686" customFormat="1" x14ac:dyDescent="0.3">
      <c r="A30" s="684" t="str">
        <f t="shared" si="0"/>
        <v>01-A-025</v>
      </c>
      <c r="B30" s="988" t="str">
        <f t="shared" ca="1" si="1"/>
        <v>LET OP: Deze module maakt gebruikt van macro's en is geschikt voor maximaal ### deelnemers.</v>
      </c>
      <c r="C30" s="986" t="s">
        <v>572</v>
      </c>
      <c r="D30" s="686" t="s">
        <v>575</v>
      </c>
    </row>
    <row r="31" spans="1:4" s="685" customFormat="1" x14ac:dyDescent="0.3">
      <c r="A31" s="683" t="str">
        <f t="shared" si="0"/>
        <v>01-A-026</v>
      </c>
      <c r="B31" s="987" t="str">
        <f t="shared" ca="1" si="1"/>
        <v>LET OP: Deze ranglijst maakt gebruikt van macro's en is geschikt voor maximaal ### deelnemers.</v>
      </c>
      <c r="C31" s="985" t="s">
        <v>573</v>
      </c>
      <c r="D31" s="685" t="s">
        <v>576</v>
      </c>
    </row>
    <row r="32" spans="1:4" s="686" customFormat="1" x14ac:dyDescent="0.3">
      <c r="A32" s="684" t="str">
        <f t="shared" si="0"/>
        <v>01-A-027</v>
      </c>
      <c r="B32" s="988" t="str">
        <f t="shared" ca="1" si="1"/>
        <v>LET OP: Deze update maakt gebruik van macro's. Geadviseerd wordt om deze in te schakelen.</v>
      </c>
      <c r="C32" s="986" t="s">
        <v>574</v>
      </c>
      <c r="D32" s="686" t="s">
        <v>579</v>
      </c>
    </row>
    <row r="33" spans="1:4" s="670" customFormat="1" x14ac:dyDescent="0.3">
      <c r="A33" s="663" t="str">
        <f t="shared" si="0"/>
        <v>01-A-028</v>
      </c>
      <c r="B33" s="983" t="str">
        <f t="shared" ca="1" si="1"/>
        <v>Deelnemers</v>
      </c>
      <c r="C33" s="977" t="s">
        <v>609</v>
      </c>
      <c r="D33" s="662" t="s">
        <v>610</v>
      </c>
    </row>
    <row r="34" spans="1:4" s="686" customFormat="1" x14ac:dyDescent="0.3">
      <c r="A34" s="684" t="str">
        <f t="shared" si="0"/>
        <v>01-A-029</v>
      </c>
      <c r="B34" s="988"/>
      <c r="C34" s="986"/>
    </row>
    <row r="35" spans="1:4" s="685" customFormat="1" x14ac:dyDescent="0.3">
      <c r="A35" s="683" t="str">
        <f t="shared" si="0"/>
        <v>01-A-030</v>
      </c>
      <c r="B35" s="987"/>
      <c r="C35" s="985"/>
    </row>
    <row r="36" spans="1:4" s="666" customFormat="1" x14ac:dyDescent="0.3">
      <c r="A36" s="663" t="str">
        <f t="shared" si="0"/>
        <v>01-A-031</v>
      </c>
      <c r="B36" s="963" t="str">
        <f t="shared" ref="B36:B54" ca="1" si="2">INDIRECT(CHAR(64+$C$2)&amp;ROW())</f>
        <v>Voorblad</v>
      </c>
      <c r="C36" s="712" t="s">
        <v>582</v>
      </c>
      <c r="D36" s="666" t="s">
        <v>632</v>
      </c>
    </row>
    <row r="37" spans="1:4" s="667" customFormat="1" x14ac:dyDescent="0.3">
      <c r="A37" s="681" t="str">
        <f t="shared" si="0"/>
        <v>01-A-032</v>
      </c>
      <c r="B37" s="964" t="str">
        <f t="shared" ca="1" si="2"/>
        <v>Reglement</v>
      </c>
      <c r="C37" s="713" t="s">
        <v>616</v>
      </c>
      <c r="D37" s="667" t="s">
        <v>633</v>
      </c>
    </row>
    <row r="38" spans="1:4" s="666" customFormat="1" x14ac:dyDescent="0.3">
      <c r="A38" s="682" t="str">
        <f t="shared" si="0"/>
        <v>01-A-033</v>
      </c>
      <c r="B38" s="963" t="str">
        <f t="shared" ca="1" si="2"/>
        <v>Prijzenpot</v>
      </c>
      <c r="C38" s="712" t="s">
        <v>617</v>
      </c>
      <c r="D38" s="666" t="s">
        <v>635</v>
      </c>
    </row>
    <row r="39" spans="1:4" s="667" customFormat="1" x14ac:dyDescent="0.3">
      <c r="A39" s="681" t="str">
        <f t="shared" si="0"/>
        <v>01-A-034</v>
      </c>
      <c r="B39" s="964" t="str">
        <f t="shared" ca="1" si="2"/>
        <v>Groepswedstrijden</v>
      </c>
      <c r="C39" s="713" t="s">
        <v>618</v>
      </c>
      <c r="D39" s="667" t="s">
        <v>636</v>
      </c>
    </row>
    <row r="40" spans="1:4" s="666" customFormat="1" x14ac:dyDescent="0.3">
      <c r="A40" s="682" t="str">
        <f t="shared" si="0"/>
        <v>01-A-035</v>
      </c>
      <c r="B40" s="963" t="str">
        <f t="shared" ca="1" si="2"/>
        <v>Eindstand Groep</v>
      </c>
      <c r="C40" s="712" t="s">
        <v>256</v>
      </c>
      <c r="D40" s="666" t="s">
        <v>987</v>
      </c>
    </row>
    <row r="41" spans="1:4" s="667" customFormat="1" x14ac:dyDescent="0.3">
      <c r="A41" s="681" t="str">
        <f t="shared" si="0"/>
        <v>01-A-036</v>
      </c>
      <c r="B41" s="964" t="str">
        <f t="shared" ca="1" si="2"/>
        <v>Finalewedstrijden</v>
      </c>
      <c r="C41" s="713" t="s">
        <v>619</v>
      </c>
      <c r="D41" s="667" t="s">
        <v>637</v>
      </c>
    </row>
    <row r="42" spans="1:4" s="666" customFormat="1" x14ac:dyDescent="0.3">
      <c r="A42" s="682" t="str">
        <f t="shared" si="0"/>
        <v>01-A-037</v>
      </c>
      <c r="B42" s="963" t="str">
        <f t="shared" ca="1" si="2"/>
        <v>Bonusvragen</v>
      </c>
      <c r="C42" s="712" t="s">
        <v>100</v>
      </c>
      <c r="D42" s="666" t="s">
        <v>638</v>
      </c>
    </row>
    <row r="43" spans="1:4" s="667" customFormat="1" x14ac:dyDescent="0.3">
      <c r="A43" s="681" t="str">
        <f t="shared" si="0"/>
        <v>01-A-038</v>
      </c>
      <c r="B43" s="964" t="str">
        <f t="shared" ca="1" si="2"/>
        <v>Deelnamecode</v>
      </c>
      <c r="C43" s="713" t="s">
        <v>620</v>
      </c>
      <c r="D43" s="667" t="s">
        <v>639</v>
      </c>
    </row>
    <row r="44" spans="1:4" s="686" customFormat="1" x14ac:dyDescent="0.3">
      <c r="A44" s="684" t="str">
        <f t="shared" si="0"/>
        <v>01-A-039</v>
      </c>
      <c r="B44" s="988" t="str">
        <f t="shared" ca="1" si="2"/>
        <v>Reglement Display</v>
      </c>
      <c r="C44" s="986" t="s">
        <v>621</v>
      </c>
      <c r="D44" s="686" t="s">
        <v>640</v>
      </c>
    </row>
    <row r="45" spans="1:4" s="685" customFormat="1" x14ac:dyDescent="0.3">
      <c r="A45" s="683" t="str">
        <f t="shared" si="0"/>
        <v>01-A-040</v>
      </c>
      <c r="B45" s="987" t="str">
        <f t="shared" ca="1" si="2"/>
        <v>Beheerders Display</v>
      </c>
      <c r="C45" s="985" t="s">
        <v>622</v>
      </c>
      <c r="D45" s="685" t="s">
        <v>641</v>
      </c>
    </row>
    <row r="46" spans="1:4" s="686" customFormat="1" x14ac:dyDescent="0.3">
      <c r="A46" s="684" t="str">
        <f t="shared" si="0"/>
        <v>01-A-041</v>
      </c>
      <c r="B46" s="988" t="str">
        <f t="shared" ca="1" si="2"/>
        <v>Uitslagen</v>
      </c>
      <c r="C46" s="986" t="s">
        <v>623</v>
      </c>
      <c r="D46" s="686" t="s">
        <v>642</v>
      </c>
    </row>
    <row r="47" spans="1:4" s="685" customFormat="1" x14ac:dyDescent="0.3">
      <c r="A47" s="683" t="str">
        <f t="shared" si="0"/>
        <v>01-A-042</v>
      </c>
      <c r="B47" s="987" t="str">
        <f t="shared" ca="1" si="2"/>
        <v>Openvragen</v>
      </c>
      <c r="C47" s="985" t="s">
        <v>624</v>
      </c>
      <c r="D47" s="685" t="s">
        <v>643</v>
      </c>
    </row>
    <row r="48" spans="1:4" s="666" customFormat="1" x14ac:dyDescent="0.3">
      <c r="A48" s="682" t="str">
        <f t="shared" si="0"/>
        <v>01-A-043</v>
      </c>
      <c r="B48" s="963" t="str">
        <f t="shared" ca="1" si="2"/>
        <v>Punten Groepswedstrijden</v>
      </c>
      <c r="C48" s="712" t="s">
        <v>625</v>
      </c>
      <c r="D48" s="666" t="s">
        <v>644</v>
      </c>
    </row>
    <row r="49" spans="1:4" s="667" customFormat="1" x14ac:dyDescent="0.3">
      <c r="A49" s="681" t="str">
        <f t="shared" si="0"/>
        <v>01-A-044</v>
      </c>
      <c r="B49" s="964" t="str">
        <f t="shared" ca="1" si="2"/>
        <v>Punten Eindstand Groepsdase</v>
      </c>
      <c r="C49" s="713" t="s">
        <v>626</v>
      </c>
      <c r="D49" s="667" t="s">
        <v>988</v>
      </c>
    </row>
    <row r="50" spans="1:4" s="666" customFormat="1" x14ac:dyDescent="0.3">
      <c r="A50" s="682" t="str">
        <f t="shared" si="0"/>
        <v>01-A-045</v>
      </c>
      <c r="B50" s="963" t="str">
        <f t="shared" ca="1" si="2"/>
        <v>Punten Finalewedstrijden</v>
      </c>
      <c r="C50" s="712" t="s">
        <v>627</v>
      </c>
      <c r="D50" s="666" t="s">
        <v>645</v>
      </c>
    </row>
    <row r="51" spans="1:4" s="667" customFormat="1" x14ac:dyDescent="0.3">
      <c r="A51" s="681" t="str">
        <f t="shared" si="0"/>
        <v>01-A-046</v>
      </c>
      <c r="B51" s="964" t="str">
        <f t="shared" ca="1" si="2"/>
        <v>Punten Bonusvragen</v>
      </c>
      <c r="C51" s="713" t="s">
        <v>628</v>
      </c>
      <c r="D51" s="667" t="s">
        <v>646</v>
      </c>
    </row>
    <row r="52" spans="1:4" s="666" customFormat="1" x14ac:dyDescent="0.3">
      <c r="A52" s="682" t="str">
        <f t="shared" si="0"/>
        <v>01-A-047</v>
      </c>
      <c r="B52" s="963" t="str">
        <f t="shared" ca="1" si="2"/>
        <v>Ranglijst</v>
      </c>
      <c r="C52" s="712" t="s">
        <v>629</v>
      </c>
      <c r="D52" s="666" t="s">
        <v>647</v>
      </c>
    </row>
    <row r="53" spans="1:4" s="667" customFormat="1" x14ac:dyDescent="0.3">
      <c r="A53" s="681" t="str">
        <f t="shared" si="0"/>
        <v>01-A-048</v>
      </c>
      <c r="B53" s="964" t="str">
        <f t="shared" ca="1" si="2"/>
        <v>Voorspellingen</v>
      </c>
      <c r="C53" s="713" t="s">
        <v>630</v>
      </c>
      <c r="D53" s="667" t="s">
        <v>649</v>
      </c>
    </row>
    <row r="54" spans="1:4" s="686" customFormat="1" x14ac:dyDescent="0.3">
      <c r="A54" s="684" t="str">
        <f t="shared" si="0"/>
        <v>01-A-049</v>
      </c>
      <c r="B54" s="988" t="str">
        <f t="shared" ca="1" si="2"/>
        <v>Kladblok</v>
      </c>
      <c r="C54" s="986" t="s">
        <v>631</v>
      </c>
      <c r="D54" s="686" t="s">
        <v>648</v>
      </c>
    </row>
    <row r="55" spans="1:4" s="685" customFormat="1" x14ac:dyDescent="0.3">
      <c r="A55" s="683" t="str">
        <f t="shared" si="0"/>
        <v>01-A-050</v>
      </c>
      <c r="B55" s="987"/>
      <c r="C55" s="985"/>
    </row>
    <row r="56" spans="1:4" s="686" customFormat="1" x14ac:dyDescent="0.3">
      <c r="A56" s="684" t="str">
        <f t="shared" si="0"/>
        <v>01-A-051</v>
      </c>
      <c r="B56" s="988"/>
      <c r="C56" s="986"/>
    </row>
    <row r="57" spans="1:4" s="685" customFormat="1" x14ac:dyDescent="0.3">
      <c r="A57" s="683" t="str">
        <f t="shared" si="0"/>
        <v>01-A-052</v>
      </c>
      <c r="B57" s="987"/>
      <c r="C57" s="985"/>
    </row>
    <row r="58" spans="1:4" s="686" customFormat="1" x14ac:dyDescent="0.3">
      <c r="A58" s="684" t="str">
        <f t="shared" si="0"/>
        <v>01-A-053</v>
      </c>
      <c r="B58" s="988"/>
      <c r="C58" s="986"/>
    </row>
    <row r="59" spans="1:4" s="685" customFormat="1" x14ac:dyDescent="0.3">
      <c r="A59" s="683" t="str">
        <f t="shared" si="0"/>
        <v>01-A-054</v>
      </c>
      <c r="B59" s="987"/>
      <c r="C59" s="985"/>
    </row>
    <row r="60" spans="1:4" s="686" customFormat="1" x14ac:dyDescent="0.3">
      <c r="A60" s="684" t="str">
        <f t="shared" si="0"/>
        <v>01-A-055</v>
      </c>
      <c r="B60" s="988"/>
      <c r="C60" s="986"/>
    </row>
    <row r="61" spans="1:4" s="675" customFormat="1" x14ac:dyDescent="0.3">
      <c r="A61" s="674" t="str">
        <f t="shared" si="0"/>
        <v>01-A-056</v>
      </c>
      <c r="B61" s="962" t="s">
        <v>583</v>
      </c>
      <c r="C61" s="950" t="str">
        <f t="shared" ref="C61:D63" si="3">B61</f>
        <v>Choose your language</v>
      </c>
      <c r="D61" s="675" t="str">
        <f t="shared" si="3"/>
        <v>Choose your language</v>
      </c>
    </row>
    <row r="62" spans="1:4" s="661" customFormat="1" x14ac:dyDescent="0.3">
      <c r="A62" s="664" t="str">
        <f t="shared" si="0"/>
        <v>01-A-057</v>
      </c>
      <c r="B62" s="965" t="s">
        <v>584</v>
      </c>
      <c r="C62" s="976" t="str">
        <f t="shared" si="3"/>
        <v>Dutch</v>
      </c>
      <c r="D62" s="661" t="str">
        <f t="shared" si="3"/>
        <v>Dutch</v>
      </c>
    </row>
    <row r="63" spans="1:4" s="662" customFormat="1" x14ac:dyDescent="0.3">
      <c r="A63" s="663" t="str">
        <f t="shared" si="0"/>
        <v>01-A-058</v>
      </c>
      <c r="B63" s="983" t="s">
        <v>585</v>
      </c>
      <c r="C63" s="977" t="str">
        <f t="shared" si="3"/>
        <v>English</v>
      </c>
      <c r="D63" s="662" t="str">
        <f t="shared" si="3"/>
        <v>English</v>
      </c>
    </row>
    <row r="64" spans="1:4" s="673" customFormat="1" x14ac:dyDescent="0.3">
      <c r="A64" s="671" t="str">
        <f t="shared" si="0"/>
        <v>01-A-059</v>
      </c>
      <c r="B64" s="968"/>
      <c r="C64" s="953"/>
    </row>
    <row r="65" spans="1:3" s="670" customFormat="1" x14ac:dyDescent="0.3">
      <c r="A65" s="668" t="str">
        <f t="shared" si="0"/>
        <v>01-A-060</v>
      </c>
      <c r="B65" s="969"/>
      <c r="C65" s="954"/>
    </row>
    <row r="66" spans="1:3" s="673" customFormat="1" x14ac:dyDescent="0.3">
      <c r="A66" s="671" t="str">
        <f t="shared" si="0"/>
        <v>01-A-061</v>
      </c>
      <c r="B66" s="968"/>
      <c r="C66" s="953"/>
    </row>
    <row r="67" spans="1:3" s="670" customFormat="1" x14ac:dyDescent="0.3">
      <c r="A67" s="668" t="str">
        <f t="shared" si="0"/>
        <v>01-A-062</v>
      </c>
      <c r="B67" s="969"/>
      <c r="C67" s="954"/>
    </row>
    <row r="68" spans="1:3" s="673" customFormat="1" x14ac:dyDescent="0.3">
      <c r="A68" s="671" t="str">
        <f t="shared" si="0"/>
        <v>01-A-063</v>
      </c>
      <c r="B68" s="968"/>
      <c r="C68" s="953"/>
    </row>
    <row r="69" spans="1:3" s="670" customFormat="1" x14ac:dyDescent="0.3">
      <c r="A69" s="668" t="str">
        <f t="shared" si="0"/>
        <v>01-A-064</v>
      </c>
      <c r="B69" s="969"/>
      <c r="C69" s="954"/>
    </row>
    <row r="70" spans="1:3" s="673" customFormat="1" x14ac:dyDescent="0.3">
      <c r="A70" s="671" t="str">
        <f t="shared" si="0"/>
        <v>01-A-065</v>
      </c>
      <c r="B70" s="968"/>
      <c r="C70" s="953"/>
    </row>
    <row r="71" spans="1:3" s="670" customFormat="1" x14ac:dyDescent="0.3">
      <c r="A71" s="668" t="str">
        <f t="shared" ref="A71:A134" si="4">LEFT(A70,5)&amp;RIGHT("000"&amp;RIGHT(A70,3)*1+1,3)</f>
        <v>01-A-066</v>
      </c>
      <c r="B71" s="969"/>
      <c r="C71" s="954"/>
    </row>
    <row r="72" spans="1:3" s="673" customFormat="1" x14ac:dyDescent="0.3">
      <c r="A72" s="671" t="str">
        <f t="shared" si="4"/>
        <v>01-A-067</v>
      </c>
      <c r="B72" s="968"/>
      <c r="C72" s="953"/>
    </row>
    <row r="73" spans="1:3" s="670" customFormat="1" x14ac:dyDescent="0.3">
      <c r="A73" s="668" t="str">
        <f t="shared" si="4"/>
        <v>01-A-068</v>
      </c>
      <c r="B73" s="969"/>
      <c r="C73" s="954"/>
    </row>
    <row r="74" spans="1:3" s="673" customFormat="1" x14ac:dyDescent="0.3">
      <c r="A74" s="671" t="str">
        <f t="shared" si="4"/>
        <v>01-A-069</v>
      </c>
      <c r="B74" s="968"/>
      <c r="C74" s="953"/>
    </row>
    <row r="75" spans="1:3" s="670" customFormat="1" x14ac:dyDescent="0.3">
      <c r="A75" s="668" t="str">
        <f t="shared" si="4"/>
        <v>01-A-070</v>
      </c>
      <c r="B75" s="969"/>
      <c r="C75" s="954"/>
    </row>
    <row r="76" spans="1:3" s="673" customFormat="1" x14ac:dyDescent="0.3">
      <c r="A76" s="671" t="str">
        <f t="shared" si="4"/>
        <v>01-A-071</v>
      </c>
      <c r="B76" s="968"/>
      <c r="C76" s="953"/>
    </row>
    <row r="77" spans="1:3" s="670" customFormat="1" x14ac:dyDescent="0.3">
      <c r="A77" s="668" t="str">
        <f t="shared" si="4"/>
        <v>01-A-072</v>
      </c>
      <c r="B77" s="969"/>
      <c r="C77" s="954"/>
    </row>
    <row r="78" spans="1:3" s="673" customFormat="1" x14ac:dyDescent="0.3">
      <c r="A78" s="671" t="str">
        <f t="shared" si="4"/>
        <v>01-A-073</v>
      </c>
      <c r="B78" s="968"/>
      <c r="C78" s="953"/>
    </row>
    <row r="79" spans="1:3" s="670" customFormat="1" x14ac:dyDescent="0.3">
      <c r="A79" s="668" t="str">
        <f t="shared" si="4"/>
        <v>01-A-074</v>
      </c>
      <c r="B79" s="969"/>
      <c r="C79" s="954"/>
    </row>
    <row r="80" spans="1:3" s="673" customFormat="1" x14ac:dyDescent="0.3">
      <c r="A80" s="671" t="str">
        <f t="shared" si="4"/>
        <v>01-A-075</v>
      </c>
      <c r="B80" s="968"/>
      <c r="C80" s="953"/>
    </row>
    <row r="81" spans="1:3" s="670" customFormat="1" x14ac:dyDescent="0.3">
      <c r="A81" s="668" t="str">
        <f t="shared" si="4"/>
        <v>01-A-076</v>
      </c>
      <c r="B81" s="969"/>
      <c r="C81" s="954"/>
    </row>
    <row r="82" spans="1:3" s="673" customFormat="1" x14ac:dyDescent="0.3">
      <c r="A82" s="671" t="str">
        <f t="shared" si="4"/>
        <v>01-A-077</v>
      </c>
      <c r="B82" s="968"/>
      <c r="C82" s="953"/>
    </row>
    <row r="83" spans="1:3" s="670" customFormat="1" x14ac:dyDescent="0.3">
      <c r="A83" s="668" t="str">
        <f t="shared" si="4"/>
        <v>01-A-078</v>
      </c>
      <c r="B83" s="969"/>
      <c r="C83" s="954"/>
    </row>
    <row r="84" spans="1:3" s="673" customFormat="1" x14ac:dyDescent="0.3">
      <c r="A84" s="671" t="str">
        <f t="shared" si="4"/>
        <v>01-A-079</v>
      </c>
      <c r="B84" s="968"/>
      <c r="C84" s="953"/>
    </row>
    <row r="85" spans="1:3" s="670" customFormat="1" x14ac:dyDescent="0.3">
      <c r="A85" s="668" t="str">
        <f t="shared" si="4"/>
        <v>01-A-080</v>
      </c>
      <c r="B85" s="969"/>
      <c r="C85" s="954"/>
    </row>
    <row r="86" spans="1:3" s="673" customFormat="1" x14ac:dyDescent="0.3">
      <c r="A86" s="671" t="str">
        <f t="shared" si="4"/>
        <v>01-A-081</v>
      </c>
      <c r="B86" s="968"/>
      <c r="C86" s="953"/>
    </row>
    <row r="87" spans="1:3" s="670" customFormat="1" x14ac:dyDescent="0.3">
      <c r="A87" s="668" t="str">
        <f t="shared" si="4"/>
        <v>01-A-082</v>
      </c>
      <c r="B87" s="969"/>
      <c r="C87" s="954"/>
    </row>
    <row r="88" spans="1:3" s="673" customFormat="1" x14ac:dyDescent="0.3">
      <c r="A88" s="671" t="str">
        <f t="shared" si="4"/>
        <v>01-A-083</v>
      </c>
      <c r="B88" s="968"/>
      <c r="C88" s="953"/>
    </row>
    <row r="89" spans="1:3" s="670" customFormat="1" x14ac:dyDescent="0.3">
      <c r="A89" s="668" t="str">
        <f t="shared" si="4"/>
        <v>01-A-084</v>
      </c>
      <c r="B89" s="969"/>
      <c r="C89" s="954"/>
    </row>
    <row r="90" spans="1:3" s="673" customFormat="1" x14ac:dyDescent="0.3">
      <c r="A90" s="671" t="str">
        <f t="shared" si="4"/>
        <v>01-A-085</v>
      </c>
      <c r="B90" s="968"/>
      <c r="C90" s="953"/>
    </row>
    <row r="91" spans="1:3" s="670" customFormat="1" x14ac:dyDescent="0.3">
      <c r="A91" s="668" t="str">
        <f t="shared" si="4"/>
        <v>01-A-086</v>
      </c>
      <c r="B91" s="969"/>
      <c r="C91" s="954"/>
    </row>
    <row r="92" spans="1:3" s="673" customFormat="1" x14ac:dyDescent="0.3">
      <c r="A92" s="671" t="str">
        <f t="shared" si="4"/>
        <v>01-A-087</v>
      </c>
      <c r="B92" s="968"/>
      <c r="C92" s="953"/>
    </row>
    <row r="93" spans="1:3" s="670" customFormat="1" x14ac:dyDescent="0.3">
      <c r="A93" s="668" t="str">
        <f t="shared" si="4"/>
        <v>01-A-088</v>
      </c>
      <c r="B93" s="969"/>
      <c r="C93" s="954"/>
    </row>
    <row r="94" spans="1:3" s="673" customFormat="1" x14ac:dyDescent="0.3">
      <c r="A94" s="671" t="str">
        <f t="shared" si="4"/>
        <v>01-A-089</v>
      </c>
      <c r="B94" s="968"/>
      <c r="C94" s="953"/>
    </row>
    <row r="95" spans="1:3" s="670" customFormat="1" x14ac:dyDescent="0.3">
      <c r="A95" s="668" t="str">
        <f t="shared" si="4"/>
        <v>01-A-090</v>
      </c>
      <c r="B95" s="969"/>
      <c r="C95" s="954"/>
    </row>
    <row r="96" spans="1:3" s="673" customFormat="1" x14ac:dyDescent="0.3">
      <c r="A96" s="671" t="str">
        <f t="shared" si="4"/>
        <v>01-A-091</v>
      </c>
      <c r="B96" s="968"/>
      <c r="C96" s="953"/>
    </row>
    <row r="97" spans="1:3" s="670" customFormat="1" x14ac:dyDescent="0.3">
      <c r="A97" s="668" t="str">
        <f t="shared" si="4"/>
        <v>01-A-092</v>
      </c>
      <c r="B97" s="969"/>
      <c r="C97" s="954"/>
    </row>
    <row r="98" spans="1:3" s="673" customFormat="1" x14ac:dyDescent="0.3">
      <c r="A98" s="671" t="str">
        <f t="shared" si="4"/>
        <v>01-A-093</v>
      </c>
      <c r="B98" s="968"/>
      <c r="C98" s="953"/>
    </row>
    <row r="99" spans="1:3" s="670" customFormat="1" x14ac:dyDescent="0.3">
      <c r="A99" s="668" t="str">
        <f t="shared" si="4"/>
        <v>01-A-094</v>
      </c>
      <c r="B99" s="969"/>
      <c r="C99" s="954"/>
    </row>
    <row r="100" spans="1:3" s="673" customFormat="1" x14ac:dyDescent="0.3">
      <c r="A100" s="671" t="str">
        <f t="shared" si="4"/>
        <v>01-A-095</v>
      </c>
      <c r="B100" s="968"/>
      <c r="C100" s="953"/>
    </row>
    <row r="101" spans="1:3" s="670" customFormat="1" x14ac:dyDescent="0.3">
      <c r="A101" s="668" t="str">
        <f t="shared" si="4"/>
        <v>01-A-096</v>
      </c>
      <c r="B101" s="969"/>
      <c r="C101" s="954"/>
    </row>
    <row r="102" spans="1:3" s="673" customFormat="1" x14ac:dyDescent="0.3">
      <c r="A102" s="671" t="str">
        <f t="shared" si="4"/>
        <v>01-A-097</v>
      </c>
      <c r="B102" s="968"/>
      <c r="C102" s="953"/>
    </row>
    <row r="103" spans="1:3" s="670" customFormat="1" x14ac:dyDescent="0.3">
      <c r="A103" s="668" t="str">
        <f t="shared" si="4"/>
        <v>01-A-098</v>
      </c>
      <c r="B103" s="969"/>
      <c r="C103" s="954"/>
    </row>
    <row r="104" spans="1:3" s="673" customFormat="1" x14ac:dyDescent="0.3">
      <c r="A104" s="671" t="str">
        <f t="shared" si="4"/>
        <v>01-A-099</v>
      </c>
      <c r="B104" s="968"/>
      <c r="C104" s="953"/>
    </row>
    <row r="105" spans="1:3" s="670" customFormat="1" x14ac:dyDescent="0.3">
      <c r="A105" s="668" t="str">
        <f t="shared" si="4"/>
        <v>01-A-100</v>
      </c>
      <c r="B105" s="969"/>
      <c r="C105" s="954"/>
    </row>
    <row r="106" spans="1:3" s="673" customFormat="1" x14ac:dyDescent="0.3">
      <c r="A106" s="671" t="str">
        <f t="shared" si="4"/>
        <v>01-A-101</v>
      </c>
      <c r="B106" s="968"/>
      <c r="C106" s="953"/>
    </row>
    <row r="107" spans="1:3" s="670" customFormat="1" x14ac:dyDescent="0.3">
      <c r="A107" s="668" t="str">
        <f t="shared" si="4"/>
        <v>01-A-102</v>
      </c>
      <c r="B107" s="969"/>
      <c r="C107" s="954"/>
    </row>
    <row r="108" spans="1:3" s="673" customFormat="1" x14ac:dyDescent="0.3">
      <c r="A108" s="671" t="str">
        <f t="shared" si="4"/>
        <v>01-A-103</v>
      </c>
      <c r="B108" s="968"/>
      <c r="C108" s="953"/>
    </row>
    <row r="109" spans="1:3" s="670" customFormat="1" x14ac:dyDescent="0.3">
      <c r="A109" s="668" t="str">
        <f t="shared" si="4"/>
        <v>01-A-104</v>
      </c>
      <c r="B109" s="969"/>
      <c r="C109" s="954"/>
    </row>
    <row r="110" spans="1:3" s="673" customFormat="1" x14ac:dyDescent="0.3">
      <c r="A110" s="671" t="str">
        <f t="shared" si="4"/>
        <v>01-A-105</v>
      </c>
      <c r="B110" s="968"/>
      <c r="C110" s="953"/>
    </row>
    <row r="111" spans="1:3" s="670" customFormat="1" x14ac:dyDescent="0.3">
      <c r="A111" s="668" t="str">
        <f t="shared" si="4"/>
        <v>01-A-106</v>
      </c>
      <c r="B111" s="969"/>
      <c r="C111" s="954"/>
    </row>
    <row r="112" spans="1:3" s="673" customFormat="1" x14ac:dyDescent="0.3">
      <c r="A112" s="671" t="str">
        <f t="shared" si="4"/>
        <v>01-A-107</v>
      </c>
      <c r="B112" s="968"/>
      <c r="C112" s="953"/>
    </row>
    <row r="113" spans="1:3" s="670" customFormat="1" x14ac:dyDescent="0.3">
      <c r="A113" s="668" t="str">
        <f t="shared" si="4"/>
        <v>01-A-108</v>
      </c>
      <c r="B113" s="969"/>
      <c r="C113" s="954"/>
    </row>
    <row r="114" spans="1:3" s="673" customFormat="1" x14ac:dyDescent="0.3">
      <c r="A114" s="671" t="str">
        <f t="shared" si="4"/>
        <v>01-A-109</v>
      </c>
      <c r="B114" s="968"/>
      <c r="C114" s="953"/>
    </row>
    <row r="115" spans="1:3" s="670" customFormat="1" x14ac:dyDescent="0.3">
      <c r="A115" s="668" t="str">
        <f t="shared" si="4"/>
        <v>01-A-110</v>
      </c>
      <c r="B115" s="969"/>
      <c r="C115" s="954"/>
    </row>
    <row r="116" spans="1:3" s="673" customFormat="1" x14ac:dyDescent="0.3">
      <c r="A116" s="671" t="str">
        <f t="shared" si="4"/>
        <v>01-A-111</v>
      </c>
      <c r="B116" s="968"/>
      <c r="C116" s="953"/>
    </row>
    <row r="117" spans="1:3" s="670" customFormat="1" x14ac:dyDescent="0.3">
      <c r="A117" s="668" t="str">
        <f t="shared" si="4"/>
        <v>01-A-112</v>
      </c>
      <c r="B117" s="969"/>
      <c r="C117" s="954"/>
    </row>
    <row r="118" spans="1:3" s="673" customFormat="1" x14ac:dyDescent="0.3">
      <c r="A118" s="671" t="str">
        <f t="shared" si="4"/>
        <v>01-A-113</v>
      </c>
      <c r="B118" s="968"/>
      <c r="C118" s="953"/>
    </row>
    <row r="119" spans="1:3" s="670" customFormat="1" x14ac:dyDescent="0.3">
      <c r="A119" s="668" t="str">
        <f t="shared" si="4"/>
        <v>01-A-114</v>
      </c>
      <c r="B119" s="969"/>
      <c r="C119" s="954"/>
    </row>
    <row r="120" spans="1:3" s="673" customFormat="1" x14ac:dyDescent="0.3">
      <c r="A120" s="671" t="str">
        <f t="shared" si="4"/>
        <v>01-A-115</v>
      </c>
      <c r="B120" s="968"/>
      <c r="C120" s="953"/>
    </row>
    <row r="121" spans="1:3" s="670" customFormat="1" x14ac:dyDescent="0.3">
      <c r="A121" s="668" t="str">
        <f t="shared" si="4"/>
        <v>01-A-116</v>
      </c>
      <c r="B121" s="969"/>
      <c r="C121" s="954"/>
    </row>
    <row r="122" spans="1:3" s="673" customFormat="1" x14ac:dyDescent="0.3">
      <c r="A122" s="671" t="str">
        <f t="shared" si="4"/>
        <v>01-A-117</v>
      </c>
      <c r="B122" s="968"/>
      <c r="C122" s="953"/>
    </row>
    <row r="123" spans="1:3" s="670" customFormat="1" x14ac:dyDescent="0.3">
      <c r="A123" s="668" t="str">
        <f t="shared" si="4"/>
        <v>01-A-118</v>
      </c>
      <c r="B123" s="969"/>
      <c r="C123" s="954"/>
    </row>
    <row r="124" spans="1:3" s="673" customFormat="1" x14ac:dyDescent="0.3">
      <c r="A124" s="671" t="str">
        <f t="shared" si="4"/>
        <v>01-A-119</v>
      </c>
      <c r="B124" s="968"/>
      <c r="C124" s="953"/>
    </row>
    <row r="125" spans="1:3" s="670" customFormat="1" x14ac:dyDescent="0.3">
      <c r="A125" s="668" t="str">
        <f t="shared" si="4"/>
        <v>01-A-120</v>
      </c>
      <c r="B125" s="969"/>
      <c r="C125" s="954"/>
    </row>
    <row r="126" spans="1:3" s="673" customFormat="1" x14ac:dyDescent="0.3">
      <c r="A126" s="671" t="str">
        <f t="shared" si="4"/>
        <v>01-A-121</v>
      </c>
      <c r="B126" s="968"/>
      <c r="C126" s="953"/>
    </row>
    <row r="127" spans="1:3" s="670" customFormat="1" x14ac:dyDescent="0.3">
      <c r="A127" s="668" t="str">
        <f t="shared" si="4"/>
        <v>01-A-122</v>
      </c>
      <c r="B127" s="969"/>
      <c r="C127" s="954"/>
    </row>
    <row r="128" spans="1:3" s="673" customFormat="1" x14ac:dyDescent="0.3">
      <c r="A128" s="671" t="str">
        <f t="shared" si="4"/>
        <v>01-A-123</v>
      </c>
      <c r="B128" s="968"/>
      <c r="C128" s="953"/>
    </row>
    <row r="129" spans="1:3" s="670" customFormat="1" x14ac:dyDescent="0.3">
      <c r="A129" s="668" t="str">
        <f t="shared" si="4"/>
        <v>01-A-124</v>
      </c>
      <c r="B129" s="969"/>
      <c r="C129" s="954"/>
    </row>
    <row r="130" spans="1:3" s="673" customFormat="1" x14ac:dyDescent="0.3">
      <c r="A130" s="671" t="str">
        <f t="shared" si="4"/>
        <v>01-A-125</v>
      </c>
      <c r="B130" s="968"/>
      <c r="C130" s="953"/>
    </row>
    <row r="131" spans="1:3" s="670" customFormat="1" x14ac:dyDescent="0.3">
      <c r="A131" s="668" t="str">
        <f t="shared" si="4"/>
        <v>01-A-126</v>
      </c>
      <c r="B131" s="969"/>
      <c r="C131" s="954"/>
    </row>
    <row r="132" spans="1:3" s="673" customFormat="1" x14ac:dyDescent="0.3">
      <c r="A132" s="671" t="str">
        <f t="shared" si="4"/>
        <v>01-A-127</v>
      </c>
      <c r="B132" s="968"/>
      <c r="C132" s="953"/>
    </row>
    <row r="133" spans="1:3" s="670" customFormat="1" x14ac:dyDescent="0.3">
      <c r="A133" s="668" t="str">
        <f t="shared" si="4"/>
        <v>01-A-128</v>
      </c>
      <c r="B133" s="969"/>
      <c r="C133" s="954"/>
    </row>
    <row r="134" spans="1:3" s="673" customFormat="1" x14ac:dyDescent="0.3">
      <c r="A134" s="671" t="str">
        <f t="shared" si="4"/>
        <v>01-A-129</v>
      </c>
      <c r="B134" s="968"/>
      <c r="C134" s="953"/>
    </row>
    <row r="135" spans="1:3" s="670" customFormat="1" x14ac:dyDescent="0.3">
      <c r="A135" s="668" t="str">
        <f t="shared" ref="A135:A198" si="5">LEFT(A134,5)&amp;RIGHT("000"&amp;RIGHT(A134,3)*1+1,3)</f>
        <v>01-A-130</v>
      </c>
      <c r="B135" s="969"/>
      <c r="C135" s="954"/>
    </row>
    <row r="136" spans="1:3" s="673" customFormat="1" x14ac:dyDescent="0.3">
      <c r="A136" s="671" t="str">
        <f t="shared" si="5"/>
        <v>01-A-131</v>
      </c>
      <c r="B136" s="968"/>
      <c r="C136" s="953"/>
    </row>
    <row r="137" spans="1:3" s="670" customFormat="1" x14ac:dyDescent="0.3">
      <c r="A137" s="668" t="str">
        <f t="shared" si="5"/>
        <v>01-A-132</v>
      </c>
      <c r="B137" s="969"/>
      <c r="C137" s="954"/>
    </row>
    <row r="138" spans="1:3" s="673" customFormat="1" x14ac:dyDescent="0.3">
      <c r="A138" s="671" t="str">
        <f t="shared" si="5"/>
        <v>01-A-133</v>
      </c>
      <c r="B138" s="968"/>
      <c r="C138" s="953"/>
    </row>
    <row r="139" spans="1:3" s="670" customFormat="1" x14ac:dyDescent="0.3">
      <c r="A139" s="668" t="str">
        <f t="shared" si="5"/>
        <v>01-A-134</v>
      </c>
      <c r="B139" s="969"/>
      <c r="C139" s="954"/>
    </row>
    <row r="140" spans="1:3" s="673" customFormat="1" x14ac:dyDescent="0.3">
      <c r="A140" s="671" t="str">
        <f t="shared" si="5"/>
        <v>01-A-135</v>
      </c>
      <c r="B140" s="968"/>
      <c r="C140" s="953"/>
    </row>
    <row r="141" spans="1:3" s="670" customFormat="1" x14ac:dyDescent="0.3">
      <c r="A141" s="668" t="str">
        <f t="shared" si="5"/>
        <v>01-A-136</v>
      </c>
      <c r="B141" s="969"/>
      <c r="C141" s="954"/>
    </row>
    <row r="142" spans="1:3" s="673" customFormat="1" x14ac:dyDescent="0.3">
      <c r="A142" s="671" t="str">
        <f t="shared" si="5"/>
        <v>01-A-137</v>
      </c>
      <c r="B142" s="968"/>
      <c r="C142" s="953"/>
    </row>
    <row r="143" spans="1:3" s="670" customFormat="1" x14ac:dyDescent="0.3">
      <c r="A143" s="668" t="str">
        <f t="shared" si="5"/>
        <v>01-A-138</v>
      </c>
      <c r="B143" s="969"/>
      <c r="C143" s="954"/>
    </row>
    <row r="144" spans="1:3" s="673" customFormat="1" x14ac:dyDescent="0.3">
      <c r="A144" s="671" t="str">
        <f t="shared" si="5"/>
        <v>01-A-139</v>
      </c>
      <c r="B144" s="968"/>
      <c r="C144" s="953"/>
    </row>
    <row r="145" spans="1:3" s="670" customFormat="1" x14ac:dyDescent="0.3">
      <c r="A145" s="668" t="str">
        <f t="shared" si="5"/>
        <v>01-A-140</v>
      </c>
      <c r="B145" s="969"/>
      <c r="C145" s="954"/>
    </row>
    <row r="146" spans="1:3" s="673" customFormat="1" x14ac:dyDescent="0.3">
      <c r="A146" s="671" t="str">
        <f t="shared" si="5"/>
        <v>01-A-141</v>
      </c>
      <c r="B146" s="968"/>
      <c r="C146" s="953"/>
    </row>
    <row r="147" spans="1:3" s="670" customFormat="1" x14ac:dyDescent="0.3">
      <c r="A147" s="668" t="str">
        <f t="shared" si="5"/>
        <v>01-A-142</v>
      </c>
      <c r="B147" s="969"/>
      <c r="C147" s="954"/>
    </row>
    <row r="148" spans="1:3" s="673" customFormat="1" x14ac:dyDescent="0.3">
      <c r="A148" s="671" t="str">
        <f t="shared" si="5"/>
        <v>01-A-143</v>
      </c>
      <c r="B148" s="968"/>
      <c r="C148" s="953"/>
    </row>
    <row r="149" spans="1:3" s="670" customFormat="1" x14ac:dyDescent="0.3">
      <c r="A149" s="668" t="str">
        <f t="shared" si="5"/>
        <v>01-A-144</v>
      </c>
      <c r="B149" s="969"/>
      <c r="C149" s="954"/>
    </row>
    <row r="150" spans="1:3" s="673" customFormat="1" x14ac:dyDescent="0.3">
      <c r="A150" s="671" t="str">
        <f t="shared" si="5"/>
        <v>01-A-145</v>
      </c>
      <c r="B150" s="968"/>
      <c r="C150" s="953"/>
    </row>
    <row r="151" spans="1:3" s="670" customFormat="1" x14ac:dyDescent="0.3">
      <c r="A151" s="668" t="str">
        <f t="shared" si="5"/>
        <v>01-A-146</v>
      </c>
      <c r="B151" s="969"/>
      <c r="C151" s="954"/>
    </row>
    <row r="152" spans="1:3" s="673" customFormat="1" x14ac:dyDescent="0.3">
      <c r="A152" s="671" t="str">
        <f t="shared" si="5"/>
        <v>01-A-147</v>
      </c>
      <c r="B152" s="968"/>
      <c r="C152" s="953"/>
    </row>
    <row r="153" spans="1:3" s="670" customFormat="1" x14ac:dyDescent="0.3">
      <c r="A153" s="668" t="str">
        <f t="shared" si="5"/>
        <v>01-A-148</v>
      </c>
      <c r="B153" s="969"/>
      <c r="C153" s="954"/>
    </row>
    <row r="154" spans="1:3" s="673" customFormat="1" x14ac:dyDescent="0.3">
      <c r="A154" s="671" t="str">
        <f t="shared" si="5"/>
        <v>01-A-149</v>
      </c>
      <c r="B154" s="968"/>
      <c r="C154" s="953"/>
    </row>
    <row r="155" spans="1:3" s="670" customFormat="1" x14ac:dyDescent="0.3">
      <c r="A155" s="668" t="str">
        <f t="shared" si="5"/>
        <v>01-A-150</v>
      </c>
      <c r="B155" s="969"/>
      <c r="C155" s="954"/>
    </row>
    <row r="156" spans="1:3" s="673" customFormat="1" x14ac:dyDescent="0.3">
      <c r="A156" s="671" t="str">
        <f t="shared" si="5"/>
        <v>01-A-151</v>
      </c>
      <c r="B156" s="968"/>
      <c r="C156" s="953"/>
    </row>
    <row r="157" spans="1:3" s="670" customFormat="1" x14ac:dyDescent="0.3">
      <c r="A157" s="668" t="str">
        <f t="shared" si="5"/>
        <v>01-A-152</v>
      </c>
      <c r="B157" s="969"/>
      <c r="C157" s="954"/>
    </row>
    <row r="158" spans="1:3" s="673" customFormat="1" x14ac:dyDescent="0.3">
      <c r="A158" s="671" t="str">
        <f t="shared" si="5"/>
        <v>01-A-153</v>
      </c>
      <c r="B158" s="968"/>
      <c r="C158" s="953"/>
    </row>
    <row r="159" spans="1:3" s="670" customFormat="1" x14ac:dyDescent="0.3">
      <c r="A159" s="668" t="str">
        <f t="shared" si="5"/>
        <v>01-A-154</v>
      </c>
      <c r="B159" s="969"/>
      <c r="C159" s="954"/>
    </row>
    <row r="160" spans="1:3" s="673" customFormat="1" x14ac:dyDescent="0.3">
      <c r="A160" s="671" t="str">
        <f t="shared" si="5"/>
        <v>01-A-155</v>
      </c>
      <c r="B160" s="968"/>
      <c r="C160" s="953"/>
    </row>
    <row r="161" spans="1:3" s="670" customFormat="1" x14ac:dyDescent="0.3">
      <c r="A161" s="668" t="str">
        <f t="shared" si="5"/>
        <v>01-A-156</v>
      </c>
      <c r="B161" s="969"/>
      <c r="C161" s="954"/>
    </row>
    <row r="162" spans="1:3" s="673" customFormat="1" x14ac:dyDescent="0.3">
      <c r="A162" s="671" t="str">
        <f t="shared" si="5"/>
        <v>01-A-157</v>
      </c>
      <c r="B162" s="968"/>
      <c r="C162" s="953"/>
    </row>
    <row r="163" spans="1:3" s="670" customFormat="1" x14ac:dyDescent="0.3">
      <c r="A163" s="668" t="str">
        <f t="shared" si="5"/>
        <v>01-A-158</v>
      </c>
      <c r="B163" s="969"/>
      <c r="C163" s="954"/>
    </row>
    <row r="164" spans="1:3" s="673" customFormat="1" x14ac:dyDescent="0.3">
      <c r="A164" s="671" t="str">
        <f t="shared" si="5"/>
        <v>01-A-159</v>
      </c>
      <c r="B164" s="968"/>
      <c r="C164" s="953"/>
    </row>
    <row r="165" spans="1:3" s="670" customFormat="1" x14ac:dyDescent="0.3">
      <c r="A165" s="668" t="str">
        <f t="shared" si="5"/>
        <v>01-A-160</v>
      </c>
      <c r="B165" s="969"/>
      <c r="C165" s="954"/>
    </row>
    <row r="166" spans="1:3" s="673" customFormat="1" x14ac:dyDescent="0.3">
      <c r="A166" s="671" t="str">
        <f t="shared" si="5"/>
        <v>01-A-161</v>
      </c>
      <c r="B166" s="968"/>
      <c r="C166" s="953"/>
    </row>
    <row r="167" spans="1:3" s="670" customFormat="1" x14ac:dyDescent="0.3">
      <c r="A167" s="668" t="str">
        <f t="shared" si="5"/>
        <v>01-A-162</v>
      </c>
      <c r="B167" s="969"/>
      <c r="C167" s="954"/>
    </row>
    <row r="168" spans="1:3" s="673" customFormat="1" x14ac:dyDescent="0.3">
      <c r="A168" s="671" t="str">
        <f t="shared" si="5"/>
        <v>01-A-163</v>
      </c>
      <c r="B168" s="968"/>
      <c r="C168" s="953"/>
    </row>
    <row r="169" spans="1:3" s="670" customFormat="1" x14ac:dyDescent="0.3">
      <c r="A169" s="668" t="str">
        <f t="shared" si="5"/>
        <v>01-A-164</v>
      </c>
      <c r="B169" s="969"/>
      <c r="C169" s="954"/>
    </row>
    <row r="170" spans="1:3" s="673" customFormat="1" x14ac:dyDescent="0.3">
      <c r="A170" s="671" t="str">
        <f t="shared" si="5"/>
        <v>01-A-165</v>
      </c>
      <c r="B170" s="968"/>
      <c r="C170" s="953"/>
    </row>
    <row r="171" spans="1:3" s="670" customFormat="1" x14ac:dyDescent="0.3">
      <c r="A171" s="668" t="str">
        <f t="shared" si="5"/>
        <v>01-A-166</v>
      </c>
      <c r="B171" s="969"/>
      <c r="C171" s="954"/>
    </row>
    <row r="172" spans="1:3" s="673" customFormat="1" x14ac:dyDescent="0.3">
      <c r="A172" s="671" t="str">
        <f t="shared" si="5"/>
        <v>01-A-167</v>
      </c>
      <c r="B172" s="968"/>
      <c r="C172" s="953"/>
    </row>
    <row r="173" spans="1:3" s="670" customFormat="1" x14ac:dyDescent="0.3">
      <c r="A173" s="668" t="str">
        <f t="shared" si="5"/>
        <v>01-A-168</v>
      </c>
      <c r="B173" s="969"/>
      <c r="C173" s="954"/>
    </row>
    <row r="174" spans="1:3" s="673" customFormat="1" x14ac:dyDescent="0.3">
      <c r="A174" s="671" t="str">
        <f t="shared" si="5"/>
        <v>01-A-169</v>
      </c>
      <c r="B174" s="968"/>
      <c r="C174" s="953"/>
    </row>
    <row r="175" spans="1:3" s="670" customFormat="1" x14ac:dyDescent="0.3">
      <c r="A175" s="668" t="str">
        <f t="shared" si="5"/>
        <v>01-A-170</v>
      </c>
      <c r="B175" s="969"/>
      <c r="C175" s="954"/>
    </row>
    <row r="176" spans="1:3" s="673" customFormat="1" x14ac:dyDescent="0.3">
      <c r="A176" s="671" t="str">
        <f t="shared" si="5"/>
        <v>01-A-171</v>
      </c>
      <c r="B176" s="968"/>
      <c r="C176" s="953"/>
    </row>
    <row r="177" spans="1:3" s="670" customFormat="1" x14ac:dyDescent="0.3">
      <c r="A177" s="668" t="str">
        <f t="shared" si="5"/>
        <v>01-A-172</v>
      </c>
      <c r="B177" s="969"/>
      <c r="C177" s="954"/>
    </row>
    <row r="178" spans="1:3" s="673" customFormat="1" x14ac:dyDescent="0.3">
      <c r="A178" s="671" t="str">
        <f t="shared" si="5"/>
        <v>01-A-173</v>
      </c>
      <c r="B178" s="968"/>
      <c r="C178" s="953"/>
    </row>
    <row r="179" spans="1:3" s="670" customFormat="1" x14ac:dyDescent="0.3">
      <c r="A179" s="668" t="str">
        <f t="shared" si="5"/>
        <v>01-A-174</v>
      </c>
      <c r="B179" s="969"/>
      <c r="C179" s="954"/>
    </row>
    <row r="180" spans="1:3" s="673" customFormat="1" x14ac:dyDescent="0.3">
      <c r="A180" s="671" t="str">
        <f t="shared" si="5"/>
        <v>01-A-175</v>
      </c>
      <c r="B180" s="968"/>
      <c r="C180" s="953"/>
    </row>
    <row r="181" spans="1:3" s="670" customFormat="1" x14ac:dyDescent="0.3">
      <c r="A181" s="668" t="str">
        <f t="shared" si="5"/>
        <v>01-A-176</v>
      </c>
      <c r="B181" s="969"/>
      <c r="C181" s="954"/>
    </row>
    <row r="182" spans="1:3" s="673" customFormat="1" x14ac:dyDescent="0.3">
      <c r="A182" s="671" t="str">
        <f t="shared" si="5"/>
        <v>01-A-177</v>
      </c>
      <c r="B182" s="968"/>
      <c r="C182" s="953"/>
    </row>
    <row r="183" spans="1:3" s="670" customFormat="1" x14ac:dyDescent="0.3">
      <c r="A183" s="668" t="str">
        <f t="shared" si="5"/>
        <v>01-A-178</v>
      </c>
      <c r="B183" s="969"/>
      <c r="C183" s="954"/>
    </row>
    <row r="184" spans="1:3" s="673" customFormat="1" x14ac:dyDescent="0.3">
      <c r="A184" s="671" t="str">
        <f t="shared" si="5"/>
        <v>01-A-179</v>
      </c>
      <c r="B184" s="968"/>
      <c r="C184" s="953"/>
    </row>
    <row r="185" spans="1:3" s="670" customFormat="1" x14ac:dyDescent="0.3">
      <c r="A185" s="668" t="str">
        <f t="shared" si="5"/>
        <v>01-A-180</v>
      </c>
      <c r="B185" s="969"/>
      <c r="C185" s="954"/>
    </row>
    <row r="186" spans="1:3" s="673" customFormat="1" x14ac:dyDescent="0.3">
      <c r="A186" s="671" t="str">
        <f t="shared" si="5"/>
        <v>01-A-181</v>
      </c>
      <c r="B186" s="968"/>
      <c r="C186" s="953"/>
    </row>
    <row r="187" spans="1:3" s="670" customFormat="1" x14ac:dyDescent="0.3">
      <c r="A187" s="668" t="str">
        <f t="shared" si="5"/>
        <v>01-A-182</v>
      </c>
      <c r="B187" s="969"/>
      <c r="C187" s="954"/>
    </row>
    <row r="188" spans="1:3" s="673" customFormat="1" x14ac:dyDescent="0.3">
      <c r="A188" s="671" t="str">
        <f t="shared" si="5"/>
        <v>01-A-183</v>
      </c>
      <c r="B188" s="968"/>
      <c r="C188" s="953"/>
    </row>
    <row r="189" spans="1:3" s="670" customFormat="1" x14ac:dyDescent="0.3">
      <c r="A189" s="668" t="str">
        <f t="shared" si="5"/>
        <v>01-A-184</v>
      </c>
      <c r="B189" s="969"/>
      <c r="C189" s="954"/>
    </row>
    <row r="190" spans="1:3" s="673" customFormat="1" x14ac:dyDescent="0.3">
      <c r="A190" s="671" t="str">
        <f t="shared" si="5"/>
        <v>01-A-185</v>
      </c>
      <c r="B190" s="968"/>
      <c r="C190" s="953"/>
    </row>
    <row r="191" spans="1:3" s="670" customFormat="1" x14ac:dyDescent="0.3">
      <c r="A191" s="668" t="str">
        <f t="shared" si="5"/>
        <v>01-A-186</v>
      </c>
      <c r="B191" s="969"/>
      <c r="C191" s="954"/>
    </row>
    <row r="192" spans="1:3" s="673" customFormat="1" x14ac:dyDescent="0.3">
      <c r="A192" s="671" t="str">
        <f t="shared" si="5"/>
        <v>01-A-187</v>
      </c>
      <c r="B192" s="968"/>
      <c r="C192" s="953"/>
    </row>
    <row r="193" spans="1:3" s="670" customFormat="1" x14ac:dyDescent="0.3">
      <c r="A193" s="668" t="str">
        <f t="shared" si="5"/>
        <v>01-A-188</v>
      </c>
      <c r="B193" s="969"/>
      <c r="C193" s="954"/>
    </row>
    <row r="194" spans="1:3" s="673" customFormat="1" x14ac:dyDescent="0.3">
      <c r="A194" s="671" t="str">
        <f t="shared" si="5"/>
        <v>01-A-189</v>
      </c>
      <c r="B194" s="968"/>
      <c r="C194" s="953"/>
    </row>
    <row r="195" spans="1:3" s="670" customFormat="1" x14ac:dyDescent="0.3">
      <c r="A195" s="668" t="str">
        <f t="shared" si="5"/>
        <v>01-A-190</v>
      </c>
      <c r="B195" s="969"/>
      <c r="C195" s="954"/>
    </row>
    <row r="196" spans="1:3" s="673" customFormat="1" x14ac:dyDescent="0.3">
      <c r="A196" s="671" t="str">
        <f t="shared" si="5"/>
        <v>01-A-191</v>
      </c>
      <c r="B196" s="968"/>
      <c r="C196" s="953"/>
    </row>
    <row r="197" spans="1:3" s="670" customFormat="1" x14ac:dyDescent="0.3">
      <c r="A197" s="668" t="str">
        <f t="shared" si="5"/>
        <v>01-A-192</v>
      </c>
      <c r="B197" s="969"/>
      <c r="C197" s="954"/>
    </row>
    <row r="198" spans="1:3" s="673" customFormat="1" x14ac:dyDescent="0.3">
      <c r="A198" s="671" t="str">
        <f t="shared" si="5"/>
        <v>01-A-193</v>
      </c>
      <c r="B198" s="968"/>
      <c r="C198" s="953"/>
    </row>
    <row r="199" spans="1:3" s="670" customFormat="1" x14ac:dyDescent="0.3">
      <c r="A199" s="668" t="str">
        <f t="shared" ref="A199:A250" si="6">LEFT(A198,5)&amp;RIGHT("000"&amp;RIGHT(A198,3)*1+1,3)</f>
        <v>01-A-194</v>
      </c>
      <c r="B199" s="969"/>
      <c r="C199" s="954"/>
    </row>
    <row r="200" spans="1:3" s="673" customFormat="1" x14ac:dyDescent="0.3">
      <c r="A200" s="671" t="str">
        <f t="shared" si="6"/>
        <v>01-A-195</v>
      </c>
      <c r="B200" s="968"/>
      <c r="C200" s="953"/>
    </row>
    <row r="201" spans="1:3" s="670" customFormat="1" x14ac:dyDescent="0.3">
      <c r="A201" s="668" t="str">
        <f t="shared" si="6"/>
        <v>01-A-196</v>
      </c>
      <c r="B201" s="969"/>
      <c r="C201" s="954"/>
    </row>
    <row r="202" spans="1:3" s="673" customFormat="1" x14ac:dyDescent="0.3">
      <c r="A202" s="671" t="str">
        <f t="shared" si="6"/>
        <v>01-A-197</v>
      </c>
      <c r="B202" s="968"/>
      <c r="C202" s="953"/>
    </row>
    <row r="203" spans="1:3" s="670" customFormat="1" x14ac:dyDescent="0.3">
      <c r="A203" s="668" t="str">
        <f t="shared" si="6"/>
        <v>01-A-198</v>
      </c>
      <c r="B203" s="969"/>
      <c r="C203" s="954"/>
    </row>
    <row r="204" spans="1:3" s="673" customFormat="1" x14ac:dyDescent="0.3">
      <c r="A204" s="671" t="str">
        <f t="shared" si="6"/>
        <v>01-A-199</v>
      </c>
      <c r="B204" s="968"/>
      <c r="C204" s="953"/>
    </row>
    <row r="205" spans="1:3" s="670" customFormat="1" x14ac:dyDescent="0.3">
      <c r="A205" s="668" t="str">
        <f t="shared" si="6"/>
        <v>01-A-200</v>
      </c>
      <c r="B205" s="969"/>
      <c r="C205" s="954"/>
    </row>
    <row r="206" spans="1:3" s="673" customFormat="1" x14ac:dyDescent="0.3">
      <c r="A206" s="671" t="str">
        <f t="shared" si="6"/>
        <v>01-A-201</v>
      </c>
      <c r="B206" s="968"/>
      <c r="C206" s="953"/>
    </row>
    <row r="207" spans="1:3" s="670" customFormat="1" x14ac:dyDescent="0.3">
      <c r="A207" s="668" t="str">
        <f t="shared" si="6"/>
        <v>01-A-202</v>
      </c>
      <c r="B207" s="969"/>
      <c r="C207" s="954"/>
    </row>
    <row r="208" spans="1:3" s="673" customFormat="1" x14ac:dyDescent="0.3">
      <c r="A208" s="671" t="str">
        <f t="shared" si="6"/>
        <v>01-A-203</v>
      </c>
      <c r="B208" s="968"/>
      <c r="C208" s="953"/>
    </row>
    <row r="209" spans="1:3" s="670" customFormat="1" x14ac:dyDescent="0.3">
      <c r="A209" s="668" t="str">
        <f t="shared" si="6"/>
        <v>01-A-204</v>
      </c>
      <c r="B209" s="969"/>
      <c r="C209" s="954"/>
    </row>
    <row r="210" spans="1:3" s="673" customFormat="1" x14ac:dyDescent="0.3">
      <c r="A210" s="671" t="str">
        <f t="shared" si="6"/>
        <v>01-A-205</v>
      </c>
      <c r="B210" s="968"/>
      <c r="C210" s="953"/>
    </row>
    <row r="211" spans="1:3" s="670" customFormat="1" x14ac:dyDescent="0.3">
      <c r="A211" s="668" t="str">
        <f t="shared" si="6"/>
        <v>01-A-206</v>
      </c>
      <c r="B211" s="969"/>
      <c r="C211" s="954"/>
    </row>
    <row r="212" spans="1:3" s="673" customFormat="1" x14ac:dyDescent="0.3">
      <c r="A212" s="671" t="str">
        <f t="shared" si="6"/>
        <v>01-A-207</v>
      </c>
      <c r="B212" s="968"/>
      <c r="C212" s="953"/>
    </row>
    <row r="213" spans="1:3" s="670" customFormat="1" x14ac:dyDescent="0.3">
      <c r="A213" s="668" t="str">
        <f t="shared" si="6"/>
        <v>01-A-208</v>
      </c>
      <c r="B213" s="969"/>
      <c r="C213" s="954"/>
    </row>
    <row r="214" spans="1:3" s="673" customFormat="1" x14ac:dyDescent="0.3">
      <c r="A214" s="671" t="str">
        <f t="shared" si="6"/>
        <v>01-A-209</v>
      </c>
      <c r="B214" s="968"/>
      <c r="C214" s="953"/>
    </row>
    <row r="215" spans="1:3" s="670" customFormat="1" x14ac:dyDescent="0.3">
      <c r="A215" s="668" t="str">
        <f t="shared" si="6"/>
        <v>01-A-210</v>
      </c>
      <c r="B215" s="969"/>
      <c r="C215" s="954"/>
    </row>
    <row r="216" spans="1:3" s="673" customFormat="1" x14ac:dyDescent="0.3">
      <c r="A216" s="671" t="str">
        <f t="shared" si="6"/>
        <v>01-A-211</v>
      </c>
      <c r="B216" s="968"/>
      <c r="C216" s="953"/>
    </row>
    <row r="217" spans="1:3" s="670" customFormat="1" x14ac:dyDescent="0.3">
      <c r="A217" s="668" t="str">
        <f t="shared" si="6"/>
        <v>01-A-212</v>
      </c>
      <c r="B217" s="969"/>
      <c r="C217" s="954"/>
    </row>
    <row r="218" spans="1:3" s="673" customFormat="1" x14ac:dyDescent="0.3">
      <c r="A218" s="671" t="str">
        <f t="shared" si="6"/>
        <v>01-A-213</v>
      </c>
      <c r="B218" s="968"/>
      <c r="C218" s="953"/>
    </row>
    <row r="219" spans="1:3" s="670" customFormat="1" x14ac:dyDescent="0.3">
      <c r="A219" s="668" t="str">
        <f t="shared" si="6"/>
        <v>01-A-214</v>
      </c>
      <c r="B219" s="969"/>
      <c r="C219" s="954"/>
    </row>
    <row r="220" spans="1:3" s="673" customFormat="1" x14ac:dyDescent="0.3">
      <c r="A220" s="671" t="str">
        <f t="shared" si="6"/>
        <v>01-A-215</v>
      </c>
      <c r="B220" s="968"/>
      <c r="C220" s="953"/>
    </row>
    <row r="221" spans="1:3" s="670" customFormat="1" x14ac:dyDescent="0.3">
      <c r="A221" s="668" t="str">
        <f t="shared" si="6"/>
        <v>01-A-216</v>
      </c>
      <c r="B221" s="969"/>
      <c r="C221" s="954"/>
    </row>
    <row r="222" spans="1:3" s="673" customFormat="1" x14ac:dyDescent="0.3">
      <c r="A222" s="671" t="str">
        <f t="shared" si="6"/>
        <v>01-A-217</v>
      </c>
      <c r="B222" s="968"/>
      <c r="C222" s="953"/>
    </row>
    <row r="223" spans="1:3" s="670" customFormat="1" x14ac:dyDescent="0.3">
      <c r="A223" s="668" t="str">
        <f t="shared" si="6"/>
        <v>01-A-218</v>
      </c>
      <c r="B223" s="969"/>
      <c r="C223" s="954"/>
    </row>
    <row r="224" spans="1:3" s="673" customFormat="1" x14ac:dyDescent="0.3">
      <c r="A224" s="671" t="str">
        <f t="shared" si="6"/>
        <v>01-A-219</v>
      </c>
      <c r="B224" s="968"/>
      <c r="C224" s="953"/>
    </row>
    <row r="225" spans="1:3" s="670" customFormat="1" x14ac:dyDescent="0.3">
      <c r="A225" s="668" t="str">
        <f t="shared" si="6"/>
        <v>01-A-220</v>
      </c>
      <c r="B225" s="969"/>
      <c r="C225" s="954"/>
    </row>
    <row r="226" spans="1:3" s="673" customFormat="1" x14ac:dyDescent="0.3">
      <c r="A226" s="671" t="str">
        <f t="shared" si="6"/>
        <v>01-A-221</v>
      </c>
      <c r="B226" s="968"/>
      <c r="C226" s="953"/>
    </row>
    <row r="227" spans="1:3" s="670" customFormat="1" x14ac:dyDescent="0.3">
      <c r="A227" s="668" t="str">
        <f t="shared" si="6"/>
        <v>01-A-222</v>
      </c>
      <c r="B227" s="969"/>
      <c r="C227" s="954"/>
    </row>
    <row r="228" spans="1:3" s="673" customFormat="1" x14ac:dyDescent="0.3">
      <c r="A228" s="671" t="str">
        <f t="shared" si="6"/>
        <v>01-A-223</v>
      </c>
      <c r="B228" s="968"/>
      <c r="C228" s="953"/>
    </row>
    <row r="229" spans="1:3" s="670" customFormat="1" x14ac:dyDescent="0.3">
      <c r="A229" s="668" t="str">
        <f t="shared" si="6"/>
        <v>01-A-224</v>
      </c>
      <c r="B229" s="969"/>
      <c r="C229" s="954"/>
    </row>
    <row r="230" spans="1:3" s="673" customFormat="1" x14ac:dyDescent="0.3">
      <c r="A230" s="671" t="str">
        <f t="shared" si="6"/>
        <v>01-A-225</v>
      </c>
      <c r="B230" s="968"/>
      <c r="C230" s="953"/>
    </row>
    <row r="231" spans="1:3" s="670" customFormat="1" x14ac:dyDescent="0.3">
      <c r="A231" s="668" t="str">
        <f t="shared" si="6"/>
        <v>01-A-226</v>
      </c>
      <c r="B231" s="969"/>
      <c r="C231" s="954"/>
    </row>
    <row r="232" spans="1:3" s="673" customFormat="1" x14ac:dyDescent="0.3">
      <c r="A232" s="671" t="str">
        <f t="shared" si="6"/>
        <v>01-A-227</v>
      </c>
      <c r="B232" s="968"/>
      <c r="C232" s="953"/>
    </row>
    <row r="233" spans="1:3" s="670" customFormat="1" x14ac:dyDescent="0.3">
      <c r="A233" s="668" t="str">
        <f t="shared" si="6"/>
        <v>01-A-228</v>
      </c>
      <c r="B233" s="969"/>
      <c r="C233" s="954"/>
    </row>
    <row r="234" spans="1:3" s="673" customFormat="1" x14ac:dyDescent="0.3">
      <c r="A234" s="671" t="str">
        <f t="shared" si="6"/>
        <v>01-A-229</v>
      </c>
      <c r="B234" s="968"/>
      <c r="C234" s="953"/>
    </row>
    <row r="235" spans="1:3" s="670" customFormat="1" x14ac:dyDescent="0.3">
      <c r="A235" s="668" t="str">
        <f t="shared" si="6"/>
        <v>01-A-230</v>
      </c>
      <c r="B235" s="969"/>
      <c r="C235" s="954"/>
    </row>
    <row r="236" spans="1:3" s="673" customFormat="1" x14ac:dyDescent="0.3">
      <c r="A236" s="671" t="str">
        <f t="shared" si="6"/>
        <v>01-A-231</v>
      </c>
      <c r="B236" s="968"/>
      <c r="C236" s="953"/>
    </row>
    <row r="237" spans="1:3" s="670" customFormat="1" x14ac:dyDescent="0.3">
      <c r="A237" s="668" t="str">
        <f t="shared" si="6"/>
        <v>01-A-232</v>
      </c>
      <c r="B237" s="969"/>
      <c r="C237" s="954"/>
    </row>
    <row r="238" spans="1:3" s="673" customFormat="1" x14ac:dyDescent="0.3">
      <c r="A238" s="671" t="str">
        <f t="shared" si="6"/>
        <v>01-A-233</v>
      </c>
      <c r="B238" s="968"/>
      <c r="C238" s="953"/>
    </row>
    <row r="239" spans="1:3" s="670" customFormat="1" x14ac:dyDescent="0.3">
      <c r="A239" s="668" t="str">
        <f t="shared" si="6"/>
        <v>01-A-234</v>
      </c>
      <c r="B239" s="969"/>
      <c r="C239" s="954"/>
    </row>
    <row r="240" spans="1:3" s="673" customFormat="1" x14ac:dyDescent="0.3">
      <c r="A240" s="671" t="str">
        <f t="shared" si="6"/>
        <v>01-A-235</v>
      </c>
      <c r="B240" s="968"/>
      <c r="C240" s="953"/>
    </row>
    <row r="241" spans="1:3" s="670" customFormat="1" x14ac:dyDescent="0.3">
      <c r="A241" s="668" t="str">
        <f t="shared" si="6"/>
        <v>01-A-236</v>
      </c>
      <c r="B241" s="969"/>
      <c r="C241" s="954"/>
    </row>
    <row r="242" spans="1:3" s="673" customFormat="1" x14ac:dyDescent="0.3">
      <c r="A242" s="671" t="str">
        <f t="shared" si="6"/>
        <v>01-A-237</v>
      </c>
      <c r="B242" s="968"/>
      <c r="C242" s="953"/>
    </row>
    <row r="243" spans="1:3" s="670" customFormat="1" x14ac:dyDescent="0.3">
      <c r="A243" s="668" t="str">
        <f t="shared" si="6"/>
        <v>01-A-238</v>
      </c>
      <c r="B243" s="969"/>
      <c r="C243" s="954"/>
    </row>
    <row r="244" spans="1:3" s="673" customFormat="1" x14ac:dyDescent="0.3">
      <c r="A244" s="671" t="str">
        <f t="shared" si="6"/>
        <v>01-A-239</v>
      </c>
      <c r="B244" s="968"/>
      <c r="C244" s="953"/>
    </row>
    <row r="245" spans="1:3" s="670" customFormat="1" x14ac:dyDescent="0.3">
      <c r="A245" s="668" t="str">
        <f t="shared" si="6"/>
        <v>01-A-240</v>
      </c>
      <c r="B245" s="969"/>
      <c r="C245" s="954"/>
    </row>
    <row r="246" spans="1:3" s="673" customFormat="1" x14ac:dyDescent="0.3">
      <c r="A246" s="671" t="str">
        <f t="shared" si="6"/>
        <v>01-A-241</v>
      </c>
      <c r="B246" s="968"/>
      <c r="C246" s="953"/>
    </row>
    <row r="247" spans="1:3" s="670" customFormat="1" x14ac:dyDescent="0.3">
      <c r="A247" s="668" t="str">
        <f t="shared" si="6"/>
        <v>01-A-242</v>
      </c>
      <c r="B247" s="969"/>
      <c r="C247" s="954"/>
    </row>
    <row r="248" spans="1:3" s="673" customFormat="1" x14ac:dyDescent="0.3">
      <c r="A248" s="671" t="str">
        <f t="shared" si="6"/>
        <v>01-A-243</v>
      </c>
      <c r="B248" s="968"/>
      <c r="C248" s="953"/>
    </row>
    <row r="249" spans="1:3" s="670" customFormat="1" x14ac:dyDescent="0.3">
      <c r="A249" s="668" t="str">
        <f t="shared" si="6"/>
        <v>01-A-244</v>
      </c>
      <c r="B249" s="969"/>
      <c r="C249" s="954"/>
    </row>
    <row r="250" spans="1:3" s="673" customFormat="1" x14ac:dyDescent="0.3">
      <c r="A250" s="671" t="str">
        <f t="shared" si="6"/>
        <v>01-A-245</v>
      </c>
      <c r="B250" s="968"/>
      <c r="C250" s="953"/>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8">
    <tabColor rgb="FF0084A4"/>
  </sheetPr>
  <dimension ref="A1:AH142"/>
  <sheetViews>
    <sheetView showRowColHeaders="0" topLeftCell="A29" workbookViewId="0"/>
  </sheetViews>
  <sheetFormatPr defaultColWidth="9.109375" defaultRowHeight="14.4" x14ac:dyDescent="0.3"/>
  <cols>
    <col min="1" max="4" width="2.6640625" style="70" customWidth="1"/>
    <col min="5" max="14" width="9.6640625" style="70" customWidth="1"/>
    <col min="15" max="17" width="2.6640625" style="70" customWidth="1"/>
    <col min="18" max="18" width="4.6640625" style="70" hidden="1" customWidth="1"/>
    <col min="19" max="19" width="4.6640625" style="282" customWidth="1"/>
    <col min="20" max="26" width="8.6640625" style="70" customWidth="1"/>
    <col min="27" max="16384" width="9.109375" style="70"/>
  </cols>
  <sheetData>
    <row r="1" spans="1:24" ht="15" customHeight="1" x14ac:dyDescent="0.3">
      <c r="A1" s="116" t="str">
        <f>Voorblad!A1</f>
        <v>wit</v>
      </c>
      <c r="B1" s="116">
        <f>Voorblad!B1</f>
        <v>246</v>
      </c>
      <c r="C1" s="116">
        <f>Voorblad!C1</f>
        <v>255</v>
      </c>
      <c r="D1" s="116">
        <f>Voorblad!D1</f>
        <v>0</v>
      </c>
      <c r="E1" s="348"/>
      <c r="F1" s="348"/>
      <c r="G1" s="348"/>
      <c r="H1" s="348"/>
      <c r="I1" s="348"/>
      <c r="J1" s="348"/>
      <c r="K1" s="348"/>
      <c r="L1" s="348"/>
      <c r="M1" s="348"/>
      <c r="N1" s="348"/>
      <c r="O1" s="348"/>
      <c r="P1" s="348"/>
      <c r="Q1" s="348"/>
      <c r="S1" s="348"/>
    </row>
    <row r="2" spans="1:24" ht="15" customHeight="1" x14ac:dyDescent="0.3">
      <c r="A2" s="348"/>
      <c r="B2" s="349"/>
      <c r="C2" s="1076"/>
      <c r="D2" s="1076"/>
      <c r="E2" s="1076"/>
      <c r="F2" s="1076"/>
      <c r="G2" s="1076"/>
      <c r="H2" s="1076"/>
      <c r="I2" s="1076"/>
      <c r="J2" s="1076"/>
      <c r="K2" s="1076"/>
      <c r="L2" s="1076"/>
      <c r="M2" s="1076"/>
      <c r="N2" s="1076"/>
      <c r="O2" s="1076"/>
      <c r="P2" s="1076"/>
      <c r="Q2" s="349"/>
      <c r="R2" s="93"/>
      <c r="T2" s="1065" t="str">
        <f ca="1">Taal01!$B$43</f>
        <v>Deelnamecode</v>
      </c>
      <c r="U2" s="1065"/>
      <c r="V2" s="1065"/>
      <c r="W2" s="1065"/>
      <c r="X2" s="1065"/>
    </row>
    <row r="3" spans="1:24" ht="15" customHeight="1" x14ac:dyDescent="0.3">
      <c r="A3" s="348"/>
      <c r="B3" s="349"/>
      <c r="C3" s="1017"/>
      <c r="D3" s="1281" t="str">
        <f ca="1">Taal04!$B$157</f>
        <v>De Deelnamecode</v>
      </c>
      <c r="E3" s="1281"/>
      <c r="F3" s="1281"/>
      <c r="G3" s="1030"/>
      <c r="H3" s="1030"/>
      <c r="I3" s="1030"/>
      <c r="J3" s="1030"/>
      <c r="K3" s="1030"/>
      <c r="L3" s="1030"/>
      <c r="M3" s="1030"/>
      <c r="N3" s="1030"/>
      <c r="O3" s="1029" t="str">
        <f ca="1">IF(Reglement!M3="","",Reglement!M3)</f>
        <v>EK2020: SV Marum jeugd JO7 t/m JO11</v>
      </c>
      <c r="P3" s="1020"/>
      <c r="Q3" s="349"/>
      <c r="R3" s="93"/>
      <c r="T3" s="1065"/>
      <c r="U3" s="1065"/>
      <c r="V3" s="1065"/>
      <c r="W3" s="1065"/>
      <c r="X3" s="1065"/>
    </row>
    <row r="4" spans="1:24" ht="15" customHeight="1" x14ac:dyDescent="0.3">
      <c r="A4" s="348"/>
      <c r="B4" s="349"/>
      <c r="C4" s="350"/>
      <c r="D4" s="350"/>
      <c r="E4" s="350"/>
      <c r="F4" s="350"/>
      <c r="G4" s="350"/>
      <c r="H4" s="350"/>
      <c r="I4" s="350"/>
      <c r="J4" s="350"/>
      <c r="K4" s="350"/>
      <c r="L4" s="350"/>
      <c r="M4" s="350"/>
      <c r="N4" s="350"/>
      <c r="O4" s="350"/>
      <c r="P4" s="350"/>
      <c r="Q4" s="349"/>
      <c r="R4" s="93"/>
      <c r="T4" s="1065"/>
      <c r="U4" s="1065"/>
      <c r="V4" s="1065"/>
      <c r="W4" s="1065"/>
      <c r="X4" s="1065"/>
    </row>
    <row r="5" spans="1:24" ht="15" customHeight="1" x14ac:dyDescent="0.3">
      <c r="A5" s="348"/>
      <c r="B5" s="349"/>
      <c r="C5" s="1017"/>
      <c r="D5" s="1028" t="str">
        <f ca="1">Taal04!$B$158</f>
        <v>Controle Onderdelen</v>
      </c>
      <c r="E5" s="1030"/>
      <c r="F5" s="1030"/>
      <c r="G5" s="1030"/>
      <c r="H5" s="1030"/>
      <c r="I5" s="1030"/>
      <c r="J5" s="1030"/>
      <c r="K5" s="1030"/>
      <c r="L5" s="1030"/>
      <c r="M5" s="1030"/>
      <c r="N5" s="1030"/>
      <c r="O5" s="1030"/>
      <c r="P5" s="1020"/>
      <c r="Q5" s="349"/>
      <c r="R5" s="93"/>
      <c r="S5" s="348"/>
    </row>
    <row r="6" spans="1:24" ht="15" customHeight="1" x14ac:dyDescent="0.3">
      <c r="A6" s="348"/>
      <c r="B6" s="349"/>
      <c r="C6" s="31"/>
      <c r="D6" s="1101"/>
      <c r="E6" s="1101"/>
      <c r="F6" s="1101"/>
      <c r="G6" s="1101"/>
      <c r="H6" s="1101"/>
      <c r="I6" s="1101"/>
      <c r="J6" s="1101"/>
      <c r="K6" s="1101"/>
      <c r="L6" s="1101"/>
      <c r="M6" s="1101"/>
      <c r="N6" s="1101"/>
      <c r="O6" s="1101"/>
      <c r="P6" s="33"/>
      <c r="Q6" s="349"/>
      <c r="R6" s="93"/>
      <c r="S6" s="348"/>
    </row>
    <row r="7" spans="1:24" ht="15" customHeight="1" x14ac:dyDescent="0.3">
      <c r="A7" s="348"/>
      <c r="B7" s="349"/>
      <c r="C7" s="131"/>
      <c r="D7" s="1282" t="str">
        <f t="shared" ref="D7:D29" ca="1" si="0">VLOOKUP(R7,$B$59:$D$106,3)</f>
        <v>Gegevens Deelnemer:</v>
      </c>
      <c r="E7" s="1282"/>
      <c r="F7" s="1282"/>
      <c r="G7" s="1282"/>
      <c r="H7" s="1282"/>
      <c r="I7" s="1282"/>
      <c r="J7" s="1282"/>
      <c r="K7" s="1282"/>
      <c r="L7" s="1282"/>
      <c r="M7" s="1282"/>
      <c r="N7" s="1282"/>
      <c r="O7" s="1282"/>
      <c r="P7" s="1283"/>
      <c r="Q7" s="349"/>
      <c r="R7" s="378">
        <f t="shared" ref="R7:R29" ca="1" si="1">IF($P$114=23,MID($S$114,(ROW()-7)*3+1,3)/10,99.9)</f>
        <v>10</v>
      </c>
      <c r="S7" s="348"/>
    </row>
    <row r="8" spans="1:24" ht="15" customHeight="1" x14ac:dyDescent="0.3">
      <c r="A8" s="348"/>
      <c r="B8" s="349"/>
      <c r="C8" s="131"/>
      <c r="D8" s="1282" t="str">
        <f t="shared" ca="1" si="0"/>
        <v>Het generen van de naamcode incluslief e-mailadres is niet mogelijk in verband met het ontbreken van</v>
      </c>
      <c r="E8" s="1282"/>
      <c r="F8" s="1282"/>
      <c r="G8" s="1282"/>
      <c r="H8" s="1282"/>
      <c r="I8" s="1282"/>
      <c r="J8" s="1282"/>
      <c r="K8" s="1282"/>
      <c r="L8" s="1282"/>
      <c r="M8" s="1282"/>
      <c r="N8" s="1282"/>
      <c r="O8" s="1282"/>
      <c r="P8" s="1283"/>
      <c r="Q8" s="349"/>
      <c r="R8" s="378">
        <f t="shared" ca="1" si="1"/>
        <v>11.1</v>
      </c>
      <c r="S8" s="348"/>
    </row>
    <row r="9" spans="1:24" ht="15" customHeight="1" x14ac:dyDescent="0.3">
      <c r="A9" s="348"/>
      <c r="B9" s="349"/>
      <c r="C9" s="131"/>
      <c r="D9" s="1282" t="str">
        <f t="shared" ca="1" si="0"/>
        <v>gegevens. Voer uw naam en e-mailadres in bovenaan het werkblad "Groepswedstrijden".</v>
      </c>
      <c r="E9" s="1282"/>
      <c r="F9" s="1282"/>
      <c r="G9" s="1282"/>
      <c r="H9" s="1282"/>
      <c r="I9" s="1282"/>
      <c r="J9" s="1282"/>
      <c r="K9" s="1282"/>
      <c r="L9" s="1282"/>
      <c r="M9" s="1282"/>
      <c r="N9" s="1282"/>
      <c r="O9" s="1282"/>
      <c r="P9" s="1283"/>
      <c r="Q9" s="349"/>
      <c r="R9" s="378">
        <f t="shared" ca="1" si="1"/>
        <v>11.2</v>
      </c>
      <c r="S9" s="348"/>
    </row>
    <row r="10" spans="1:24" ht="15" customHeight="1" x14ac:dyDescent="0.3">
      <c r="A10" s="348"/>
      <c r="B10" s="349"/>
      <c r="C10" s="131"/>
      <c r="D10" s="1282" t="str">
        <f t="shared" ca="1" si="0"/>
        <v>LEGE REGEL</v>
      </c>
      <c r="E10" s="1282"/>
      <c r="F10" s="1282"/>
      <c r="G10" s="1282"/>
      <c r="H10" s="1282"/>
      <c r="I10" s="1282"/>
      <c r="J10" s="1282"/>
      <c r="K10" s="1282"/>
      <c r="L10" s="1282"/>
      <c r="M10" s="1282"/>
      <c r="N10" s="1282"/>
      <c r="O10" s="1282"/>
      <c r="P10" s="1283"/>
      <c r="Q10" s="349"/>
      <c r="R10" s="378">
        <f t="shared" ca="1" si="1"/>
        <v>99.9</v>
      </c>
      <c r="S10" s="348"/>
    </row>
    <row r="11" spans="1:24" ht="15" customHeight="1" x14ac:dyDescent="0.3">
      <c r="A11" s="348"/>
      <c r="B11" s="349"/>
      <c r="C11" s="131"/>
      <c r="D11" s="1282" t="str">
        <f t="shared" ca="1" si="0"/>
        <v>Voorspellingen Groepswedstrijden:</v>
      </c>
      <c r="E11" s="1282"/>
      <c r="F11" s="1282"/>
      <c r="G11" s="1282"/>
      <c r="H11" s="1282"/>
      <c r="I11" s="1282"/>
      <c r="J11" s="1282"/>
      <c r="K11" s="1282"/>
      <c r="L11" s="1282"/>
      <c r="M11" s="1282"/>
      <c r="N11" s="1282"/>
      <c r="O11" s="1282"/>
      <c r="P11" s="1283"/>
      <c r="Q11" s="349"/>
      <c r="R11" s="378">
        <f t="shared" ca="1" si="1"/>
        <v>20</v>
      </c>
      <c r="S11" s="348"/>
    </row>
    <row r="12" spans="1:24" ht="15" customHeight="1" x14ac:dyDescent="0.3">
      <c r="A12" s="348"/>
      <c r="B12" s="349"/>
      <c r="C12" s="131"/>
      <c r="D12" s="1282" t="str">
        <f t="shared" ca="1" si="0"/>
        <v>Het genereren van de deelnamecode voor de groepswedstrijden is niet mogelijk in verband met het ontbreken</v>
      </c>
      <c r="E12" s="1282"/>
      <c r="F12" s="1282"/>
      <c r="G12" s="1282"/>
      <c r="H12" s="1282"/>
      <c r="I12" s="1282"/>
      <c r="J12" s="1282"/>
      <c r="K12" s="1282"/>
      <c r="L12" s="1282"/>
      <c r="M12" s="1282"/>
      <c r="N12" s="1282"/>
      <c r="O12" s="1282"/>
      <c r="P12" s="1283"/>
      <c r="Q12" s="349"/>
      <c r="R12" s="378">
        <f t="shared" ca="1" si="1"/>
        <v>21.1</v>
      </c>
      <c r="S12" s="348"/>
    </row>
    <row r="13" spans="1:24" ht="15" customHeight="1" x14ac:dyDescent="0.3">
      <c r="A13" s="348"/>
      <c r="B13" s="349"/>
      <c r="C13" s="131"/>
      <c r="D13" s="1282" t="str">
        <f t="shared" ca="1" si="0"/>
        <v>van gegevens. Controleer of alle velden zijn ingevuld op het werkblad "Groepswedstrijden".</v>
      </c>
      <c r="E13" s="1282"/>
      <c r="F13" s="1282"/>
      <c r="G13" s="1282"/>
      <c r="H13" s="1282"/>
      <c r="I13" s="1282"/>
      <c r="J13" s="1282"/>
      <c r="K13" s="1282"/>
      <c r="L13" s="1282"/>
      <c r="M13" s="1282"/>
      <c r="N13" s="1282"/>
      <c r="O13" s="1282"/>
      <c r="P13" s="1283"/>
      <c r="Q13" s="349"/>
      <c r="R13" s="378">
        <f t="shared" ca="1" si="1"/>
        <v>21.2</v>
      </c>
      <c r="S13" s="348"/>
    </row>
    <row r="14" spans="1:24" ht="15" customHeight="1" x14ac:dyDescent="0.3">
      <c r="A14" s="348"/>
      <c r="B14" s="349"/>
      <c r="C14" s="131"/>
      <c r="D14" s="1282" t="str">
        <f t="shared" ca="1" si="0"/>
        <v>LEGE REGEL</v>
      </c>
      <c r="E14" s="1282"/>
      <c r="F14" s="1282"/>
      <c r="G14" s="1282"/>
      <c r="H14" s="1282"/>
      <c r="I14" s="1282"/>
      <c r="J14" s="1282"/>
      <c r="K14" s="1282"/>
      <c r="L14" s="1282"/>
      <c r="M14" s="1282"/>
      <c r="N14" s="1282"/>
      <c r="O14" s="1282"/>
      <c r="P14" s="1283"/>
      <c r="Q14" s="349"/>
      <c r="R14" s="378">
        <f t="shared" ca="1" si="1"/>
        <v>99.9</v>
      </c>
      <c r="S14" s="348"/>
    </row>
    <row r="15" spans="1:24" ht="15" customHeight="1" x14ac:dyDescent="0.3">
      <c r="A15" s="348"/>
      <c r="B15" s="349"/>
      <c r="C15" s="131"/>
      <c r="D15" s="1282" t="str">
        <f t="shared" ca="1" si="0"/>
        <v>Voorspellingen Eindstand in de Groep:</v>
      </c>
      <c r="E15" s="1282"/>
      <c r="F15" s="1282"/>
      <c r="G15" s="1282"/>
      <c r="H15" s="1282"/>
      <c r="I15" s="1282"/>
      <c r="J15" s="1282"/>
      <c r="K15" s="1282"/>
      <c r="L15" s="1282"/>
      <c r="M15" s="1282"/>
      <c r="N15" s="1282"/>
      <c r="O15" s="1282"/>
      <c r="P15" s="1283"/>
      <c r="Q15" s="349"/>
      <c r="R15" s="378">
        <f t="shared" ca="1" si="1"/>
        <v>25</v>
      </c>
      <c r="S15" s="348"/>
    </row>
    <row r="16" spans="1:24" ht="15" customHeight="1" x14ac:dyDescent="0.3">
      <c r="A16" s="348"/>
      <c r="B16" s="349"/>
      <c r="C16" s="131"/>
      <c r="D16" s="1282" t="str">
        <f t="shared" ca="1" si="0"/>
        <v>Het genereren van de deelnamecode voor de eindstand in de groep is niet mogelijk in verband met het</v>
      </c>
      <c r="E16" s="1282"/>
      <c r="F16" s="1282"/>
      <c r="G16" s="1282"/>
      <c r="H16" s="1282"/>
      <c r="I16" s="1282"/>
      <c r="J16" s="1282"/>
      <c r="K16" s="1282"/>
      <c r="L16" s="1282"/>
      <c r="M16" s="1282"/>
      <c r="N16" s="1282"/>
      <c r="O16" s="1282"/>
      <c r="P16" s="1283"/>
      <c r="Q16" s="349"/>
      <c r="R16" s="378">
        <f t="shared" ca="1" si="1"/>
        <v>26.1</v>
      </c>
      <c r="S16" s="348"/>
    </row>
    <row r="17" spans="1:19" ht="15" customHeight="1" x14ac:dyDescent="0.3">
      <c r="A17" s="348"/>
      <c r="B17" s="349"/>
      <c r="C17" s="131"/>
      <c r="D17" s="1282" t="str">
        <f t="shared" ca="1" si="0"/>
        <v>ontbreken van gegevens. Controleer of alle velden zijn ingevuld op het werkblad "Eindstand Groep".</v>
      </c>
      <c r="E17" s="1282"/>
      <c r="F17" s="1282"/>
      <c r="G17" s="1282"/>
      <c r="H17" s="1282"/>
      <c r="I17" s="1282"/>
      <c r="J17" s="1282"/>
      <c r="K17" s="1282"/>
      <c r="L17" s="1282"/>
      <c r="M17" s="1282"/>
      <c r="N17" s="1282"/>
      <c r="O17" s="1282"/>
      <c r="P17" s="1283"/>
      <c r="Q17" s="349"/>
      <c r="R17" s="378">
        <f t="shared" ca="1" si="1"/>
        <v>26.2</v>
      </c>
      <c r="S17" s="348"/>
    </row>
    <row r="18" spans="1:19" ht="15" customHeight="1" x14ac:dyDescent="0.3">
      <c r="A18" s="348"/>
      <c r="B18" s="349"/>
      <c r="C18" s="131"/>
      <c r="D18" s="1282" t="str">
        <f t="shared" ca="1" si="0"/>
        <v>LEGE REGEL</v>
      </c>
      <c r="E18" s="1282"/>
      <c r="F18" s="1282"/>
      <c r="G18" s="1282"/>
      <c r="H18" s="1282"/>
      <c r="I18" s="1282"/>
      <c r="J18" s="1282"/>
      <c r="K18" s="1282"/>
      <c r="L18" s="1282"/>
      <c r="M18" s="1282"/>
      <c r="N18" s="1282"/>
      <c r="O18" s="1282"/>
      <c r="P18" s="1283"/>
      <c r="Q18" s="349"/>
      <c r="R18" s="378">
        <f t="shared" ca="1" si="1"/>
        <v>99.9</v>
      </c>
      <c r="S18" s="348"/>
    </row>
    <row r="19" spans="1:19" ht="15" customHeight="1" x14ac:dyDescent="0.3">
      <c r="A19" s="348"/>
      <c r="B19" s="349"/>
      <c r="C19" s="131"/>
      <c r="D19" s="1282" t="str">
        <f t="shared" ca="1" si="0"/>
        <v>Voorspellingen Finalewedstrijden:</v>
      </c>
      <c r="E19" s="1282"/>
      <c r="F19" s="1282"/>
      <c r="G19" s="1282"/>
      <c r="H19" s="1282"/>
      <c r="I19" s="1282"/>
      <c r="J19" s="1282"/>
      <c r="K19" s="1282"/>
      <c r="L19" s="1282"/>
      <c r="M19" s="1282"/>
      <c r="N19" s="1282"/>
      <c r="O19" s="1282"/>
      <c r="P19" s="1283"/>
      <c r="Q19" s="349"/>
      <c r="R19" s="378">
        <f t="shared" ca="1" si="1"/>
        <v>30</v>
      </c>
      <c r="S19" s="348"/>
    </row>
    <row r="20" spans="1:19" ht="15" customHeight="1" x14ac:dyDescent="0.3">
      <c r="A20" s="348"/>
      <c r="B20" s="349"/>
      <c r="C20" s="131"/>
      <c r="D20" s="1282" t="str">
        <f t="shared" ca="1" si="0"/>
        <v>Het genereren van de deelnamecode voor de finalewedstrijden is niet mogelijk in verband met het ontbreken</v>
      </c>
      <c r="E20" s="1282"/>
      <c r="F20" s="1282"/>
      <c r="G20" s="1282"/>
      <c r="H20" s="1282"/>
      <c r="I20" s="1282"/>
      <c r="J20" s="1282"/>
      <c r="K20" s="1282"/>
      <c r="L20" s="1282"/>
      <c r="M20" s="1282"/>
      <c r="N20" s="1282"/>
      <c r="O20" s="1282"/>
      <c r="P20" s="1283"/>
      <c r="Q20" s="349"/>
      <c r="R20" s="378">
        <f t="shared" ca="1" si="1"/>
        <v>31.1</v>
      </c>
      <c r="S20" s="348"/>
    </row>
    <row r="21" spans="1:19" ht="15" customHeight="1" x14ac:dyDescent="0.3">
      <c r="A21" s="348"/>
      <c r="B21" s="349"/>
      <c r="C21" s="131"/>
      <c r="D21" s="1282" t="str">
        <f t="shared" ca="1" si="0"/>
        <v>van gegevens. Controleer of alle velden zijn ingevuld op het werkblad "Finalewedstrijden".</v>
      </c>
      <c r="E21" s="1282"/>
      <c r="F21" s="1282"/>
      <c r="G21" s="1282"/>
      <c r="H21" s="1282"/>
      <c r="I21" s="1282"/>
      <c r="J21" s="1282"/>
      <c r="K21" s="1282"/>
      <c r="L21" s="1282"/>
      <c r="M21" s="1282"/>
      <c r="N21" s="1282"/>
      <c r="O21" s="1282"/>
      <c r="P21" s="1283"/>
      <c r="Q21" s="349"/>
      <c r="R21" s="378">
        <f t="shared" ca="1" si="1"/>
        <v>31.2</v>
      </c>
      <c r="S21" s="348"/>
    </row>
    <row r="22" spans="1:19" ht="15" customHeight="1" x14ac:dyDescent="0.3">
      <c r="A22" s="348"/>
      <c r="B22" s="349"/>
      <c r="C22" s="363"/>
      <c r="D22" s="1282" t="str">
        <f t="shared" ca="1" si="0"/>
        <v>LEGE REGEL</v>
      </c>
      <c r="E22" s="1282"/>
      <c r="F22" s="1282"/>
      <c r="G22" s="1282"/>
      <c r="H22" s="1282"/>
      <c r="I22" s="1282"/>
      <c r="J22" s="1282"/>
      <c r="K22" s="1282"/>
      <c r="L22" s="1282"/>
      <c r="M22" s="1282"/>
      <c r="N22" s="1282"/>
      <c r="O22" s="1282"/>
      <c r="P22" s="1283"/>
      <c r="Q22" s="349"/>
      <c r="R22" s="378">
        <f t="shared" ca="1" si="1"/>
        <v>99.9</v>
      </c>
      <c r="S22" s="348"/>
    </row>
    <row r="23" spans="1:19" ht="15" customHeight="1" x14ac:dyDescent="0.3">
      <c r="A23" s="348"/>
      <c r="B23" s="349"/>
      <c r="C23" s="363"/>
      <c r="D23" s="1282" t="str">
        <f t="shared" ca="1" si="0"/>
        <v>Voorspelling Winnaar EK2020:</v>
      </c>
      <c r="E23" s="1282"/>
      <c r="F23" s="1282"/>
      <c r="G23" s="1282"/>
      <c r="H23" s="1282"/>
      <c r="I23" s="1282"/>
      <c r="J23" s="1282"/>
      <c r="K23" s="1282"/>
      <c r="L23" s="1282"/>
      <c r="M23" s="1282"/>
      <c r="N23" s="1282"/>
      <c r="O23" s="1282"/>
      <c r="P23" s="1283"/>
      <c r="Q23" s="349"/>
      <c r="R23" s="378">
        <f t="shared" ca="1" si="1"/>
        <v>40</v>
      </c>
      <c r="S23" s="348"/>
    </row>
    <row r="24" spans="1:19" ht="15" customHeight="1" x14ac:dyDescent="0.3">
      <c r="A24" s="348"/>
      <c r="B24" s="349"/>
      <c r="C24" s="363"/>
      <c r="D24" s="1282" t="str">
        <f t="shared" ca="1" si="0"/>
        <v>Het genereren van de deelnamecode voor de winnaar van het EK is niet mogelijk in verband met het ontbreken</v>
      </c>
      <c r="E24" s="1282"/>
      <c r="F24" s="1282"/>
      <c r="G24" s="1282"/>
      <c r="H24" s="1282"/>
      <c r="I24" s="1282"/>
      <c r="J24" s="1282"/>
      <c r="K24" s="1282"/>
      <c r="L24" s="1282"/>
      <c r="M24" s="1282"/>
      <c r="N24" s="1282"/>
      <c r="O24" s="1282"/>
      <c r="P24" s="1283"/>
      <c r="Q24" s="349"/>
      <c r="R24" s="378">
        <f t="shared" ca="1" si="1"/>
        <v>41.1</v>
      </c>
      <c r="S24" s="348"/>
    </row>
    <row r="25" spans="1:19" ht="15" customHeight="1" x14ac:dyDescent="0.3">
      <c r="A25" s="348"/>
      <c r="B25" s="349"/>
      <c r="C25" s="363"/>
      <c r="D25" s="1282" t="str">
        <f t="shared" ca="1" si="0"/>
        <v>van gegevens. Voorspel een winnaar van het EK op het werkblad "Finalewedstrijden".</v>
      </c>
      <c r="E25" s="1282"/>
      <c r="F25" s="1282"/>
      <c r="G25" s="1282"/>
      <c r="H25" s="1282"/>
      <c r="I25" s="1282"/>
      <c r="J25" s="1282"/>
      <c r="K25" s="1282"/>
      <c r="L25" s="1282"/>
      <c r="M25" s="1282"/>
      <c r="N25" s="1282"/>
      <c r="O25" s="1282"/>
      <c r="P25" s="1283"/>
      <c r="Q25" s="349"/>
      <c r="R25" s="378">
        <f t="shared" ca="1" si="1"/>
        <v>41.2</v>
      </c>
      <c r="S25" s="348"/>
    </row>
    <row r="26" spans="1:19" ht="15" customHeight="1" x14ac:dyDescent="0.3">
      <c r="A26" s="348"/>
      <c r="B26" s="349"/>
      <c r="C26" s="363"/>
      <c r="D26" s="1282" t="str">
        <f t="shared" ca="1" si="0"/>
        <v>LEGE REGEL</v>
      </c>
      <c r="E26" s="1282"/>
      <c r="F26" s="1282"/>
      <c r="G26" s="1282"/>
      <c r="H26" s="1282"/>
      <c r="I26" s="1282"/>
      <c r="J26" s="1282"/>
      <c r="K26" s="1282"/>
      <c r="L26" s="1282"/>
      <c r="M26" s="1282"/>
      <c r="N26" s="1282"/>
      <c r="O26" s="1282"/>
      <c r="P26" s="1283"/>
      <c r="Q26" s="349"/>
      <c r="R26" s="378">
        <f t="shared" ca="1" si="1"/>
        <v>99.9</v>
      </c>
      <c r="S26" s="348"/>
    </row>
    <row r="27" spans="1:19" ht="15" customHeight="1" x14ac:dyDescent="0.3">
      <c r="A27" s="348"/>
      <c r="B27" s="349"/>
      <c r="C27" s="363"/>
      <c r="D27" s="1282" t="str">
        <f t="shared" ca="1" si="0"/>
        <v>LEGE REGEL</v>
      </c>
      <c r="E27" s="1282"/>
      <c r="F27" s="1282"/>
      <c r="G27" s="1282"/>
      <c r="H27" s="1282"/>
      <c r="I27" s="1282"/>
      <c r="J27" s="1282"/>
      <c r="K27" s="1282"/>
      <c r="L27" s="1282"/>
      <c r="M27" s="1282"/>
      <c r="N27" s="1282"/>
      <c r="O27" s="1282"/>
      <c r="P27" s="1283"/>
      <c r="Q27" s="349"/>
      <c r="R27" s="378">
        <f t="shared" ca="1" si="1"/>
        <v>99.9</v>
      </c>
      <c r="S27" s="348"/>
    </row>
    <row r="28" spans="1:19" ht="15" customHeight="1" x14ac:dyDescent="0.3">
      <c r="A28" s="348"/>
      <c r="B28" s="349"/>
      <c r="C28" s="363"/>
      <c r="D28" s="1282" t="str">
        <f t="shared" ca="1" si="0"/>
        <v>LEGE REGEL</v>
      </c>
      <c r="E28" s="1282"/>
      <c r="F28" s="1282"/>
      <c r="G28" s="1282"/>
      <c r="H28" s="1282"/>
      <c r="I28" s="1282"/>
      <c r="J28" s="1282"/>
      <c r="K28" s="1282"/>
      <c r="L28" s="1282"/>
      <c r="M28" s="1282"/>
      <c r="N28" s="1282"/>
      <c r="O28" s="1282"/>
      <c r="P28" s="1283"/>
      <c r="Q28" s="349"/>
      <c r="R28" s="378">
        <f t="shared" ca="1" si="1"/>
        <v>99.9</v>
      </c>
      <c r="S28" s="348"/>
    </row>
    <row r="29" spans="1:19" ht="15" customHeight="1" x14ac:dyDescent="0.3">
      <c r="A29" s="348"/>
      <c r="B29" s="349"/>
      <c r="C29" s="637"/>
      <c r="D29" s="1282" t="str">
        <f t="shared" ca="1" si="0"/>
        <v>LEGE REGEL</v>
      </c>
      <c r="E29" s="1282"/>
      <c r="F29" s="1282"/>
      <c r="G29" s="1282"/>
      <c r="H29" s="1282"/>
      <c r="I29" s="1282"/>
      <c r="J29" s="1282"/>
      <c r="K29" s="1282"/>
      <c r="L29" s="1282"/>
      <c r="M29" s="1282"/>
      <c r="N29" s="1282"/>
      <c r="O29" s="1282"/>
      <c r="P29" s="1283"/>
      <c r="Q29" s="349"/>
      <c r="R29" s="378">
        <f t="shared" ca="1" si="1"/>
        <v>99.9</v>
      </c>
      <c r="S29" s="348"/>
    </row>
    <row r="30" spans="1:19" s="462" customFormat="1" ht="15" customHeight="1" x14ac:dyDescent="0.3">
      <c r="A30" s="348"/>
      <c r="B30" s="349"/>
      <c r="C30" s="638"/>
      <c r="D30" s="644"/>
      <c r="E30" s="644"/>
      <c r="F30" s="644"/>
      <c r="G30" s="644"/>
      <c r="H30" s="644"/>
      <c r="I30" s="644"/>
      <c r="J30" s="644"/>
      <c r="K30" s="644"/>
      <c r="L30" s="644"/>
      <c r="M30" s="644"/>
      <c r="N30" s="644"/>
      <c r="O30" s="644"/>
      <c r="P30" s="645"/>
      <c r="Q30" s="349"/>
      <c r="R30" s="93"/>
      <c r="S30" s="348"/>
    </row>
    <row r="31" spans="1:19" ht="15" customHeight="1" x14ac:dyDescent="0.3">
      <c r="A31" s="348"/>
      <c r="B31" s="349"/>
      <c r="C31" s="24"/>
      <c r="D31" s="24"/>
      <c r="E31" s="24"/>
      <c r="F31" s="24"/>
      <c r="G31" s="24"/>
      <c r="H31" s="24"/>
      <c r="I31" s="24"/>
      <c r="J31" s="24"/>
      <c r="K31" s="24"/>
      <c r="L31" s="24"/>
      <c r="M31" s="24"/>
      <c r="N31" s="24"/>
      <c r="O31" s="24"/>
      <c r="P31" s="24"/>
      <c r="Q31" s="349"/>
      <c r="R31" s="93"/>
      <c r="S31" s="348"/>
    </row>
    <row r="32" spans="1:19" ht="15" customHeight="1" x14ac:dyDescent="0.3">
      <c r="A32" s="348"/>
      <c r="B32" s="349"/>
      <c r="C32" s="1017"/>
      <c r="D32" s="1028" t="str">
        <f ca="1">Taal04!$B$157</f>
        <v>De Deelnamecode</v>
      </c>
      <c r="E32" s="1018"/>
      <c r="F32" s="1018"/>
      <c r="G32" s="1018"/>
      <c r="H32" s="1018"/>
      <c r="I32" s="1018"/>
      <c r="J32" s="1018"/>
      <c r="K32" s="1018"/>
      <c r="L32" s="1018"/>
      <c r="M32" s="1018"/>
      <c r="N32" s="1018"/>
      <c r="O32" s="1018"/>
      <c r="P32" s="1020"/>
      <c r="Q32" s="349"/>
      <c r="R32" s="93"/>
      <c r="S32" s="348"/>
    </row>
    <row r="33" spans="1:34" ht="15" customHeight="1" x14ac:dyDescent="0.3">
      <c r="A33" s="348"/>
      <c r="B33" s="349"/>
      <c r="C33" s="27"/>
      <c r="D33" s="74"/>
      <c r="E33" s="74"/>
      <c r="F33" s="74"/>
      <c r="G33" s="74"/>
      <c r="H33" s="74"/>
      <c r="I33" s="74"/>
      <c r="J33" s="74"/>
      <c r="K33" s="74"/>
      <c r="L33" s="74"/>
      <c r="M33" s="74"/>
      <c r="N33" s="74"/>
      <c r="O33" s="74"/>
      <c r="P33" s="28"/>
      <c r="Q33" s="349"/>
      <c r="R33" s="93"/>
      <c r="S33" s="348"/>
    </row>
    <row r="34" spans="1:34" ht="15" customHeight="1" x14ac:dyDescent="0.3">
      <c r="A34" s="348"/>
      <c r="B34" s="349"/>
      <c r="C34" s="29"/>
      <c r="D34" s="57" t="str">
        <f ca="1">Taal04!$B$219</f>
        <v>In het onderstaande veld zal uw deelnamecode gegenereerd worden als alle velden volledig en goed zijn ingevuld.</v>
      </c>
      <c r="E34" s="57"/>
      <c r="F34" s="57"/>
      <c r="G34" s="57"/>
      <c r="H34" s="57"/>
      <c r="I34" s="57"/>
      <c r="J34" s="57"/>
      <c r="K34" s="57"/>
      <c r="L34" s="57"/>
      <c r="M34" s="57"/>
      <c r="N34" s="57"/>
      <c r="O34" s="57"/>
      <c r="P34" s="30"/>
      <c r="Q34" s="349"/>
      <c r="R34" s="93"/>
      <c r="S34" s="348"/>
    </row>
    <row r="35" spans="1:34" ht="15" customHeight="1" x14ac:dyDescent="0.3">
      <c r="A35" s="348"/>
      <c r="B35" s="349"/>
      <c r="C35" s="29"/>
      <c r="D35" s="57"/>
      <c r="E35" s="57"/>
      <c r="F35" s="57"/>
      <c r="G35" s="57"/>
      <c r="H35" s="57"/>
      <c r="I35" s="57"/>
      <c r="J35" s="57"/>
      <c r="K35" s="57"/>
      <c r="L35" s="57"/>
      <c r="M35" s="57"/>
      <c r="N35" s="57"/>
      <c r="O35" s="57"/>
      <c r="P35" s="30"/>
      <c r="Q35" s="349"/>
      <c r="R35" s="93"/>
      <c r="S35" s="348"/>
    </row>
    <row r="36" spans="1:34" ht="15" customHeight="1" x14ac:dyDescent="0.3">
      <c r="A36" s="348"/>
      <c r="B36" s="349"/>
      <c r="C36" s="29"/>
      <c r="D36" s="1005"/>
      <c r="E36" s="1210" t="str">
        <f ca="1">IF(OR(F123=1,AF123=3),AB118,IF(X118=0,R119,IF(K116=1,B124,B118&amp;B119&amp;B120&amp;H120&amp;B121&amp;H121&amp;B122&amp;H122&amp;I120&amp;M120&amp;I121&amp;M121&amp;I122&amp;M122&amp;IF(AF123=0,"BETA",""))))</f>
        <v>De deelnamecode kan niet worden gegenereerd door het ontbreken van gegevens of foutieve waarden. Het gaat om de volgende onderdelen: Gegevens Deelnemer, Voorspellingen Groepswedstrijden, Voorspellingen Eindstand in de Groep, Voorspellingen Finalewedstrijden, Voorspelling Winnaar EK2020.</v>
      </c>
      <c r="F36" s="1210"/>
      <c r="G36" s="1210"/>
      <c r="H36" s="1210"/>
      <c r="I36" s="1210"/>
      <c r="J36" s="1210"/>
      <c r="K36" s="1210"/>
      <c r="L36" s="1210"/>
      <c r="M36" s="1210"/>
      <c r="N36" s="1210"/>
      <c r="O36" s="1006"/>
      <c r="P36" s="30"/>
      <c r="Q36" s="349"/>
      <c r="R36" s="93"/>
      <c r="S36" s="348"/>
    </row>
    <row r="37" spans="1:34" ht="15" customHeight="1" x14ac:dyDescent="0.3">
      <c r="A37" s="348"/>
      <c r="B37" s="349"/>
      <c r="C37" s="29"/>
      <c r="D37" s="1007"/>
      <c r="E37" s="1213"/>
      <c r="F37" s="1213"/>
      <c r="G37" s="1213"/>
      <c r="H37" s="1213"/>
      <c r="I37" s="1213"/>
      <c r="J37" s="1213"/>
      <c r="K37" s="1213"/>
      <c r="L37" s="1213"/>
      <c r="M37" s="1213"/>
      <c r="N37" s="1213"/>
      <c r="O37" s="1008"/>
      <c r="P37" s="30"/>
      <c r="Q37" s="349"/>
      <c r="R37" s="93"/>
      <c r="S37" s="348"/>
    </row>
    <row r="38" spans="1:34" ht="15" customHeight="1" x14ac:dyDescent="0.3">
      <c r="A38" s="348"/>
      <c r="B38" s="349"/>
      <c r="C38" s="29"/>
      <c r="D38" s="1007"/>
      <c r="E38" s="1213"/>
      <c r="F38" s="1213"/>
      <c r="G38" s="1213"/>
      <c r="H38" s="1213"/>
      <c r="I38" s="1213"/>
      <c r="J38" s="1213"/>
      <c r="K38" s="1213"/>
      <c r="L38" s="1213"/>
      <c r="M38" s="1213"/>
      <c r="N38" s="1213"/>
      <c r="O38" s="1008"/>
      <c r="P38" s="30"/>
      <c r="Q38" s="349"/>
      <c r="R38" s="93"/>
      <c r="S38" s="348"/>
    </row>
    <row r="39" spans="1:34" ht="15" customHeight="1" x14ac:dyDescent="0.3">
      <c r="A39" s="348"/>
      <c r="B39" s="349"/>
      <c r="C39" s="29"/>
      <c r="D39" s="1007"/>
      <c r="E39" s="1213"/>
      <c r="F39" s="1213"/>
      <c r="G39" s="1213"/>
      <c r="H39" s="1213"/>
      <c r="I39" s="1213"/>
      <c r="J39" s="1213"/>
      <c r="K39" s="1213"/>
      <c r="L39" s="1213"/>
      <c r="M39" s="1213"/>
      <c r="N39" s="1213"/>
      <c r="O39" s="1008"/>
      <c r="P39" s="30"/>
      <c r="Q39" s="349"/>
      <c r="R39" s="93"/>
      <c r="S39" s="348"/>
    </row>
    <row r="40" spans="1:34" ht="15" customHeight="1" x14ac:dyDescent="0.3">
      <c r="A40" s="348"/>
      <c r="B40" s="349"/>
      <c r="C40" s="29"/>
      <c r="D40" s="1007"/>
      <c r="E40" s="1213"/>
      <c r="F40" s="1213"/>
      <c r="G40" s="1213"/>
      <c r="H40" s="1213"/>
      <c r="I40" s="1213"/>
      <c r="J40" s="1213"/>
      <c r="K40" s="1213"/>
      <c r="L40" s="1213"/>
      <c r="M40" s="1213"/>
      <c r="N40" s="1213"/>
      <c r="O40" s="1008"/>
      <c r="P40" s="30"/>
      <c r="Q40" s="349"/>
      <c r="R40" s="93"/>
      <c r="S40" s="348"/>
    </row>
    <row r="41" spans="1:34" ht="15" customHeight="1" x14ac:dyDescent="0.3">
      <c r="A41" s="348"/>
      <c r="B41" s="349"/>
      <c r="C41" s="29"/>
      <c r="D41" s="1009"/>
      <c r="E41" s="1216"/>
      <c r="F41" s="1216"/>
      <c r="G41" s="1216"/>
      <c r="H41" s="1216"/>
      <c r="I41" s="1216"/>
      <c r="J41" s="1216"/>
      <c r="K41" s="1216"/>
      <c r="L41" s="1216"/>
      <c r="M41" s="1216"/>
      <c r="N41" s="1216"/>
      <c r="O41" s="1010"/>
      <c r="P41" s="30"/>
      <c r="Q41" s="349"/>
      <c r="R41" s="93"/>
      <c r="S41" s="348"/>
    </row>
    <row r="42" spans="1:34" ht="15" customHeight="1" x14ac:dyDescent="0.3">
      <c r="A42" s="348"/>
      <c r="B42" s="349"/>
      <c r="C42" s="39"/>
      <c r="D42" s="75"/>
      <c r="E42" s="75"/>
      <c r="F42" s="75"/>
      <c r="G42" s="75"/>
      <c r="H42" s="75"/>
      <c r="I42" s="75"/>
      <c r="J42" s="75"/>
      <c r="K42" s="75"/>
      <c r="L42" s="75"/>
      <c r="M42" s="75"/>
      <c r="N42" s="75"/>
      <c r="O42" s="75"/>
      <c r="P42" s="40"/>
      <c r="Q42" s="349"/>
      <c r="R42" s="93"/>
      <c r="S42" s="348"/>
    </row>
    <row r="43" spans="1:34" ht="15" customHeight="1" x14ac:dyDescent="0.3">
      <c r="A43" s="348"/>
      <c r="B43" s="349"/>
      <c r="C43" s="350"/>
      <c r="D43" s="350"/>
      <c r="E43" s="350"/>
      <c r="F43" s="350"/>
      <c r="G43" s="350"/>
      <c r="H43" s="350"/>
      <c r="I43" s="350"/>
      <c r="J43" s="350"/>
      <c r="K43" s="350"/>
      <c r="L43" s="350"/>
      <c r="M43" s="350"/>
      <c r="N43" s="350"/>
      <c r="O43" s="350"/>
      <c r="P43" s="350"/>
      <c r="Q43" s="349"/>
      <c r="R43" s="93"/>
      <c r="S43" s="348"/>
    </row>
    <row r="44" spans="1:34" ht="15" customHeight="1" x14ac:dyDescent="0.3">
      <c r="A44" s="348"/>
      <c r="B44" s="349"/>
      <c r="C44" s="1017"/>
      <c r="D44" s="1287" t="str">
        <f>IF(Reglement!D71="","",Reglement!D71)</f>
        <v>www.excel-pool.nl</v>
      </c>
      <c r="E44" s="1287"/>
      <c r="F44" s="1287"/>
      <c r="G44" s="1287"/>
      <c r="H44" s="1287"/>
      <c r="I44" s="1287"/>
      <c r="J44" s="1031"/>
      <c r="K44" s="1031"/>
      <c r="L44" s="1031"/>
      <c r="M44" s="1031"/>
      <c r="N44" s="1031"/>
      <c r="O44" s="1022" t="str">
        <f>IF(Reglement!M71="","",Reglement!M71)</f>
        <v>©2021 Eric de Jong v20.00dj</v>
      </c>
      <c r="P44" s="1020"/>
      <c r="Q44" s="349"/>
      <c r="R44" s="93"/>
      <c r="S44" s="348"/>
    </row>
    <row r="45" spans="1:34" ht="15" customHeight="1" x14ac:dyDescent="0.3">
      <c r="A45" s="348"/>
      <c r="B45" s="349"/>
      <c r="C45" s="32"/>
      <c r="D45" s="32"/>
      <c r="E45" s="32"/>
      <c r="F45" s="32"/>
      <c r="G45" s="32"/>
      <c r="H45" s="32"/>
      <c r="I45" s="32"/>
      <c r="J45" s="32"/>
      <c r="K45" s="32"/>
      <c r="L45" s="32"/>
      <c r="M45" s="32"/>
      <c r="N45" s="32"/>
      <c r="O45" s="32"/>
      <c r="P45" s="32"/>
      <c r="Q45" s="349"/>
      <c r="R45" s="93"/>
      <c r="S45" s="348"/>
    </row>
    <row r="46" spans="1:34" x14ac:dyDescent="0.3">
      <c r="A46" s="348"/>
      <c r="B46" s="1107"/>
      <c r="C46" s="1107"/>
      <c r="D46" s="1107"/>
      <c r="E46" s="1107"/>
      <c r="F46" s="1107"/>
      <c r="G46" s="1107"/>
      <c r="H46" s="1107"/>
      <c r="I46" s="1107"/>
      <c r="J46" s="1107"/>
      <c r="K46" s="1107"/>
      <c r="L46" s="1107"/>
      <c r="M46" s="1107"/>
      <c r="N46" s="1107"/>
      <c r="O46" s="1107"/>
      <c r="P46" s="1107"/>
      <c r="Q46" s="1107"/>
      <c r="S46" s="348"/>
    </row>
    <row r="47" spans="1:34" hidden="1" x14ac:dyDescent="0.3">
      <c r="A47" s="348"/>
      <c r="B47" s="352"/>
      <c r="C47" s="353" t="s">
        <v>302</v>
      </c>
      <c r="D47" s="352"/>
      <c r="E47" s="352"/>
      <c r="F47" s="352"/>
      <c r="G47" s="352"/>
      <c r="H47" s="352"/>
      <c r="I47" s="352"/>
      <c r="J47" s="352"/>
      <c r="K47" s="352"/>
      <c r="L47" s="352"/>
      <c r="M47" s="352"/>
      <c r="N47" s="352"/>
      <c r="O47" s="352"/>
      <c r="P47" s="352"/>
      <c r="Q47" s="352"/>
      <c r="R47" s="352"/>
      <c r="S47" s="351"/>
      <c r="T47" s="351"/>
      <c r="U47" s="351"/>
      <c r="V47" s="351"/>
      <c r="W47" s="351"/>
      <c r="X47" s="351"/>
      <c r="Y47" s="351"/>
      <c r="Z47" s="351"/>
      <c r="AA47" s="351"/>
      <c r="AB47" s="351"/>
      <c r="AC47" s="351"/>
      <c r="AD47" s="351"/>
      <c r="AE47" s="351"/>
      <c r="AF47" s="351"/>
      <c r="AG47" s="351"/>
      <c r="AH47" s="351"/>
    </row>
    <row r="48" spans="1:34" hidden="1" x14ac:dyDescent="0.3">
      <c r="A48" s="348"/>
      <c r="B48" s="352"/>
      <c r="C48" s="358" t="s">
        <v>303</v>
      </c>
      <c r="D48" s="352"/>
      <c r="E48" s="352"/>
      <c r="F48" s="352"/>
      <c r="G48" s="352"/>
      <c r="H48" s="356" t="str">
        <f>LEFT(RIGHT(O44,2),1)</f>
        <v>d</v>
      </c>
      <c r="I48" s="352"/>
      <c r="J48" s="352"/>
      <c r="K48" s="352"/>
      <c r="L48" s="352"/>
      <c r="M48" s="352"/>
      <c r="N48" s="376" t="s">
        <v>326</v>
      </c>
      <c r="O48" s="1299" t="s">
        <v>64</v>
      </c>
      <c r="P48" s="1299"/>
      <c r="Q48" s="1299"/>
      <c r="R48" s="352"/>
      <c r="S48" s="351"/>
      <c r="T48" s="1307" t="s">
        <v>503</v>
      </c>
      <c r="U48" s="989"/>
      <c r="V48" s="989"/>
      <c r="W48" s="989"/>
      <c r="X48" s="989"/>
      <c r="Y48" s="989"/>
      <c r="Z48" s="989"/>
      <c r="AA48" s="989"/>
      <c r="AB48" s="989"/>
      <c r="AC48" s="989"/>
      <c r="AD48" s="989"/>
      <c r="AE48" s="989"/>
      <c r="AF48" s="989"/>
      <c r="AG48" s="989"/>
      <c r="AH48" s="351"/>
    </row>
    <row r="49" spans="1:34" hidden="1" x14ac:dyDescent="0.3">
      <c r="A49" s="348"/>
      <c r="B49" s="352"/>
      <c r="C49" s="358" t="s">
        <v>309</v>
      </c>
      <c r="D49" s="352"/>
      <c r="E49" s="352"/>
      <c r="F49" s="352"/>
      <c r="G49" s="352"/>
      <c r="H49" s="356" t="str">
        <f>IF(CODE($H$48)&lt;104,"JA","NEE")</f>
        <v>JA</v>
      </c>
      <c r="I49" s="352"/>
      <c r="J49" s="358" t="s">
        <v>310</v>
      </c>
      <c r="K49" s="352"/>
      <c r="L49" s="352"/>
      <c r="M49" s="352"/>
      <c r="N49" s="356" t="str">
        <f>IF(AND(H49="JA",H50="JA"),"G1e",IF(AND(H49="NEE",H50="JA"),"G2e","n.v.t."))</f>
        <v>G1e</v>
      </c>
      <c r="O49" s="1300" t="str">
        <f ca="1">IF(N49="G1e",Groepswedstrijden!AD16,IF(N49="G2e",#REF!,"n.v.t."))</f>
        <v>FOUT</v>
      </c>
      <c r="P49" s="1300"/>
      <c r="Q49" s="1300"/>
      <c r="R49" s="352"/>
      <c r="S49" s="351"/>
      <c r="T49" s="1307"/>
      <c r="U49" s="992" t="s">
        <v>1364</v>
      </c>
      <c r="V49" s="989"/>
      <c r="W49" s="989"/>
      <c r="X49" s="989"/>
      <c r="Y49" s="989"/>
      <c r="Z49" s="1293" t="s">
        <v>1362</v>
      </c>
      <c r="AA49" s="1294"/>
      <c r="AB49" s="1294"/>
      <c r="AC49" s="1294"/>
      <c r="AD49" s="1293" t="s">
        <v>1363</v>
      </c>
      <c r="AE49" s="1294"/>
      <c r="AF49" s="1295"/>
      <c r="AG49" s="989"/>
      <c r="AH49" s="351"/>
    </row>
    <row r="50" spans="1:34" hidden="1" x14ac:dyDescent="0.3">
      <c r="A50" s="348"/>
      <c r="B50" s="351"/>
      <c r="C50" s="357" t="s">
        <v>304</v>
      </c>
      <c r="D50" s="351"/>
      <c r="E50" s="351"/>
      <c r="F50" s="351"/>
      <c r="G50" s="351"/>
      <c r="H50" s="356" t="str">
        <f>IF(CODE($H$48)&lt;108,"JA","NEE")</f>
        <v>JA</v>
      </c>
      <c r="I50" s="351"/>
      <c r="J50" s="358" t="s">
        <v>311</v>
      </c>
      <c r="K50" s="352"/>
      <c r="L50" s="352"/>
      <c r="M50" s="352"/>
      <c r="N50" s="356" t="str">
        <f>IF(H51="JA","E1e","n.v.t.")</f>
        <v>E1e</v>
      </c>
      <c r="O50" s="1300" t="str">
        <f>IF(N50="E1e",'Eindstand Groep'!AA59,"n.v.t.")</f>
        <v>FOUT</v>
      </c>
      <c r="P50" s="1300"/>
      <c r="Q50" s="1300"/>
      <c r="R50" s="351"/>
      <c r="S50" s="351"/>
      <c r="T50" s="1307"/>
      <c r="U50" s="989"/>
      <c r="V50" s="989"/>
      <c r="W50" s="989"/>
      <c r="X50" s="989"/>
      <c r="Y50" s="989"/>
      <c r="Z50" s="993" t="s">
        <v>1359</v>
      </c>
      <c r="AA50" s="996" t="s">
        <v>1360</v>
      </c>
      <c r="AB50" s="994" t="s">
        <v>1361</v>
      </c>
      <c r="AC50" s="996" t="s">
        <v>370</v>
      </c>
      <c r="AD50" s="994" t="s">
        <v>1359</v>
      </c>
      <c r="AE50" s="996" t="s">
        <v>1360</v>
      </c>
      <c r="AF50" s="995" t="s">
        <v>1361</v>
      </c>
      <c r="AG50" s="989"/>
      <c r="AH50" s="351"/>
    </row>
    <row r="51" spans="1:34" hidden="1" x14ac:dyDescent="0.3">
      <c r="A51" s="348"/>
      <c r="B51" s="351"/>
      <c r="C51" s="357" t="s">
        <v>305</v>
      </c>
      <c r="D51" s="351"/>
      <c r="E51" s="351"/>
      <c r="F51" s="351"/>
      <c r="G51" s="351"/>
      <c r="H51" s="356" t="str">
        <f>IF(ISEVEN(CODE($H$48)),"JA","NEE")</f>
        <v>JA</v>
      </c>
      <c r="I51" s="351"/>
      <c r="J51" s="358" t="s">
        <v>312</v>
      </c>
      <c r="K51" s="352"/>
      <c r="L51" s="351"/>
      <c r="M51" s="351"/>
      <c r="N51" s="356" t="str">
        <f>IF(AND(H52="JA",H53="JA",H54="JA"),"F1e",IF(AND(H52="NEE",H53="JA",H54="JA"),"F2e",IF(AND(H52="NEE",H53="NEE",H54="JA"),"F3e","n.v.t.")))</f>
        <v>F1e</v>
      </c>
      <c r="O51" s="1300" t="str">
        <f>IF(N51="F1e",Finalewedstrijden!AP71,IF(N51="F2e",#REF!,IF(N51="F3e",#REF!,"n.v.t.")))</f>
        <v>FOUT</v>
      </c>
      <c r="P51" s="1300"/>
      <c r="Q51" s="1300"/>
      <c r="R51" s="351"/>
      <c r="S51" s="351"/>
      <c r="T51" s="1307"/>
      <c r="U51" s="990" t="s">
        <v>1356</v>
      </c>
      <c r="V51" s="990"/>
      <c r="W51" s="990"/>
      <c r="X51" s="991" t="s">
        <v>67</v>
      </c>
      <c r="Y51" s="904">
        <v>6</v>
      </c>
      <c r="Z51" s="997">
        <f>Y51*12</f>
        <v>72</v>
      </c>
      <c r="AA51" s="998" t="s">
        <v>12</v>
      </c>
      <c r="AB51" s="999" t="s">
        <v>12</v>
      </c>
      <c r="AC51" s="998">
        <f>Y51*4</f>
        <v>24</v>
      </c>
      <c r="AD51" s="999">
        <f>Y51*4</f>
        <v>24</v>
      </c>
      <c r="AE51" s="998" t="s">
        <v>12</v>
      </c>
      <c r="AF51" s="1000" t="s">
        <v>12</v>
      </c>
      <c r="AG51" s="989"/>
      <c r="AH51" s="351"/>
    </row>
    <row r="52" spans="1:34" hidden="1" x14ac:dyDescent="0.3">
      <c r="A52" s="348"/>
      <c r="B52" s="351"/>
      <c r="C52" s="357" t="s">
        <v>306</v>
      </c>
      <c r="D52" s="357"/>
      <c r="E52" s="351"/>
      <c r="F52" s="351"/>
      <c r="G52" s="351"/>
      <c r="H52" s="356" t="str">
        <f>IF(OR(CODE($H$48)=100,CODE($H$48)=101),"JA","NEE")</f>
        <v>JA</v>
      </c>
      <c r="I52" s="351"/>
      <c r="J52" s="351"/>
      <c r="K52" s="352"/>
      <c r="L52" s="351"/>
      <c r="M52" s="351"/>
      <c r="N52" s="377" t="s">
        <v>327</v>
      </c>
      <c r="O52" s="1301" t="str">
        <f ca="1">IF(N50="E1e",IF(AND(O49="GOED",O50="GOED",O51="GOED"),"JA",IF(AND(O49="GOED",O51="GOED"),"JA","NEE")))</f>
        <v>NEE</v>
      </c>
      <c r="P52" s="1301"/>
      <c r="Q52" s="1301"/>
      <c r="R52" s="351"/>
      <c r="S52" s="351"/>
      <c r="T52" s="1307"/>
      <c r="U52" s="990" t="s">
        <v>1355</v>
      </c>
      <c r="V52" s="990"/>
      <c r="W52" s="990"/>
      <c r="X52" s="991" t="s">
        <v>67</v>
      </c>
      <c r="Y52" s="945">
        <f>Y51*4</f>
        <v>24</v>
      </c>
      <c r="Z52" s="997" t="s">
        <v>12</v>
      </c>
      <c r="AA52" s="998" t="s">
        <v>12</v>
      </c>
      <c r="AB52" s="999" t="s">
        <v>12</v>
      </c>
      <c r="AC52" s="998" t="s">
        <v>12</v>
      </c>
      <c r="AD52" s="999" t="s">
        <v>12</v>
      </c>
      <c r="AE52" s="998" t="s">
        <v>12</v>
      </c>
      <c r="AF52" s="1000" t="s">
        <v>12</v>
      </c>
      <c r="AG52" s="989"/>
      <c r="AH52" s="351"/>
    </row>
    <row r="53" spans="1:34" hidden="1" x14ac:dyDescent="0.3">
      <c r="A53" s="348"/>
      <c r="B53" s="351"/>
      <c r="C53" s="357" t="s">
        <v>307</v>
      </c>
      <c r="D53" s="357"/>
      <c r="E53" s="351"/>
      <c r="F53" s="351"/>
      <c r="G53" s="351"/>
      <c r="H53" s="356" t="str">
        <f>IF(OR(CODE($H$48)=100,CODE($H$48)=101,CODE($H$48)=104,CODE($H$48)=105),"JA","NEE")</f>
        <v>JA</v>
      </c>
      <c r="I53" s="351"/>
      <c r="J53" s="351"/>
      <c r="K53" s="352"/>
      <c r="L53" s="351"/>
      <c r="M53" s="351"/>
      <c r="N53" s="351"/>
      <c r="O53" s="351"/>
      <c r="P53" s="351"/>
      <c r="Q53" s="351"/>
      <c r="R53" s="351"/>
      <c r="S53" s="351"/>
      <c r="T53" s="1307"/>
      <c r="U53" s="990" t="s">
        <v>1357</v>
      </c>
      <c r="V53" s="990"/>
      <c r="W53" s="990"/>
      <c r="X53" s="991" t="s">
        <v>67</v>
      </c>
      <c r="Y53" s="945">
        <f>Y51*6</f>
        <v>36</v>
      </c>
      <c r="Z53" s="997">
        <f>Y53*3+1</f>
        <v>109</v>
      </c>
      <c r="AA53" s="998">
        <f>Y53*2+1</f>
        <v>73</v>
      </c>
      <c r="AB53" s="999" t="s">
        <v>12</v>
      </c>
      <c r="AC53" s="998">
        <f>Y53*4+1</f>
        <v>145</v>
      </c>
      <c r="AD53" s="999">
        <f>Y53*2</f>
        <v>72</v>
      </c>
      <c r="AE53" s="998">
        <f>Y53</f>
        <v>36</v>
      </c>
      <c r="AF53" s="1000" t="s">
        <v>12</v>
      </c>
      <c r="AG53" s="989"/>
      <c r="AH53" s="351"/>
    </row>
    <row r="54" spans="1:34" hidden="1" x14ac:dyDescent="0.3">
      <c r="A54" s="348"/>
      <c r="B54" s="351"/>
      <c r="C54" s="357" t="s">
        <v>308</v>
      </c>
      <c r="D54" s="357"/>
      <c r="E54" s="351"/>
      <c r="F54" s="351"/>
      <c r="G54" s="351"/>
      <c r="H54" s="356" t="str">
        <f>IF(CODE($H$48)&lt;108,"JA","NEE")</f>
        <v>JA</v>
      </c>
      <c r="I54" s="351"/>
      <c r="J54" s="351"/>
      <c r="K54" s="352"/>
      <c r="L54" s="351"/>
      <c r="M54" s="351"/>
      <c r="N54" s="351"/>
      <c r="O54" s="351"/>
      <c r="P54" s="354"/>
      <c r="Q54" s="351"/>
      <c r="R54" s="351"/>
      <c r="S54" s="351"/>
      <c r="T54" s="1307"/>
      <c r="U54" s="990" t="s">
        <v>1358</v>
      </c>
      <c r="V54" s="990"/>
      <c r="W54" s="990"/>
      <c r="X54" s="991" t="s">
        <v>67</v>
      </c>
      <c r="Y54" s="945">
        <f>IF(Y51=6,15,16)</f>
        <v>15</v>
      </c>
      <c r="Z54" s="1001">
        <f>Y54*7</f>
        <v>105</v>
      </c>
      <c r="AA54" s="1002">
        <f>Y54*6</f>
        <v>90</v>
      </c>
      <c r="AB54" s="1003">
        <f>Y54*5</f>
        <v>75</v>
      </c>
      <c r="AC54" s="1002">
        <f>Y54*4</f>
        <v>60</v>
      </c>
      <c r="AD54" s="1003">
        <f>Y54*4</f>
        <v>60</v>
      </c>
      <c r="AE54" s="1002">
        <f>Y54*3</f>
        <v>45</v>
      </c>
      <c r="AF54" s="1004">
        <f>Y54*2</f>
        <v>30</v>
      </c>
      <c r="AG54" s="989"/>
      <c r="AH54" s="351"/>
    </row>
    <row r="55" spans="1:34" hidden="1" x14ac:dyDescent="0.3">
      <c r="A55" s="348"/>
      <c r="B55" s="351"/>
      <c r="C55" s="357" t="s">
        <v>100</v>
      </c>
      <c r="D55" s="357"/>
      <c r="E55" s="351"/>
      <c r="F55" s="351"/>
      <c r="G55" s="404" t="str">
        <f>RIGHT(O44,1)</f>
        <v>j</v>
      </c>
      <c r="H55" s="356" t="str">
        <f>IF(CODE($G$55)&lt;104,"JA","NEE")</f>
        <v>NEE</v>
      </c>
      <c r="I55" s="351"/>
      <c r="J55" s="358" t="s">
        <v>382</v>
      </c>
      <c r="K55" s="352"/>
      <c r="L55" s="351"/>
      <c r="M55" s="351"/>
      <c r="N55" s="356" t="str">
        <f>IF(H55="JA","B1e","n.v.t.")</f>
        <v>n.v.t.</v>
      </c>
      <c r="O55" s="1300" t="str">
        <f>IF(N55="B1e",#REF!,"n.v.t.")</f>
        <v>n.v.t.</v>
      </c>
      <c r="P55" s="1300"/>
      <c r="Q55" s="1300"/>
      <c r="R55" s="351"/>
      <c r="S55" s="351"/>
      <c r="T55" s="1307"/>
      <c r="U55" s="989"/>
      <c r="V55" s="989"/>
      <c r="W55" s="989"/>
      <c r="X55" s="989"/>
      <c r="Y55" s="989"/>
      <c r="Z55" s="989"/>
      <c r="AA55" s="989"/>
      <c r="AB55" s="989"/>
      <c r="AC55" s="989"/>
      <c r="AD55" s="989"/>
      <c r="AE55" s="989"/>
      <c r="AF55" s="989"/>
      <c r="AG55" s="989"/>
      <c r="AH55" s="351"/>
    </row>
    <row r="56" spans="1:34" hidden="1" x14ac:dyDescent="0.3">
      <c r="A56" s="348"/>
      <c r="B56" s="351"/>
      <c r="C56" s="351"/>
      <c r="D56" s="351"/>
      <c r="E56" s="351"/>
      <c r="F56" s="351"/>
      <c r="G56" s="351"/>
      <c r="H56" s="355"/>
      <c r="I56" s="351"/>
      <c r="J56" s="351"/>
      <c r="K56" s="352"/>
      <c r="L56" s="351"/>
      <c r="M56" s="351"/>
      <c r="N56" s="351"/>
      <c r="O56" s="351"/>
      <c r="P56" s="355"/>
      <c r="Q56" s="351"/>
      <c r="R56" s="351"/>
      <c r="S56" s="351"/>
      <c r="T56" s="351"/>
      <c r="U56" s="351"/>
      <c r="V56" s="351"/>
      <c r="W56" s="351"/>
      <c r="X56" s="351"/>
      <c r="Y56" s="351"/>
      <c r="Z56" s="351"/>
      <c r="AA56" s="351"/>
      <c r="AB56" s="351"/>
      <c r="AC56" s="351"/>
      <c r="AD56" s="351"/>
      <c r="AE56" s="351"/>
      <c r="AF56" s="351"/>
      <c r="AG56" s="351"/>
      <c r="AH56" s="351"/>
    </row>
    <row r="57" spans="1:34" hidden="1" x14ac:dyDescent="0.3">
      <c r="B57" s="380"/>
      <c r="C57" s="380"/>
      <c r="D57" s="380"/>
      <c r="E57" s="380"/>
      <c r="F57" s="380"/>
      <c r="G57" s="380"/>
      <c r="H57" s="380"/>
      <c r="I57" s="380"/>
      <c r="J57" s="380"/>
      <c r="K57" s="380"/>
      <c r="L57" s="380"/>
      <c r="M57" s="380"/>
      <c r="N57" s="380"/>
      <c r="O57" s="93"/>
      <c r="P57" s="380"/>
      <c r="Q57" s="380"/>
      <c r="R57" s="380"/>
      <c r="S57" s="380"/>
      <c r="T57" s="381" t="s">
        <v>330</v>
      </c>
      <c r="U57" s="380"/>
      <c r="V57" s="380"/>
      <c r="W57" s="380"/>
      <c r="X57" s="380"/>
      <c r="Y57" s="380"/>
      <c r="Z57" s="380"/>
      <c r="AA57" s="380"/>
      <c r="AB57" s="380"/>
      <c r="AC57" s="380"/>
      <c r="AD57" s="381" t="s">
        <v>515</v>
      </c>
      <c r="AE57" s="380"/>
      <c r="AF57" s="380"/>
      <c r="AG57" s="380"/>
      <c r="AH57" s="380"/>
    </row>
    <row r="58" spans="1:34" hidden="1" x14ac:dyDescent="0.3">
      <c r="B58" s="380"/>
      <c r="C58" s="380"/>
      <c r="D58" s="380"/>
      <c r="E58" s="380"/>
      <c r="F58" s="380"/>
      <c r="G58" s="380"/>
      <c r="H58" s="380"/>
      <c r="I58" s="380"/>
      <c r="J58" s="380"/>
      <c r="K58" s="380"/>
      <c r="L58" s="380"/>
      <c r="M58" s="380"/>
      <c r="N58" s="380"/>
      <c r="O58" s="93"/>
      <c r="P58" s="380"/>
      <c r="Q58" s="380"/>
      <c r="R58" s="380"/>
      <c r="S58" s="382" t="s">
        <v>331</v>
      </c>
      <c r="T58" s="380" t="str">
        <f>IF($N$49="G1e",Groepswedstrijden!AA6,IF($N$49="G2e",#REF!,0))</f>
        <v>|0#</v>
      </c>
      <c r="U58" s="380"/>
      <c r="V58" s="380"/>
      <c r="W58" s="380"/>
      <c r="X58" s="380"/>
      <c r="Y58" s="380"/>
      <c r="Z58" s="383">
        <f>B59</f>
        <v>10</v>
      </c>
      <c r="AA58" s="380"/>
      <c r="AB58" s="380"/>
      <c r="AC58" s="382" t="s">
        <v>516</v>
      </c>
      <c r="AD58" s="380" t="str">
        <f>IF($N$49="G1e",Groepswedstrijden!AA88,IF($N$49="G2e",#REF!,0))</f>
        <v>|0#</v>
      </c>
      <c r="AE58" s="380"/>
      <c r="AF58" s="380"/>
      <c r="AG58" s="380"/>
      <c r="AH58" s="380"/>
    </row>
    <row r="59" spans="1:34" hidden="1" x14ac:dyDescent="0.3">
      <c r="B59" s="1286">
        <v>10</v>
      </c>
      <c r="C59" s="1286"/>
      <c r="D59" s="379" t="str">
        <f ca="1">Taal04!$B$160&amp;":"</f>
        <v>Gegevens Deelnemer:</v>
      </c>
      <c r="E59" s="380"/>
      <c r="F59" s="380"/>
      <c r="G59" s="380"/>
      <c r="H59" s="380"/>
      <c r="I59" s="380"/>
      <c r="J59" s="380"/>
      <c r="K59" s="380"/>
      <c r="L59" s="380"/>
      <c r="M59" s="380"/>
      <c r="N59" s="380"/>
      <c r="O59" s="93"/>
      <c r="P59" s="380"/>
      <c r="Q59" s="380"/>
      <c r="R59" s="380"/>
      <c r="S59" s="382" t="s">
        <v>332</v>
      </c>
      <c r="T59" s="97" t="str">
        <f>IF($N$49="G1e",Groepswedstrijden!AA7,IF($N$49="G2e",#REF!,0))</f>
        <v>LEEG</v>
      </c>
      <c r="U59" s="380"/>
      <c r="V59" s="380"/>
      <c r="W59" s="380"/>
      <c r="X59" s="380"/>
      <c r="Y59" s="380"/>
      <c r="Z59" s="383">
        <f>IF(AND(T62="GOED",AD62="GOED"),13,IF(AND(T62="GOED",AD62="LEEG",AD65="NEE"),13,IF(OR(T62="LEEG",AD62="LEEG"),11.1,12.1)))</f>
        <v>11.1</v>
      </c>
      <c r="AA59" s="380"/>
      <c r="AB59" s="380"/>
      <c r="AC59" s="382" t="s">
        <v>332</v>
      </c>
      <c r="AD59" s="621" t="str">
        <f>IF($N$49="G1e",Groepswedstrijden!AA89,IF($N$49="G2e",#REF!,0))</f>
        <v>LEEG</v>
      </c>
      <c r="AE59" s="380"/>
      <c r="AF59" s="380"/>
      <c r="AG59" s="380"/>
      <c r="AH59" s="380"/>
    </row>
    <row r="60" spans="1:34" hidden="1" x14ac:dyDescent="0.3">
      <c r="B60" s="1291">
        <v>11.1</v>
      </c>
      <c r="C60" s="1291"/>
      <c r="D60" s="944" t="str">
        <f ca="1">IF(AND($AD$64="JA",$AD$65="JA"),IF(AND($AF$64="LEEG",$AF$65="LEEG"),AB72,IF($AF$64="LEEG",AB68,AB70)),AB68)</f>
        <v>Het generen van de naamcode incluslief e-mailadres is niet mogelijk in verband met het ontbreken van</v>
      </c>
      <c r="E60" s="380"/>
      <c r="F60" s="380"/>
      <c r="G60" s="380"/>
      <c r="H60" s="380"/>
      <c r="I60" s="380"/>
      <c r="J60" s="380"/>
      <c r="K60" s="380"/>
      <c r="L60" s="380"/>
      <c r="M60" s="380"/>
      <c r="N60" s="380"/>
      <c r="O60" s="93"/>
      <c r="P60" s="380"/>
      <c r="Q60" s="380"/>
      <c r="R60" s="380"/>
      <c r="S60" s="382" t="s">
        <v>334</v>
      </c>
      <c r="T60" s="97" t="str">
        <f>IF(CODE(RIGHT(T58,1))=35,LEFT(RIGHT(T58,2),1),RIGHT(T58,2))</f>
        <v>0</v>
      </c>
      <c r="U60" s="380"/>
      <c r="V60" s="380"/>
      <c r="W60" s="380"/>
      <c r="X60" s="380"/>
      <c r="Y60" s="380"/>
      <c r="Z60" s="380">
        <f>IF(Z59-FLOOR(Z59,1)&gt;0,Z59+0.1,"")</f>
        <v>11.2</v>
      </c>
      <c r="AA60" s="380"/>
      <c r="AB60" s="380"/>
      <c r="AC60" s="382" t="s">
        <v>517</v>
      </c>
      <c r="AD60" s="621" t="str">
        <f>IF(CODE(RIGHT(AD58,1))=35,LEFT(RIGHT(AD58,2),1),RIGHT(AD58,2))</f>
        <v>0</v>
      </c>
      <c r="AE60" s="380"/>
      <c r="AF60" s="380"/>
      <c r="AG60" s="380"/>
      <c r="AH60" s="380"/>
    </row>
    <row r="61" spans="1:34" hidden="1" x14ac:dyDescent="0.3">
      <c r="B61" s="1291">
        <v>11.2</v>
      </c>
      <c r="C61" s="1291"/>
      <c r="D61" s="944" t="str">
        <f ca="1">IF(AND($AD$64="JA",$AD$65="JA"),IF(AND($AF$64="LEEG",$AF$65="LEEG"),AB73,IF($AF$64="LEEG",AB69,AB71)),AB69)</f>
        <v>gegevens. Voer uw naam en e-mailadres in bovenaan het werkblad "Groepswedstrijden".</v>
      </c>
      <c r="E61" s="380"/>
      <c r="F61" s="380"/>
      <c r="G61" s="380"/>
      <c r="H61" s="380"/>
      <c r="I61" s="380"/>
      <c r="J61" s="380"/>
      <c r="K61" s="380"/>
      <c r="L61" s="380"/>
      <c r="M61" s="380"/>
      <c r="N61" s="380"/>
      <c r="O61" s="93"/>
      <c r="P61" s="380"/>
      <c r="Q61" s="380"/>
      <c r="R61" s="380"/>
      <c r="S61" s="382" t="s">
        <v>335</v>
      </c>
      <c r="T61" s="97" t="str">
        <f>IF(T60*1=0,"LEEG",IF(T60*1&gt;32,"LANG",IF(LEN(T58)=T60*1+3,"GOED","FOUT")))</f>
        <v>LEEG</v>
      </c>
      <c r="U61" s="403" t="str">
        <f>T60+3&amp;" = goed / 0 = leeg"</f>
        <v>3 = goed / 0 = leeg</v>
      </c>
      <c r="V61" s="380"/>
      <c r="W61" s="380"/>
      <c r="X61" s="380"/>
      <c r="Y61" s="380"/>
      <c r="Z61" s="380"/>
      <c r="AA61" s="380"/>
      <c r="AB61" s="380"/>
      <c r="AC61" s="382" t="s">
        <v>335</v>
      </c>
      <c r="AD61" s="621" t="str">
        <f>IF(AD60*1=0,"LEEG",IF(AD60*1&gt;64,"LANG",IF(LEN(AD58)=AD60*1+3,"GOED","FOUT")))</f>
        <v>LEEG</v>
      </c>
      <c r="AE61" s="403" t="str">
        <f>AD60+3&amp;" = goed / 0 = leeg"</f>
        <v>3 = goed / 0 = leeg</v>
      </c>
      <c r="AF61" s="380"/>
      <c r="AG61" s="380"/>
      <c r="AH61" s="380"/>
    </row>
    <row r="62" spans="1:34" hidden="1" x14ac:dyDescent="0.3">
      <c r="B62" s="1291">
        <v>12.1</v>
      </c>
      <c r="C62" s="1291"/>
      <c r="D62" s="944" t="str">
        <f ca="1">IF(AND($AF$64="FOUT",$AF$65="FOUT"),AB80,IF($AF$64="FOUT",AB76,AB78))</f>
        <v>Bij het genereren van de naamcode is er een fout geconstateerd. Controleer uw e-mailadres bovenaan het</v>
      </c>
      <c r="E62" s="380"/>
      <c r="F62" s="380"/>
      <c r="G62" s="380"/>
      <c r="H62" s="380"/>
      <c r="I62" s="380"/>
      <c r="J62" s="380"/>
      <c r="K62" s="380"/>
      <c r="L62" s="380"/>
      <c r="M62" s="380"/>
      <c r="N62" s="380"/>
      <c r="O62" s="93"/>
      <c r="P62" s="380"/>
      <c r="Q62" s="380"/>
      <c r="R62" s="380"/>
      <c r="S62" s="382" t="s">
        <v>336</v>
      </c>
      <c r="T62" s="97" t="str">
        <f>IF(AND(T59="GOED",T61="GOED"),"GOED",IF(AND(T59="LEEG",T61="LEEG"),"LEEG","FOUT"))</f>
        <v>LEEG</v>
      </c>
      <c r="U62" s="380"/>
      <c r="V62" s="380"/>
      <c r="W62" s="380"/>
      <c r="X62" s="380"/>
      <c r="Y62" s="380"/>
      <c r="Z62" s="380"/>
      <c r="AA62" s="380"/>
      <c r="AB62" s="380"/>
      <c r="AC62" s="382" t="s">
        <v>336</v>
      </c>
      <c r="AD62" s="621" t="str">
        <f>IF(AND(AD59="GOED",AD61="GOED"),"GOED",IF(AND(OR(AD59="LEEG",AD59="OPTIE"),AD61="LEEG"),"LEEG","FOUT"))</f>
        <v>LEEG</v>
      </c>
      <c r="AE62" s="380"/>
      <c r="AF62" s="380"/>
      <c r="AG62" s="380"/>
      <c r="AH62" s="380"/>
    </row>
    <row r="63" spans="1:34" hidden="1" x14ac:dyDescent="0.3">
      <c r="B63" s="1291">
        <v>12.2</v>
      </c>
      <c r="C63" s="1291"/>
      <c r="D63" s="944" t="str">
        <f ca="1">IF(AND($AF$64="FOUT",$AF$65="FOUT"),AB81,IF($AF$64="FOUT",AB77,AB79))</f>
        <v>werkblad "Groepswedstrijden".</v>
      </c>
      <c r="E63" s="380"/>
      <c r="F63" s="380"/>
      <c r="G63" s="380"/>
      <c r="H63" s="380"/>
      <c r="I63" s="380"/>
      <c r="J63" s="380"/>
      <c r="K63" s="380"/>
      <c r="L63" s="380"/>
      <c r="M63" s="380"/>
      <c r="N63" s="380"/>
      <c r="O63" s="93"/>
      <c r="P63" s="384"/>
      <c r="Q63" s="384"/>
      <c r="R63" s="384"/>
      <c r="S63" s="385"/>
      <c r="T63" s="384"/>
      <c r="U63" s="384"/>
      <c r="V63" s="384"/>
      <c r="W63" s="384"/>
      <c r="X63" s="384"/>
      <c r="Y63" s="384"/>
      <c r="Z63" s="386">
        <f>B106</f>
        <v>99.9</v>
      </c>
      <c r="AA63" s="93"/>
      <c r="AB63" s="93"/>
      <c r="AC63" s="93"/>
      <c r="AD63" s="93"/>
      <c r="AE63" s="93"/>
      <c r="AF63" s="93"/>
      <c r="AG63" s="93"/>
      <c r="AH63" s="93"/>
    </row>
    <row r="64" spans="1:34" hidden="1" x14ac:dyDescent="0.3">
      <c r="B64" s="1291">
        <v>13</v>
      </c>
      <c r="C64" s="1291"/>
      <c r="D64" s="944" t="str">
        <f ca="1">IF(AND($AF$64="GOED",$AF$65="GOED"),AB85,AB84)</f>
        <v>De naamcode is zonder foutmeldingen gegenereerd.</v>
      </c>
      <c r="E64" s="380"/>
      <c r="F64" s="380"/>
      <c r="G64" s="380"/>
      <c r="H64" s="380"/>
      <c r="I64" s="380"/>
      <c r="J64" s="380"/>
      <c r="K64" s="380"/>
      <c r="L64" s="380"/>
      <c r="M64" s="380"/>
      <c r="N64" s="380"/>
      <c r="O64" s="1289" t="s">
        <v>503</v>
      </c>
      <c r="P64" s="380"/>
      <c r="Q64" s="380"/>
      <c r="R64" s="380"/>
      <c r="S64" s="380"/>
      <c r="T64" s="381" t="s">
        <v>338</v>
      </c>
      <c r="U64" s="380"/>
      <c r="V64" s="380"/>
      <c r="W64" s="380"/>
      <c r="X64" s="380"/>
      <c r="Y64" s="380"/>
      <c r="Z64" s="380"/>
      <c r="AA64" s="93"/>
      <c r="AB64" s="380"/>
      <c r="AC64" s="382" t="s">
        <v>518</v>
      </c>
      <c r="AD64" s="379" t="s">
        <v>63</v>
      </c>
      <c r="AE64" s="642" t="s">
        <v>386</v>
      </c>
      <c r="AF64" s="380" t="str">
        <f>T62</f>
        <v>LEEG</v>
      </c>
      <c r="AG64" s="640"/>
      <c r="AH64" s="640"/>
    </row>
    <row r="65" spans="2:34" hidden="1" x14ac:dyDescent="0.3">
      <c r="B65" s="1309"/>
      <c r="C65" s="1309"/>
      <c r="D65" s="640"/>
      <c r="E65" s="380"/>
      <c r="F65" s="380"/>
      <c r="G65" s="380"/>
      <c r="H65" s="380"/>
      <c r="I65" s="380"/>
      <c r="J65" s="380"/>
      <c r="K65" s="380"/>
      <c r="L65" s="380"/>
      <c r="M65" s="380"/>
      <c r="N65" s="380"/>
      <c r="O65" s="1289"/>
      <c r="P65" s="380"/>
      <c r="Q65" s="380"/>
      <c r="R65" s="380"/>
      <c r="S65" s="382" t="s">
        <v>340</v>
      </c>
      <c r="T65" s="380" t="str">
        <f ca="1">IF($N$49="G1e",Groepswedstrijden!Y11,IF($N$49="G2e",#REF!,0))</f>
        <v>|FOUTFOUTFOUTFOUTFOUTFOUTFOUTFOUTFOUTFOUTFOUTFOUTFOUTFOUTFOUTFOUTFOUTFOUTFOUTFOUTFOUTFOUTFOUTFOUTFOUTFOUTFOUTFOUTFOUTFOUTFOUTFOUTFOUTFOUTFOUTFOUT</v>
      </c>
      <c r="U65" s="380"/>
      <c r="V65" s="380"/>
      <c r="W65" s="380"/>
      <c r="X65" s="380"/>
      <c r="Y65" s="380"/>
      <c r="Z65" s="383">
        <v>20</v>
      </c>
      <c r="AA65" s="93"/>
      <c r="AB65" s="380"/>
      <c r="AC65" s="382" t="s">
        <v>512</v>
      </c>
      <c r="AD65" s="379" t="str">
        <f>IF(AND(Reglement!Q81=1,Reglement!H88="JA"),"JA","NEE")</f>
        <v>JA</v>
      </c>
      <c r="AE65" s="642" t="s">
        <v>386</v>
      </c>
      <c r="AF65" s="380" t="str">
        <f>IF(AND(AD65="NEE",AD62="LEEG"),"GOED",AD62)</f>
        <v>LEEG</v>
      </c>
      <c r="AG65" s="640"/>
      <c r="AH65" s="640"/>
    </row>
    <row r="66" spans="2:34" hidden="1" x14ac:dyDescent="0.3">
      <c r="B66" s="1286">
        <v>20</v>
      </c>
      <c r="C66" s="1286"/>
      <c r="D66" s="379" t="str">
        <f ca="1">Taal04!$B$176&amp;":"</f>
        <v>Voorspellingen Groepswedstrijden:</v>
      </c>
      <c r="E66" s="380"/>
      <c r="F66" s="380"/>
      <c r="G66" s="380"/>
      <c r="H66" s="380"/>
      <c r="I66" s="380"/>
      <c r="J66" s="380"/>
      <c r="K66" s="380"/>
      <c r="L66" s="380"/>
      <c r="M66" s="380"/>
      <c r="N66" s="380"/>
      <c r="O66" s="1289"/>
      <c r="P66" s="380"/>
      <c r="Q66" s="380"/>
      <c r="R66" s="380"/>
      <c r="S66" s="382" t="s">
        <v>332</v>
      </c>
      <c r="T66" s="97" t="str">
        <f ca="1">IF(LEN(T65)=LEN(SUBSTITUTE(T65,"FOUT","controleren")),"GOED","FOUT")</f>
        <v>FOUT</v>
      </c>
      <c r="U66" s="380"/>
      <c r="V66" s="380"/>
      <c r="W66" s="380"/>
      <c r="X66" s="380"/>
      <c r="Y66" s="380"/>
      <c r="Z66" s="383">
        <f ca="1">IF(T72="GOED",23,IF(T72="LEEG",21.1,IF(T72="FOUT",22.1,22.5)))</f>
        <v>21.1</v>
      </c>
      <c r="AA66" s="93"/>
      <c r="AB66" s="380"/>
      <c r="AC66" s="380"/>
      <c r="AD66" s="380"/>
      <c r="AE66" s="380"/>
      <c r="AF66" s="380"/>
      <c r="AG66" s="380"/>
      <c r="AH66" s="380"/>
    </row>
    <row r="67" spans="2:34" hidden="1" x14ac:dyDescent="0.3">
      <c r="B67" s="1284">
        <v>21.1</v>
      </c>
      <c r="C67" s="1284"/>
      <c r="D67" s="380" t="str">
        <f ca="1">Taal04!$B$177</f>
        <v>Het genereren van de deelnamecode voor de groepswedstrijden is niet mogelijk in verband met het ontbreken</v>
      </c>
      <c r="E67" s="380"/>
      <c r="F67" s="380"/>
      <c r="G67" s="380"/>
      <c r="H67" s="380"/>
      <c r="I67" s="380"/>
      <c r="J67" s="380"/>
      <c r="K67" s="380"/>
      <c r="L67" s="380"/>
      <c r="M67" s="380"/>
      <c r="N67" s="380"/>
      <c r="O67" s="1289"/>
      <c r="P67" s="380"/>
      <c r="Q67" s="380"/>
      <c r="R67" s="380"/>
      <c r="S67" s="382" t="s">
        <v>335</v>
      </c>
      <c r="T67" s="515" t="str">
        <f ca="1">IF($N$49="G1e",IF(LEN(T65)=$Z$53,"GOED",IF(LEN(T65)=$AC$53,"LEEG","FOUT")),IF($N$49="G2e",IF(LEN(T65)=$AA$53,"GOED",IF(LEN(T65)=$AC$53,"LEEG","FOUT")),"FOUT"))</f>
        <v>LEEG</v>
      </c>
      <c r="U67" s="516" t="str">
        <f>"G1e: "&amp;$Z$53&amp;" = goed / G2e: "&amp;$AA$53&amp;" = goed / "&amp;$AC$53&amp;" = leeg"</f>
        <v>G1e: 109 = goed / G2e: 73 = goed / 145 = leeg</v>
      </c>
      <c r="V67" s="380"/>
      <c r="W67" s="380"/>
      <c r="X67" s="380"/>
      <c r="Y67" s="380"/>
      <c r="Z67" s="380">
        <f ca="1">IF(Z66-FLOOR(Z66,1)&gt;0,Z66+0.1,"")</f>
        <v>21.200000000000003</v>
      </c>
      <c r="AA67" s="93"/>
      <c r="AB67" s="379" t="s">
        <v>540</v>
      </c>
      <c r="AC67" s="380"/>
      <c r="AD67" s="380"/>
      <c r="AE67" s="380"/>
      <c r="AF67" s="380"/>
      <c r="AG67" s="380"/>
      <c r="AH67" s="380"/>
    </row>
    <row r="68" spans="2:34" hidden="1" x14ac:dyDescent="0.3">
      <c r="B68" s="1284">
        <v>21.2</v>
      </c>
      <c r="C68" s="1284"/>
      <c r="D68" s="380" t="str">
        <f ca="1">Taal04!$B$178</f>
        <v>van gegevens. Controleer of alle velden zijn ingevuld op het werkblad "Groepswedstrijden".</v>
      </c>
      <c r="E68" s="380"/>
      <c r="F68" s="380"/>
      <c r="G68" s="380"/>
      <c r="H68" s="380"/>
      <c r="I68" s="380"/>
      <c r="J68" s="380"/>
      <c r="K68" s="380"/>
      <c r="L68" s="380"/>
      <c r="M68" s="380"/>
      <c r="N68" s="380"/>
      <c r="O68" s="1289"/>
      <c r="P68" s="380"/>
      <c r="Q68" s="380"/>
      <c r="R68" s="380"/>
      <c r="S68" s="382" t="s">
        <v>342</v>
      </c>
      <c r="T68" s="515">
        <f ca="1">IF($N$49="G1e",COUNTIF(Groepswedstrijden!Y25:AD60,"LEEG"),IF($N$49="G2e",COUNTIF(#REF!,"LEEG"),0))</f>
        <v>72</v>
      </c>
      <c r="U68" s="380"/>
      <c r="V68" s="380"/>
      <c r="W68" s="380"/>
      <c r="X68" s="380"/>
      <c r="Y68" s="380"/>
      <c r="Z68" s="380"/>
      <c r="AA68" s="93"/>
      <c r="AB68" s="641" t="str">
        <f ca="1">Taal04!$B$161</f>
        <v>Het generen van de naamcode is niet mogelijk in verband met het ontbreken van uw naam. Voer uw naam in</v>
      </c>
      <c r="AC68" s="380"/>
      <c r="AD68" s="380"/>
      <c r="AE68" s="380"/>
      <c r="AF68" s="380"/>
      <c r="AG68" s="380"/>
      <c r="AH68" s="380"/>
    </row>
    <row r="69" spans="2:34" hidden="1" x14ac:dyDescent="0.3">
      <c r="B69" s="1284">
        <v>22.1</v>
      </c>
      <c r="C69" s="1284"/>
      <c r="D69" s="380" t="str">
        <f ca="1">Taal04!$B$179</f>
        <v>Bij het genereren van de deelnamecode voor de groepswedstrijden is er een fout geconstateerd. Controleer uw</v>
      </c>
      <c r="E69" s="380"/>
      <c r="F69" s="380"/>
      <c r="G69" s="380"/>
      <c r="H69" s="380"/>
      <c r="I69" s="380"/>
      <c r="J69" s="380"/>
      <c r="K69" s="380"/>
      <c r="L69" s="380"/>
      <c r="M69" s="380"/>
      <c r="N69" s="380"/>
      <c r="O69" s="1289"/>
      <c r="P69" s="380"/>
      <c r="Q69" s="380"/>
      <c r="R69" s="380"/>
      <c r="S69" s="382" t="s">
        <v>344</v>
      </c>
      <c r="T69" s="515">
        <f ca="1">IF($N$49="G1e",COUNTIF(Groepswedstrijden!Y25:AD60,"HOOG"),IF($N$49="G2e",COUNTIF(#REF!,"HOOG"),0))</f>
        <v>0</v>
      </c>
      <c r="U69" s="380"/>
      <c r="V69" s="380"/>
      <c r="W69" s="380"/>
      <c r="X69" s="380"/>
      <c r="Y69" s="380"/>
      <c r="Z69" s="380"/>
      <c r="AA69" s="93"/>
      <c r="AB69" s="643" t="str">
        <f ca="1">Taal04!$B$162</f>
        <v>bovenaan het werkblad "Groepswedstrijden".</v>
      </c>
      <c r="AC69" s="380"/>
      <c r="AD69" s="380"/>
      <c r="AE69" s="380"/>
      <c r="AF69" s="380"/>
      <c r="AG69" s="380"/>
      <c r="AH69" s="380"/>
    </row>
    <row r="70" spans="2:34" hidden="1" x14ac:dyDescent="0.3">
      <c r="B70" s="1284">
        <v>22.2</v>
      </c>
      <c r="C70" s="1284"/>
      <c r="D70" s="380" t="str">
        <f ca="1">Taal04!$B$180</f>
        <v>invoer op het werkblad "Groepswedstrijden".</v>
      </c>
      <c r="E70" s="380"/>
      <c r="F70" s="380"/>
      <c r="G70" s="380"/>
      <c r="H70" s="380"/>
      <c r="I70" s="380"/>
      <c r="J70" s="380"/>
      <c r="K70" s="380"/>
      <c r="L70" s="380"/>
      <c r="M70" s="380"/>
      <c r="N70" s="380"/>
      <c r="O70" s="1289"/>
      <c r="P70" s="380"/>
      <c r="Q70" s="380"/>
      <c r="R70" s="380"/>
      <c r="S70" s="382" t="s">
        <v>345</v>
      </c>
      <c r="T70" s="515">
        <f ca="1">IF($N$49="G1e",COUNTIF(Groepswedstrijden!Y25:AD60,"ONGELDIG"),IF($N$49="G2e",COUNTIF(#REF!,"ONGELDIG"),0))</f>
        <v>0</v>
      </c>
      <c r="U70" s="380"/>
      <c r="V70" s="380"/>
      <c r="W70" s="380"/>
      <c r="X70" s="380"/>
      <c r="Y70" s="380"/>
      <c r="Z70" s="380"/>
      <c r="AA70" s="93"/>
      <c r="AB70" s="641" t="str">
        <f ca="1">Taal04!$B$163</f>
        <v>Het generen van de naamcode is niet mogelijk in verband met het ontbreken van uw e-mailadres. Voer uw</v>
      </c>
      <c r="AC70" s="380"/>
      <c r="AD70" s="380"/>
      <c r="AE70" s="380"/>
      <c r="AF70" s="380"/>
      <c r="AG70" s="380"/>
      <c r="AH70" s="380"/>
    </row>
    <row r="71" spans="2:34" hidden="1" x14ac:dyDescent="0.3">
      <c r="B71" s="1284">
        <v>22.5</v>
      </c>
      <c r="C71" s="1284"/>
      <c r="D71" s="380" t="str">
        <f ca="1">Taal04!$B$181</f>
        <v>Bij het genereren van de deelnamecode voor de groepswedstrijden zijn er fouten geconstateerd. Controleer uw</v>
      </c>
      <c r="E71" s="380"/>
      <c r="F71" s="380"/>
      <c r="G71" s="380"/>
      <c r="H71" s="380"/>
      <c r="I71" s="380"/>
      <c r="J71" s="380"/>
      <c r="K71" s="380"/>
      <c r="L71" s="380"/>
      <c r="M71" s="380"/>
      <c r="N71" s="380"/>
      <c r="O71" s="1289"/>
      <c r="P71" s="380"/>
      <c r="Q71" s="380"/>
      <c r="R71" s="380"/>
      <c r="S71" s="382" t="s">
        <v>346</v>
      </c>
      <c r="T71" s="515">
        <f ca="1">IF($N$49="G1e",COUNTIF(Groepswedstrijden!Y25:AD60,"GOED"),IF($N$49="G2e",COUNTIF(#REF!,"GOED"),0))</f>
        <v>0</v>
      </c>
      <c r="U71" s="516" t="str">
        <f>"G1e: "&amp;$AD$53&amp;" = goed / G2e: "&amp;$AE$53&amp;" = goed"</f>
        <v>G1e: 72 = goed / G2e: 36 = goed</v>
      </c>
      <c r="V71" s="380"/>
      <c r="W71" s="380"/>
      <c r="X71" s="380"/>
      <c r="Y71" s="380"/>
      <c r="Z71" s="380"/>
      <c r="AA71" s="93"/>
      <c r="AB71" s="643" t="str">
        <f ca="1">Taal04!$B$164</f>
        <v>e-mailadres in bovenaan het werkblad "Groepswedstrijden".</v>
      </c>
      <c r="AC71" s="380"/>
      <c r="AD71" s="380"/>
      <c r="AE71" s="380"/>
      <c r="AF71" s="380"/>
      <c r="AG71" s="380"/>
      <c r="AH71" s="380"/>
    </row>
    <row r="72" spans="2:34" hidden="1" x14ac:dyDescent="0.3">
      <c r="B72" s="1284">
        <v>22.6</v>
      </c>
      <c r="C72" s="1284"/>
      <c r="D72" s="380" t="str">
        <f ca="1">Taal04!$B$182</f>
        <v>invoer op het werkblad "Groepswedstrijden".</v>
      </c>
      <c r="E72" s="380"/>
      <c r="F72" s="380"/>
      <c r="G72" s="380"/>
      <c r="H72" s="380"/>
      <c r="I72" s="380"/>
      <c r="J72" s="380"/>
      <c r="K72" s="380"/>
      <c r="L72" s="380"/>
      <c r="M72" s="380"/>
      <c r="N72" s="380"/>
      <c r="O72" s="1289"/>
      <c r="P72" s="380"/>
      <c r="Q72" s="380"/>
      <c r="R72" s="380"/>
      <c r="S72" s="382" t="s">
        <v>336</v>
      </c>
      <c r="T72" s="515" t="str">
        <f ca="1">IF(AND(T66="GOED",T67="GOED",T68=0,T69=0,T70=0,IF($N$49="G1e",T71=$AD$53,IF($N$49="G2e",T71=$AE$53,0))),"GOED",IF(T68&gt;0,"LEEG",IF(T69+T70&lt;2,"FOUT","FOUTEN")))</f>
        <v>LEEG</v>
      </c>
      <c r="U72" s="380"/>
      <c r="V72" s="380"/>
      <c r="W72" s="380"/>
      <c r="X72" s="380"/>
      <c r="Y72" s="380"/>
      <c r="Z72" s="380"/>
      <c r="AA72" s="93"/>
      <c r="AB72" s="641" t="str">
        <f ca="1">Taal04!$B$165</f>
        <v>Het generen van de naamcode incluslief e-mailadres is niet mogelijk in verband met het ontbreken van</v>
      </c>
      <c r="AC72" s="380"/>
      <c r="AD72" s="380"/>
      <c r="AE72" s="380"/>
      <c r="AF72" s="380"/>
      <c r="AG72" s="380"/>
      <c r="AH72" s="380"/>
    </row>
    <row r="73" spans="2:34" hidden="1" x14ac:dyDescent="0.3">
      <c r="B73" s="1284">
        <v>23</v>
      </c>
      <c r="C73" s="1284"/>
      <c r="D73" s="380" t="str">
        <f ca="1">Taal04!$B$183</f>
        <v>De deelnamecode voor de groepswedstrijden is zonder foutmeldingen gegenereerd.</v>
      </c>
      <c r="E73" s="380"/>
      <c r="F73" s="380"/>
      <c r="G73" s="380"/>
      <c r="H73" s="380"/>
      <c r="I73" s="380"/>
      <c r="J73" s="380"/>
      <c r="K73" s="380"/>
      <c r="L73" s="380"/>
      <c r="M73" s="380"/>
      <c r="N73" s="380"/>
      <c r="O73" s="93"/>
      <c r="P73" s="384"/>
      <c r="Q73" s="384"/>
      <c r="R73" s="384"/>
      <c r="S73" s="385"/>
      <c r="T73" s="384"/>
      <c r="U73" s="384"/>
      <c r="V73" s="384"/>
      <c r="W73" s="384"/>
      <c r="X73" s="384"/>
      <c r="Y73" s="384"/>
      <c r="Z73" s="387">
        <f>Z63</f>
        <v>99.9</v>
      </c>
      <c r="AA73" s="93"/>
      <c r="AB73" s="643" t="str">
        <f ca="1">Taal04!$B$166</f>
        <v>gegevens. Voer uw naam en e-mailadres in bovenaan het werkblad "Groepswedstrijden".</v>
      </c>
      <c r="AC73" s="380"/>
      <c r="AD73" s="380"/>
      <c r="AE73" s="380"/>
      <c r="AF73" s="380"/>
      <c r="AG73" s="380"/>
      <c r="AH73" s="380"/>
    </row>
    <row r="74" spans="2:34" hidden="1" x14ac:dyDescent="0.3">
      <c r="B74" s="1286">
        <v>25</v>
      </c>
      <c r="C74" s="1286"/>
      <c r="D74" s="379" t="str">
        <f ca="1">Taal04!$B$185&amp;":"</f>
        <v>Voorspellingen Eindstand in de Groep:</v>
      </c>
      <c r="E74" s="380"/>
      <c r="F74" s="380"/>
      <c r="G74" s="380"/>
      <c r="H74" s="380"/>
      <c r="I74" s="380"/>
      <c r="J74" s="380"/>
      <c r="K74" s="380"/>
      <c r="L74" s="380"/>
      <c r="M74" s="380"/>
      <c r="N74" s="380"/>
      <c r="O74" s="1289" t="s">
        <v>503</v>
      </c>
      <c r="P74" s="380"/>
      <c r="Q74" s="380"/>
      <c r="R74" s="380"/>
      <c r="S74" s="380"/>
      <c r="T74" s="381" t="s">
        <v>347</v>
      </c>
      <c r="U74" s="380"/>
      <c r="V74" s="380"/>
      <c r="W74" s="380"/>
      <c r="X74" s="380"/>
      <c r="Y74" s="380"/>
      <c r="Z74" s="380"/>
      <c r="AA74" s="93"/>
      <c r="AB74" s="380"/>
      <c r="AC74" s="380"/>
      <c r="AD74" s="380"/>
      <c r="AE74" s="380"/>
      <c r="AF74" s="380"/>
      <c r="AG74" s="380"/>
      <c r="AH74" s="380"/>
    </row>
    <row r="75" spans="2:34" hidden="1" x14ac:dyDescent="0.3">
      <c r="B75" s="1284">
        <v>26.1</v>
      </c>
      <c r="C75" s="1284"/>
      <c r="D75" s="380" t="str">
        <f ca="1">Taal04!$B$186</f>
        <v>Het genereren van de deelnamecode voor de eindstand in de groep is niet mogelijk in verband met het</v>
      </c>
      <c r="E75" s="380"/>
      <c r="F75" s="380"/>
      <c r="G75" s="380"/>
      <c r="H75" s="380"/>
      <c r="I75" s="380"/>
      <c r="J75" s="380"/>
      <c r="K75" s="380"/>
      <c r="L75" s="380"/>
      <c r="M75" s="380"/>
      <c r="N75" s="380"/>
      <c r="O75" s="1289"/>
      <c r="P75" s="380"/>
      <c r="Q75" s="380"/>
      <c r="R75" s="380"/>
      <c r="S75" s="382" t="s">
        <v>348</v>
      </c>
      <c r="T75" s="388" t="str">
        <f>IF($N$50="E1e",'Eindstand Groep'!X57,0)</f>
        <v>FOUTFOUTFOUTFOUTFOUTFOUT</v>
      </c>
      <c r="U75" s="380"/>
      <c r="V75" s="380"/>
      <c r="W75" s="380"/>
      <c r="X75" s="380"/>
      <c r="Y75" s="380"/>
      <c r="Z75" s="383">
        <f>IF(T82="NVT","",25)</f>
        <v>25</v>
      </c>
      <c r="AA75" s="93"/>
      <c r="AB75" s="379" t="s">
        <v>541</v>
      </c>
      <c r="AC75" s="380"/>
      <c r="AD75" s="380"/>
      <c r="AE75" s="380"/>
      <c r="AF75" s="380"/>
      <c r="AG75" s="380"/>
      <c r="AH75" s="380"/>
    </row>
    <row r="76" spans="2:34" hidden="1" x14ac:dyDescent="0.3">
      <c r="B76" s="1284">
        <v>26.2</v>
      </c>
      <c r="C76" s="1284"/>
      <c r="D76" s="380" t="str">
        <f ca="1">Taal04!$B$187</f>
        <v>ontbreken van gegevens. Controleer of alle velden zijn ingevuld op het werkblad "Eindstand Groep".</v>
      </c>
      <c r="E76" s="380"/>
      <c r="F76" s="380"/>
      <c r="G76" s="380"/>
      <c r="H76" s="380"/>
      <c r="I76" s="380"/>
      <c r="J76" s="380"/>
      <c r="K76" s="380"/>
      <c r="L76" s="380"/>
      <c r="M76" s="380"/>
      <c r="N76" s="380"/>
      <c r="O76" s="1289"/>
      <c r="P76" s="380"/>
      <c r="Q76" s="380"/>
      <c r="R76" s="380"/>
      <c r="S76" s="382" t="s">
        <v>332</v>
      </c>
      <c r="T76" s="97" t="str">
        <f>IF(LEN(T75)=LEN(SUBSTITUTE(T75,"FOUT","controleren"))/2+LEN(SUBSTITUTE(T75,"ONGELDIG","controleren"))/2,"GOED","FOUT")</f>
        <v>FOUT</v>
      </c>
      <c r="U76" s="380"/>
      <c r="V76" s="380"/>
      <c r="W76" s="380"/>
      <c r="X76" s="380"/>
      <c r="Y76" s="380"/>
      <c r="Z76" s="383">
        <f>IF(T82="NVT","",IF(T82="GOED",28,IF(T82="LEEG",26.1,IF(T82="FOUT",27.1,27.5))))</f>
        <v>26.1</v>
      </c>
      <c r="AA76" s="93"/>
      <c r="AB76" s="641" t="str">
        <f ca="1">Taal04!$B$167</f>
        <v>Bij het genereren van de naamcode is er een fout geconstateerd. Controleer uw naam bovenaan het</v>
      </c>
      <c r="AC76" s="380"/>
      <c r="AD76" s="380"/>
      <c r="AE76" s="380"/>
      <c r="AF76" s="380"/>
      <c r="AG76" s="380"/>
      <c r="AH76" s="380"/>
    </row>
    <row r="77" spans="2:34" hidden="1" x14ac:dyDescent="0.3">
      <c r="B77" s="1284">
        <v>27.1</v>
      </c>
      <c r="C77" s="1284"/>
      <c r="D77" s="380" t="str">
        <f ca="1">Taal04!$B$188</f>
        <v>Bij het genereren van de deelnamecode voor de eindstand in de groep is er een fout geconstateerd.</v>
      </c>
      <c r="E77" s="380"/>
      <c r="F77" s="380"/>
      <c r="G77" s="380"/>
      <c r="H77" s="380"/>
      <c r="I77" s="380"/>
      <c r="J77" s="380"/>
      <c r="K77" s="380"/>
      <c r="L77" s="380"/>
      <c r="M77" s="380"/>
      <c r="N77" s="380"/>
      <c r="O77" s="1289"/>
      <c r="P77" s="380"/>
      <c r="Q77" s="380"/>
      <c r="R77" s="380"/>
      <c r="S77" s="382" t="s">
        <v>335</v>
      </c>
      <c r="T77" s="515" t="str">
        <f>IF(LEN(T75)=$Z$51,"GOED",IF(LEN(T75)=$AC$51,"LEEG","FOUT"))</f>
        <v>LEEG</v>
      </c>
      <c r="U77" s="516" t="str">
        <f>"E1e: "&amp;$Z$51&amp;" = goed / "&amp;$AD$51&amp;" = leeg"</f>
        <v>E1e: 72 = goed / 24 = leeg</v>
      </c>
      <c r="V77" s="380"/>
      <c r="W77" s="380"/>
      <c r="X77" s="380"/>
      <c r="Y77" s="380"/>
      <c r="Z77" s="380">
        <f>IF(T82="NVT","",IF(Z76-FLOOR(Z76,1)&gt;0,Z76+0.1,""))</f>
        <v>26.200000000000003</v>
      </c>
      <c r="AA77" s="93"/>
      <c r="AB77" s="643" t="str">
        <f ca="1">Taal04!$B$168</f>
        <v>werkblad "Groepswedstrijden".</v>
      </c>
      <c r="AC77" s="380"/>
      <c r="AD77" s="380"/>
      <c r="AE77" s="380"/>
      <c r="AF77" s="380"/>
      <c r="AG77" s="380"/>
      <c r="AH77" s="380"/>
    </row>
    <row r="78" spans="2:34" hidden="1" x14ac:dyDescent="0.3">
      <c r="B78" s="1284">
        <v>27.2</v>
      </c>
      <c r="C78" s="1284"/>
      <c r="D78" s="380" t="str">
        <f ca="1">Taal04!$B$189</f>
        <v>Controleer uw invoer op het werkblad "Eindstand Groep".</v>
      </c>
      <c r="E78" s="380"/>
      <c r="F78" s="380"/>
      <c r="G78" s="380"/>
      <c r="H78" s="380"/>
      <c r="I78" s="380"/>
      <c r="J78" s="380"/>
      <c r="K78" s="380"/>
      <c r="L78" s="380"/>
      <c r="M78" s="380"/>
      <c r="N78" s="380"/>
      <c r="O78" s="1289"/>
      <c r="P78" s="380"/>
      <c r="Q78" s="380"/>
      <c r="R78" s="380"/>
      <c r="S78" s="382" t="s">
        <v>342</v>
      </c>
      <c r="T78" s="515">
        <f>IF($N$50="E1e",COUNTIF('Eindstand Groep'!Y15:Z54,"LEEG"),0)</f>
        <v>24</v>
      </c>
      <c r="U78" s="380"/>
      <c r="V78" s="380"/>
      <c r="W78" s="380"/>
      <c r="X78" s="380"/>
      <c r="Y78" s="380"/>
      <c r="Z78" s="380"/>
      <c r="AA78" s="93"/>
      <c r="AB78" s="641" t="str">
        <f ca="1">Taal04!$B$169</f>
        <v>Bij het genereren van de naamcode is er een fout geconstateerd. Controleer uw e-mailadres bovenaan het</v>
      </c>
      <c r="AC78" s="380"/>
      <c r="AD78" s="380"/>
      <c r="AE78" s="380"/>
      <c r="AF78" s="380"/>
      <c r="AG78" s="380"/>
      <c r="AH78" s="380"/>
    </row>
    <row r="79" spans="2:34" hidden="1" x14ac:dyDescent="0.3">
      <c r="B79" s="1284">
        <v>27.5</v>
      </c>
      <c r="C79" s="1284"/>
      <c r="D79" s="380" t="str">
        <f ca="1">Taal04!$B$190</f>
        <v>Bij het genereren van de deelnamecode voor de eindstand in de groep zijn er fouten geconstateerd.</v>
      </c>
      <c r="E79" s="380"/>
      <c r="F79" s="380"/>
      <c r="G79" s="380"/>
      <c r="H79" s="380"/>
      <c r="I79" s="380"/>
      <c r="J79" s="380"/>
      <c r="K79" s="380"/>
      <c r="L79" s="380"/>
      <c r="M79" s="380"/>
      <c r="N79" s="380"/>
      <c r="O79" s="1289"/>
      <c r="P79" s="380"/>
      <c r="Q79" s="380"/>
      <c r="R79" s="380"/>
      <c r="S79" s="382" t="s">
        <v>349</v>
      </c>
      <c r="T79" s="515">
        <f>IF($N$50="E1e",COUNTIF('Eindstand Groep'!Y15:Z54,"DUBBEL"),0)</f>
        <v>0</v>
      </c>
      <c r="U79" s="380"/>
      <c r="V79" s="380"/>
      <c r="W79" s="380"/>
      <c r="X79" s="380"/>
      <c r="Y79" s="380"/>
      <c r="Z79" s="380"/>
      <c r="AA79" s="93"/>
      <c r="AB79" s="643" t="str">
        <f ca="1">Taal04!$B$170</f>
        <v>werkblad "Groepswedstrijden".</v>
      </c>
      <c r="AC79" s="380"/>
      <c r="AD79" s="380"/>
      <c r="AE79" s="380"/>
      <c r="AF79" s="380"/>
      <c r="AG79" s="380"/>
      <c r="AH79" s="380"/>
    </row>
    <row r="80" spans="2:34" hidden="1" x14ac:dyDescent="0.3">
      <c r="B80" s="1284">
        <v>27.6</v>
      </c>
      <c r="C80" s="1284"/>
      <c r="D80" s="380" t="str">
        <f ca="1">Taal04!$B$191</f>
        <v>Controleer uw invoer op het werkblad "Eindstand Groep".</v>
      </c>
      <c r="E80" s="380"/>
      <c r="F80" s="380"/>
      <c r="G80" s="380"/>
      <c r="H80" s="380"/>
      <c r="I80" s="380"/>
      <c r="J80" s="380"/>
      <c r="K80" s="380"/>
      <c r="L80" s="380"/>
      <c r="M80" s="380"/>
      <c r="N80" s="380"/>
      <c r="O80" s="1289"/>
      <c r="P80" s="380"/>
      <c r="Q80" s="380"/>
      <c r="R80" s="380"/>
      <c r="S80" s="382" t="s">
        <v>345</v>
      </c>
      <c r="T80" s="515">
        <f>IF($N$50="E1e",COUNTIF('Eindstand Groep'!Y15:Z54,"ONGELDIG"),0)</f>
        <v>0</v>
      </c>
      <c r="U80" s="380"/>
      <c r="V80" s="380"/>
      <c r="W80" s="380"/>
      <c r="X80" s="380"/>
      <c r="Y80" s="380"/>
      <c r="Z80" s="380"/>
      <c r="AA80" s="93"/>
      <c r="AB80" s="641" t="str">
        <f ca="1">Taal04!$B$171</f>
        <v>Bij het genereren van de naamcode met e-mailadres is er een fout geconstateerd. Controleer uw naam en</v>
      </c>
      <c r="AC80" s="380"/>
      <c r="AD80" s="380"/>
      <c r="AE80" s="380"/>
      <c r="AF80" s="380"/>
      <c r="AG80" s="380"/>
      <c r="AH80" s="380"/>
    </row>
    <row r="81" spans="2:34" hidden="1" x14ac:dyDescent="0.3">
      <c r="B81" s="1284">
        <v>28</v>
      </c>
      <c r="C81" s="1284"/>
      <c r="D81" s="380" t="str">
        <f ca="1">Taal04!$B$192</f>
        <v>De deelnamecode voor de eindstand in de groep is zonder foutmeldingen gegenereerd.</v>
      </c>
      <c r="E81" s="380"/>
      <c r="F81" s="380"/>
      <c r="G81" s="380"/>
      <c r="H81" s="380"/>
      <c r="I81" s="380"/>
      <c r="J81" s="380"/>
      <c r="K81" s="380"/>
      <c r="L81" s="380"/>
      <c r="M81" s="380"/>
      <c r="N81" s="380"/>
      <c r="O81" s="1289"/>
      <c r="P81" s="380"/>
      <c r="Q81" s="380"/>
      <c r="R81" s="380"/>
      <c r="S81" s="382" t="s">
        <v>346</v>
      </c>
      <c r="T81" s="515">
        <f>IF($N$50="E1e",COUNTIF('Eindstand Groep'!Y15:Z54,"GOED"),0)</f>
        <v>0</v>
      </c>
      <c r="U81" s="516" t="str">
        <f>"E1e: "&amp;$AD$51&amp;" = goed"</f>
        <v>E1e: 24 = goed</v>
      </c>
      <c r="V81" s="380"/>
      <c r="W81" s="380"/>
      <c r="X81" s="380"/>
      <c r="Y81" s="380"/>
      <c r="Z81" s="380"/>
      <c r="AA81" s="93"/>
      <c r="AB81" s="643" t="str">
        <f ca="1">Taal04!$B$172</f>
        <v>e-mailadres bovenaan het werkblad "Groepswedstrijden".</v>
      </c>
      <c r="AC81" s="380"/>
      <c r="AD81" s="380"/>
      <c r="AE81" s="380"/>
      <c r="AF81" s="380"/>
      <c r="AG81" s="380"/>
      <c r="AH81" s="380"/>
    </row>
    <row r="82" spans="2:34" hidden="1" x14ac:dyDescent="0.3">
      <c r="B82" s="1286">
        <v>30</v>
      </c>
      <c r="C82" s="1286"/>
      <c r="D82" s="379" t="str">
        <f ca="1">Taal04!$B$194&amp;":"</f>
        <v>Voorspellingen Finalewedstrijden:</v>
      </c>
      <c r="E82" s="380"/>
      <c r="F82" s="380"/>
      <c r="G82" s="380"/>
      <c r="H82" s="380"/>
      <c r="I82" s="380"/>
      <c r="J82" s="380"/>
      <c r="K82" s="380"/>
      <c r="L82" s="380"/>
      <c r="M82" s="380"/>
      <c r="N82" s="380"/>
      <c r="O82" s="1289"/>
      <c r="P82" s="380"/>
      <c r="Q82" s="380"/>
      <c r="R82" s="380"/>
      <c r="S82" s="382" t="s">
        <v>336</v>
      </c>
      <c r="T82" s="515" t="str">
        <f>IF($H$51= "JA",IF(AND(T76="GOED",T77="GOED",T78=0,T79=0,T80=0,T81=$AD$51),"GOED",IF(T78&gt;0,"LEEG",IF(T79+T80&lt;2,"FOUT","FOUTEN"))),"NVT")</f>
        <v>LEEG</v>
      </c>
      <c r="U82" s="380"/>
      <c r="V82" s="380"/>
      <c r="W82" s="380"/>
      <c r="X82" s="380"/>
      <c r="Y82" s="380"/>
      <c r="Z82" s="380"/>
      <c r="AA82" s="93"/>
      <c r="AB82" s="380"/>
      <c r="AC82" s="380"/>
      <c r="AD82" s="380"/>
      <c r="AE82" s="380"/>
      <c r="AF82" s="380"/>
      <c r="AG82" s="380"/>
      <c r="AH82" s="380"/>
    </row>
    <row r="83" spans="2:34" hidden="1" x14ac:dyDescent="0.3">
      <c r="B83" s="1284">
        <v>31.1</v>
      </c>
      <c r="C83" s="1284"/>
      <c r="D83" s="380" t="str">
        <f ca="1">Taal04!$B$195</f>
        <v>Het genereren van de deelnamecode voor de finalewedstrijden is niet mogelijk in verband met het ontbreken</v>
      </c>
      <c r="E83" s="380"/>
      <c r="F83" s="380"/>
      <c r="G83" s="380"/>
      <c r="H83" s="380"/>
      <c r="I83" s="380"/>
      <c r="J83" s="380"/>
      <c r="K83" s="380"/>
      <c r="L83" s="380"/>
      <c r="M83" s="380"/>
      <c r="N83" s="380"/>
      <c r="O83" s="93"/>
      <c r="P83" s="384"/>
      <c r="Q83" s="384"/>
      <c r="R83" s="384"/>
      <c r="S83" s="385"/>
      <c r="T83" s="384"/>
      <c r="U83" s="384"/>
      <c r="V83" s="384"/>
      <c r="W83" s="384"/>
      <c r="X83" s="384"/>
      <c r="Y83" s="384"/>
      <c r="Z83" s="387">
        <f>IF(T82="NVT","",Z63)</f>
        <v>99.9</v>
      </c>
      <c r="AA83" s="93"/>
      <c r="AB83" s="379" t="s">
        <v>542</v>
      </c>
      <c r="AC83" s="380"/>
      <c r="AD83" s="380"/>
      <c r="AE83" s="380"/>
      <c r="AF83" s="380"/>
      <c r="AG83" s="380"/>
      <c r="AH83" s="380"/>
    </row>
    <row r="84" spans="2:34" hidden="1" x14ac:dyDescent="0.3">
      <c r="B84" s="1284">
        <v>31.2</v>
      </c>
      <c r="C84" s="1284"/>
      <c r="D84" s="380" t="str">
        <f ca="1">Taal04!$B$196</f>
        <v>van gegevens. Controleer of alle velden zijn ingevuld op het werkblad "Finalewedstrijden".</v>
      </c>
      <c r="E84" s="380"/>
      <c r="F84" s="380"/>
      <c r="G84" s="380"/>
      <c r="H84" s="380"/>
      <c r="I84" s="380"/>
      <c r="J84" s="380"/>
      <c r="K84" s="380"/>
      <c r="L84" s="380"/>
      <c r="M84" s="380"/>
      <c r="N84" s="380"/>
      <c r="O84" s="1289" t="s">
        <v>503</v>
      </c>
      <c r="P84" s="380"/>
      <c r="Q84" s="380"/>
      <c r="R84" s="380"/>
      <c r="S84" s="380"/>
      <c r="T84" s="381" t="s">
        <v>352</v>
      </c>
      <c r="U84" s="380"/>
      <c r="V84" s="380"/>
      <c r="W84" s="380"/>
      <c r="X84" s="380"/>
      <c r="Y84" s="380"/>
      <c r="Z84" s="380"/>
      <c r="AA84" s="93"/>
      <c r="AB84" s="641" t="str">
        <f ca="1">Taal04!$B$173</f>
        <v>De naamcode is zonder foutmeldingen gegenereerd.</v>
      </c>
      <c r="AC84" s="380"/>
      <c r="AD84" s="380"/>
      <c r="AE84" s="380"/>
      <c r="AF84" s="380"/>
      <c r="AG84" s="380"/>
      <c r="AH84" s="380"/>
    </row>
    <row r="85" spans="2:34" hidden="1" x14ac:dyDescent="0.3">
      <c r="B85" s="1284">
        <v>32.1</v>
      </c>
      <c r="C85" s="1284"/>
      <c r="D85" s="380" t="str">
        <f ca="1">Taal04!$B$197</f>
        <v>Bij het genereren van de deelnamecode voor de finalewedstrijden is er een fout geconstateerd. Controleer uw</v>
      </c>
      <c r="E85" s="380"/>
      <c r="F85" s="380"/>
      <c r="G85" s="380"/>
      <c r="H85" s="380"/>
      <c r="I85" s="380"/>
      <c r="J85" s="380"/>
      <c r="K85" s="380"/>
      <c r="L85" s="380"/>
      <c r="M85" s="380"/>
      <c r="N85" s="380"/>
      <c r="O85" s="1289"/>
      <c r="P85" s="380"/>
      <c r="Q85" s="380"/>
      <c r="R85" s="380"/>
      <c r="S85" s="382" t="s">
        <v>354</v>
      </c>
      <c r="T85" s="380" t="str">
        <f>IF($N$51="F1e",Finalewedstrijden!AN71,IF($N$51="F2e",#REF!,IF($N$51="F3e",#REF!,0)))</f>
        <v>FOUTFOUTFOUTFOUTFOUTFOUTFOUTFOUTFOUTFOUTFOUTFOUTFOUTFOUTFOUT</v>
      </c>
      <c r="U85" s="380"/>
      <c r="V85" s="380"/>
      <c r="W85" s="380"/>
      <c r="X85" s="380"/>
      <c r="Y85" s="380"/>
      <c r="Z85" s="383">
        <v>30</v>
      </c>
      <c r="AA85" s="93"/>
      <c r="AB85" s="641" t="str">
        <f ca="1">Taal04!$B$174</f>
        <v>De naamcode inclusief e-mailadres is zonder foutmeldingen gegenereerd.</v>
      </c>
      <c r="AC85" s="380"/>
      <c r="AD85" s="380"/>
      <c r="AE85" s="380"/>
      <c r="AF85" s="380"/>
      <c r="AG85" s="380"/>
      <c r="AH85" s="380"/>
    </row>
    <row r="86" spans="2:34" hidden="1" x14ac:dyDescent="0.3">
      <c r="B86" s="1284">
        <v>32.200000000000003</v>
      </c>
      <c r="C86" s="1284"/>
      <c r="D86" s="380" t="str">
        <f ca="1">Taal04!$B$198</f>
        <v>invoer op het werkblad "Finalewedstrijden".</v>
      </c>
      <c r="E86" s="380"/>
      <c r="F86" s="380"/>
      <c r="G86" s="380"/>
      <c r="H86" s="380"/>
      <c r="I86" s="380"/>
      <c r="J86" s="380"/>
      <c r="K86" s="380"/>
      <c r="L86" s="380"/>
      <c r="M86" s="380"/>
      <c r="N86" s="380"/>
      <c r="O86" s="1289"/>
      <c r="P86" s="380"/>
      <c r="Q86" s="380"/>
      <c r="R86" s="380"/>
      <c r="S86" s="382" t="s">
        <v>332</v>
      </c>
      <c r="T86" s="97" t="str">
        <f>IF(LEN(T85)=LEN(SUBSTITUTE(T85,"FOUT","ONGELDIG")),"GOED","FOUT")</f>
        <v>FOUT</v>
      </c>
      <c r="U86" s="380"/>
      <c r="V86" s="380"/>
      <c r="W86" s="380"/>
      <c r="X86" s="380"/>
      <c r="Y86" s="380"/>
      <c r="Z86" s="383">
        <f>IF(T92="GOED",33,IF(T92="LEEG",31.1,IF(T92="FOUT",32.1,32.5)))</f>
        <v>31.1</v>
      </c>
      <c r="AA86" s="93"/>
      <c r="AB86" s="93"/>
      <c r="AC86" s="93"/>
      <c r="AD86" s="93"/>
      <c r="AE86" s="93"/>
      <c r="AF86" s="93"/>
      <c r="AG86" s="93"/>
      <c r="AH86" s="93"/>
    </row>
    <row r="87" spans="2:34" hidden="1" x14ac:dyDescent="0.3">
      <c r="B87" s="1284">
        <v>32.5</v>
      </c>
      <c r="C87" s="1284"/>
      <c r="D87" s="380" t="str">
        <f ca="1">Taal04!$B$199</f>
        <v>Bij het genereren van de deelnamecode voor de finalewedstrijden zijn er fouten geconstateerd. Controleer uw</v>
      </c>
      <c r="E87" s="380"/>
      <c r="F87" s="380"/>
      <c r="G87" s="380"/>
      <c r="H87" s="380"/>
      <c r="I87" s="380"/>
      <c r="J87" s="380"/>
      <c r="K87" s="380"/>
      <c r="L87" s="380"/>
      <c r="M87" s="380"/>
      <c r="N87" s="380"/>
      <c r="O87" s="1289"/>
      <c r="P87" s="380"/>
      <c r="Q87" s="380"/>
      <c r="R87" s="380"/>
      <c r="S87" s="382" t="s">
        <v>335</v>
      </c>
      <c r="T87" s="515" t="str">
        <f>IF($N$51="F1e",IF(LEN(T85)=$Z$54,"GOED",IF(LEN(T85)=$AC$54,"LEEG","FOUT")),IF($N$51="F2e",IF(LEN(T85)=$AA$54,"GOED",IF(LEN(T85)=$AC$54,"LEEG","FOUT")),IF($N$51="F3e",IF(LEN(T85)=$AB$54,"GOED",IF(LEN(T85)=$AC$54,"LEEG","FOUT")),"FOUT")))</f>
        <v>LEEG</v>
      </c>
      <c r="U87" s="516" t="str">
        <f>"F1e: "&amp;$Z$54&amp;" = goed / F2e: "&amp;$AA$54&amp;" = goed / F3e: "&amp;$AB$54&amp;" = goed / "&amp;$AC$54&amp;" = leeg"</f>
        <v>F1e: 105 = goed / F2e: 90 = goed / F3e: 75 = goed / 60 = leeg</v>
      </c>
      <c r="V87" s="380"/>
      <c r="W87" s="380"/>
      <c r="X87" s="380"/>
      <c r="Y87" s="380"/>
      <c r="Z87" s="380">
        <f>IF(Z86-FLOOR(Z86,1)&gt;0,Z86+0.1,"")</f>
        <v>31.200000000000003</v>
      </c>
      <c r="AA87" s="93"/>
      <c r="AB87" s="93"/>
      <c r="AC87" s="93"/>
      <c r="AD87" s="93"/>
      <c r="AE87" s="93"/>
      <c r="AF87" s="93"/>
      <c r="AG87" s="93"/>
      <c r="AH87" s="93"/>
    </row>
    <row r="88" spans="2:34" hidden="1" x14ac:dyDescent="0.3">
      <c r="B88" s="1284">
        <v>32.6</v>
      </c>
      <c r="C88" s="1284"/>
      <c r="D88" s="380" t="str">
        <f ca="1">Taal04!$B$200</f>
        <v>invoer op het werkblad "Finalewedstrijden".</v>
      </c>
      <c r="E88" s="380"/>
      <c r="F88" s="380"/>
      <c r="G88" s="380"/>
      <c r="H88" s="380"/>
      <c r="I88" s="380"/>
      <c r="J88" s="380"/>
      <c r="K88" s="380"/>
      <c r="L88" s="380"/>
      <c r="M88" s="380"/>
      <c r="N88" s="380"/>
      <c r="O88" s="1289"/>
      <c r="P88" s="380"/>
      <c r="Q88" s="380"/>
      <c r="R88" s="380"/>
      <c r="S88" s="382" t="s">
        <v>342</v>
      </c>
      <c r="T88" s="515">
        <f>IF($N$51="F1e",COUNTIF(Finalewedstrijden!AK14:AO56,"LEEG"),IF($N$51="F2e",COUNTIF(#REF!,"LEEG"),IF($N$51="F3e",COUNTIF(#REF!,"LEEG"),0)))</f>
        <v>60</v>
      </c>
      <c r="U88" s="380"/>
      <c r="V88" s="380"/>
      <c r="W88" s="380"/>
      <c r="X88" s="380"/>
      <c r="Y88" s="380"/>
      <c r="Z88" s="380"/>
      <c r="AA88" s="93"/>
      <c r="AB88" s="93"/>
      <c r="AC88" s="93"/>
      <c r="AD88" s="93"/>
      <c r="AE88" s="93"/>
      <c r="AF88" s="93"/>
      <c r="AG88" s="93"/>
      <c r="AH88" s="93"/>
    </row>
    <row r="89" spans="2:34" hidden="1" x14ac:dyDescent="0.3">
      <c r="B89" s="1284">
        <v>33</v>
      </c>
      <c r="C89" s="1284"/>
      <c r="D89" s="380" t="str">
        <f ca="1">Taal04!$B$201</f>
        <v>De deelnamecode voor de finalewedstrijden is zonder foutmeldingen gegenereerd.</v>
      </c>
      <c r="E89" s="380"/>
      <c r="F89" s="380"/>
      <c r="G89" s="380"/>
      <c r="H89" s="380"/>
      <c r="I89" s="380"/>
      <c r="J89" s="380"/>
      <c r="K89" s="380"/>
      <c r="L89" s="380"/>
      <c r="M89" s="380"/>
      <c r="N89" s="380"/>
      <c r="O89" s="1289"/>
      <c r="P89" s="380"/>
      <c r="Q89" s="380"/>
      <c r="R89" s="380"/>
      <c r="S89" s="382" t="s">
        <v>344</v>
      </c>
      <c r="T89" s="517">
        <f>IF($N$51="F1e",COUNTIF(Finalewedstrijden!AK14:AO56,"HOOG"),IF($N$51="F2e",COUNTIF(#REF!,"HOOG"),IF($N$51="F3e",COUNTIF(#REF!,"HOOG"),0)))</f>
        <v>0</v>
      </c>
      <c r="U89" s="380"/>
      <c r="V89" s="380"/>
      <c r="W89" s="380"/>
      <c r="X89" s="380"/>
      <c r="Y89" s="380"/>
      <c r="Z89" s="380"/>
      <c r="AA89" s="93"/>
      <c r="AB89" s="93"/>
      <c r="AC89" s="93"/>
      <c r="AD89" s="93"/>
      <c r="AE89" s="93"/>
      <c r="AF89" s="93"/>
      <c r="AG89" s="93"/>
      <c r="AH89" s="93"/>
    </row>
    <row r="90" spans="2:34" hidden="1" x14ac:dyDescent="0.3">
      <c r="B90" s="1286">
        <v>40</v>
      </c>
      <c r="C90" s="1286"/>
      <c r="D90" s="379" t="str">
        <f ca="1">Taal04!$B$203&amp;":"</f>
        <v>Voorspelling Winnaar EK2020:</v>
      </c>
      <c r="E90" s="380"/>
      <c r="F90" s="380"/>
      <c r="G90" s="380"/>
      <c r="H90" s="380"/>
      <c r="I90" s="380"/>
      <c r="J90" s="380"/>
      <c r="K90" s="380"/>
      <c r="L90" s="380"/>
      <c r="M90" s="380"/>
      <c r="N90" s="380"/>
      <c r="O90" s="1289"/>
      <c r="P90" s="380"/>
      <c r="Q90" s="380"/>
      <c r="R90" s="380"/>
      <c r="S90" s="382" t="s">
        <v>345</v>
      </c>
      <c r="T90" s="517">
        <f>IF($N$51="F1e",COUNTIF(Finalewedstrijden!AK14:AO56,"ONGELDIG"),IF($N$51="F2e",COUNTIF(#REF!,"ONGELDIG"),IF($N$51="F3e",COUNTIF(#REF!,"ONGELDIG"),0)))-IF(Z90="A",0,W90)</f>
        <v>0</v>
      </c>
      <c r="U90" s="380"/>
      <c r="V90" s="382" t="s">
        <v>349</v>
      </c>
      <c r="W90" s="517">
        <f>IF(Z90="A",0,IF($N$51="F1e",COUNTIF(Finalewedstrijden!AH15:AJ57,"DUBBEL"),IF($N$51="F2e",COUNTIF(#REF!,"DUBBEL"),IF($N$51="F3e",COUNTIF(#REF!,"DUBBEL"),0))))</f>
        <v>0</v>
      </c>
      <c r="X90" s="380"/>
      <c r="Y90" s="382" t="s">
        <v>1439</v>
      </c>
      <c r="Z90" s="1016" t="str">
        <f>Reglement!$G$129</f>
        <v>B</v>
      </c>
      <c r="AA90" s="93"/>
      <c r="AB90" s="93"/>
      <c r="AC90" s="93"/>
      <c r="AD90" s="93"/>
      <c r="AE90" s="93"/>
      <c r="AF90" s="93"/>
      <c r="AG90" s="93"/>
      <c r="AH90" s="93"/>
    </row>
    <row r="91" spans="2:34" hidden="1" x14ac:dyDescent="0.3">
      <c r="B91" s="1284">
        <v>41.1</v>
      </c>
      <c r="C91" s="1284"/>
      <c r="D91" s="380" t="str">
        <f ca="1">Taal04!$B$204</f>
        <v>Het genereren van de deelnamecode voor de winnaar van het EK is niet mogelijk in verband met het ontbreken</v>
      </c>
      <c r="E91" s="380"/>
      <c r="F91" s="380"/>
      <c r="G91" s="380"/>
      <c r="H91" s="380"/>
      <c r="I91" s="380"/>
      <c r="J91" s="380"/>
      <c r="K91" s="380"/>
      <c r="L91" s="380"/>
      <c r="M91" s="380"/>
      <c r="N91" s="380"/>
      <c r="O91" s="1289"/>
      <c r="P91" s="380"/>
      <c r="Q91" s="380"/>
      <c r="R91" s="380"/>
      <c r="S91" s="382" t="s">
        <v>346</v>
      </c>
      <c r="T91" s="517">
        <f>IF($N$51="F1e",COUNTIF(Finalewedstrijden!AK14:AO56,"GOED"),IF($N$51="F2e",COUNTIF(#REF!,"GOED"),IF($N$51="F3e",COUNTIF(#REF!,"GOED"),0)))</f>
        <v>0</v>
      </c>
      <c r="U91" s="516" t="str">
        <f>"F1e: "&amp;$AD$54&amp;" = goed / F2e: "&amp;$AE$54&amp;" = goed / F3e: "&amp;$AF$54&amp;" = goed"</f>
        <v>F1e: 60 = goed / F2e: 45 = goed / F3e: 30 = goed</v>
      </c>
      <c r="V91" s="380"/>
      <c r="W91" s="380"/>
      <c r="X91" s="380"/>
      <c r="Y91" s="380"/>
      <c r="Z91" s="380"/>
      <c r="AA91" s="93"/>
      <c r="AB91" s="93"/>
      <c r="AC91" s="93"/>
      <c r="AD91" s="93"/>
      <c r="AE91" s="93"/>
      <c r="AF91" s="93"/>
      <c r="AG91" s="93"/>
      <c r="AH91" s="93"/>
    </row>
    <row r="92" spans="2:34" hidden="1" x14ac:dyDescent="0.3">
      <c r="B92" s="1284">
        <v>41.2</v>
      </c>
      <c r="C92" s="1284"/>
      <c r="D92" s="380" t="str">
        <f ca="1">Taal04!$B$205</f>
        <v>van gegevens. Voorspel een winnaar van het EK op het werkblad "Finalewedstrijden".</v>
      </c>
      <c r="E92" s="380"/>
      <c r="F92" s="380"/>
      <c r="G92" s="380"/>
      <c r="H92" s="380"/>
      <c r="I92" s="380"/>
      <c r="J92" s="380"/>
      <c r="K92" s="380"/>
      <c r="L92" s="380"/>
      <c r="M92" s="380"/>
      <c r="N92" s="380"/>
      <c r="O92" s="1289"/>
      <c r="P92" s="380"/>
      <c r="Q92" s="380"/>
      <c r="R92" s="380"/>
      <c r="S92" s="382" t="s">
        <v>336</v>
      </c>
      <c r="T92" s="515" t="str">
        <f>IF(AND(T86="GOED",T87="GOED",T88=0,T89=0,T90=0,W90=0,IF($N$51="F1e",T91=$AD$54,IF($N$51="F2e",T91=$AE$54,IF($N$51="F3e",T91=$AF$54,0)))),"GOED",IF(T88&gt;0,"LEEG",IF(T89+T90+W90&lt;2,"FOUT","FOUTEN")))</f>
        <v>LEEG</v>
      </c>
      <c r="U92" s="380"/>
      <c r="V92" s="380"/>
      <c r="W92" s="380"/>
      <c r="X92" s="380"/>
      <c r="Y92" s="380"/>
      <c r="Z92" s="380"/>
      <c r="AA92" s="93"/>
      <c r="AB92" s="93"/>
      <c r="AC92" s="93"/>
      <c r="AD92" s="93"/>
      <c r="AE92" s="93"/>
      <c r="AF92" s="93"/>
      <c r="AG92" s="93"/>
      <c r="AH92" s="93"/>
    </row>
    <row r="93" spans="2:34" hidden="1" x14ac:dyDescent="0.3">
      <c r="B93" s="1284">
        <v>42.1</v>
      </c>
      <c r="C93" s="1284"/>
      <c r="D93" s="380" t="str">
        <f ca="1">Taal04!$B$206</f>
        <v>Bij het genereren van de deelnamecode voor de winnaar van het EK is er een fout geconstateerd. Controleer</v>
      </c>
      <c r="E93" s="380"/>
      <c r="F93" s="380"/>
      <c r="G93" s="380"/>
      <c r="H93" s="380"/>
      <c r="I93" s="380"/>
      <c r="J93" s="380"/>
      <c r="K93" s="380"/>
      <c r="L93" s="380"/>
      <c r="M93" s="380"/>
      <c r="N93" s="380"/>
      <c r="O93" s="93"/>
      <c r="P93" s="384"/>
      <c r="Q93" s="384"/>
      <c r="R93" s="384"/>
      <c r="S93" s="385"/>
      <c r="T93" s="384"/>
      <c r="U93" s="384"/>
      <c r="V93" s="384"/>
      <c r="W93" s="384"/>
      <c r="X93" s="384"/>
      <c r="Y93" s="384"/>
      <c r="Z93" s="387">
        <f>Z63</f>
        <v>99.9</v>
      </c>
      <c r="AA93" s="93"/>
      <c r="AB93" s="93"/>
      <c r="AC93" s="93"/>
      <c r="AD93" s="93"/>
      <c r="AE93" s="93"/>
      <c r="AF93" s="93"/>
      <c r="AG93" s="93"/>
      <c r="AH93" s="93"/>
    </row>
    <row r="94" spans="2:34" hidden="1" x14ac:dyDescent="0.3">
      <c r="B94" s="1284">
        <v>42.2</v>
      </c>
      <c r="C94" s="1284"/>
      <c r="D94" s="380" t="str">
        <f ca="1">Taal04!$B$207</f>
        <v>uw invoer op het werkblad "Finalewedstrijden".</v>
      </c>
      <c r="E94" s="380"/>
      <c r="F94" s="380"/>
      <c r="G94" s="380"/>
      <c r="H94" s="380"/>
      <c r="I94" s="380"/>
      <c r="J94" s="380"/>
      <c r="K94" s="380"/>
      <c r="L94" s="380"/>
      <c r="M94" s="380"/>
      <c r="N94" s="380"/>
      <c r="O94" s="93"/>
      <c r="P94" s="380"/>
      <c r="Q94" s="380"/>
      <c r="R94" s="380"/>
      <c r="S94" s="380"/>
      <c r="T94" s="381" t="s">
        <v>356</v>
      </c>
      <c r="U94" s="380"/>
      <c r="V94" s="380"/>
      <c r="W94" s="380"/>
      <c r="X94" s="380"/>
      <c r="Y94" s="380"/>
      <c r="Z94" s="380"/>
      <c r="AA94" s="93"/>
      <c r="AB94" s="93"/>
      <c r="AC94" s="93"/>
      <c r="AD94" s="93"/>
      <c r="AE94" s="93"/>
      <c r="AF94" s="93"/>
      <c r="AG94" s="93"/>
      <c r="AH94" s="93"/>
    </row>
    <row r="95" spans="2:34" hidden="1" x14ac:dyDescent="0.3">
      <c r="B95" s="1284">
        <v>43</v>
      </c>
      <c r="C95" s="1284"/>
      <c r="D95" s="380" t="str">
        <f ca="1">Taal04!$B$208</f>
        <v>De deelnamecode voor de winnaar van het EK is zonder foutmeldingen gegenereerd.</v>
      </c>
      <c r="E95" s="380"/>
      <c r="F95" s="380"/>
      <c r="G95" s="380"/>
      <c r="H95" s="380"/>
      <c r="I95" s="380"/>
      <c r="J95" s="380"/>
      <c r="K95" s="380"/>
      <c r="L95" s="380"/>
      <c r="M95" s="380"/>
      <c r="N95" s="380"/>
      <c r="O95" s="93"/>
      <c r="P95" s="380"/>
      <c r="Q95" s="380"/>
      <c r="R95" s="380"/>
      <c r="S95" s="382" t="s">
        <v>357</v>
      </c>
      <c r="T95" s="97" t="str">
        <f>IF($N$51="F1e",Finalewedstrijden!AO59,IF($N$51="F2e",#REF!,IF($N$51="F3e",#REF!,0)))</f>
        <v>FOUT</v>
      </c>
      <c r="U95" s="380"/>
      <c r="V95" s="380"/>
      <c r="W95" s="380"/>
      <c r="X95" s="380"/>
      <c r="Y95" s="380"/>
      <c r="Z95" s="383">
        <v>40</v>
      </c>
      <c r="AA95" s="93"/>
      <c r="AB95" s="93"/>
      <c r="AC95" s="93"/>
      <c r="AD95" s="93"/>
      <c r="AE95" s="93"/>
      <c r="AF95" s="93"/>
      <c r="AG95" s="93"/>
      <c r="AH95" s="93"/>
    </row>
    <row r="96" spans="2:34" hidden="1" x14ac:dyDescent="0.3">
      <c r="B96" s="1286">
        <v>50</v>
      </c>
      <c r="C96" s="1286"/>
      <c r="D96" s="379" t="str">
        <f ca="1">Taal04!$B$210&amp;":"</f>
        <v>Bonusvragen:</v>
      </c>
      <c r="E96" s="380"/>
      <c r="F96" s="380"/>
      <c r="G96" s="380"/>
      <c r="H96" s="380"/>
      <c r="I96" s="380"/>
      <c r="J96" s="380"/>
      <c r="K96" s="380"/>
      <c r="L96" s="380"/>
      <c r="M96" s="380"/>
      <c r="N96" s="380"/>
      <c r="O96" s="93"/>
      <c r="P96" s="380"/>
      <c r="Q96" s="380"/>
      <c r="R96" s="380"/>
      <c r="S96" s="382" t="s">
        <v>332</v>
      </c>
      <c r="T96" s="97" t="str">
        <f>IF($N$51="F1e",Finalewedstrijden!AL59,IF($N$51="F2e",#REF!,IF($N$51="F3e",#REF!,0)))</f>
        <v>LEEG</v>
      </c>
      <c r="U96" s="380"/>
      <c r="V96" s="380"/>
      <c r="W96" s="380"/>
      <c r="X96" s="380"/>
      <c r="Y96" s="380"/>
      <c r="Z96" s="383">
        <f>IF(T98="GOED",43,IF(T98="LEEG",41.1,42.1))</f>
        <v>41.1</v>
      </c>
      <c r="AA96" s="93"/>
      <c r="AB96" s="93"/>
      <c r="AC96" s="93"/>
      <c r="AD96" s="93"/>
      <c r="AE96" s="93"/>
      <c r="AF96" s="93"/>
      <c r="AG96" s="93"/>
      <c r="AH96" s="93"/>
    </row>
    <row r="97" spans="2:34" hidden="1" x14ac:dyDescent="0.3">
      <c r="B97" s="1284">
        <v>51.1</v>
      </c>
      <c r="C97" s="1284"/>
      <c r="D97" s="380" t="str">
        <f ca="1">Taal04!$B$211</f>
        <v>Het genereren van de deelnamecode voor de bonusvragen is niet mogelijk in verband met het ontbreken</v>
      </c>
      <c r="E97" s="380"/>
      <c r="F97" s="380"/>
      <c r="G97" s="380"/>
      <c r="H97" s="380"/>
      <c r="I97" s="380"/>
      <c r="J97" s="380"/>
      <c r="K97" s="380"/>
      <c r="L97" s="380"/>
      <c r="M97" s="380"/>
      <c r="N97" s="380"/>
      <c r="O97" s="93"/>
      <c r="P97" s="380"/>
      <c r="Q97" s="380"/>
      <c r="R97" s="380"/>
      <c r="S97" s="382" t="s">
        <v>335</v>
      </c>
      <c r="T97" s="97" t="str">
        <f>IF(LEN(T95)=3,"GOED",IF(LEN(T95)=4,"LEEG","FOUT"))</f>
        <v>LEEG</v>
      </c>
      <c r="U97" s="403" t="s">
        <v>359</v>
      </c>
      <c r="V97" s="380"/>
      <c r="W97" s="380"/>
      <c r="X97" s="380"/>
      <c r="Y97" s="380"/>
      <c r="Z97" s="380">
        <f>IF(Z96-FLOOR(Z96,1)&gt;0,Z96+0.1,"")</f>
        <v>41.2</v>
      </c>
      <c r="AA97" s="93"/>
      <c r="AB97" s="93"/>
      <c r="AC97" s="93"/>
      <c r="AD97" s="93"/>
      <c r="AE97" s="93"/>
      <c r="AF97" s="93"/>
      <c r="AG97" s="93"/>
      <c r="AH97" s="93"/>
    </row>
    <row r="98" spans="2:34" hidden="1" x14ac:dyDescent="0.3">
      <c r="B98" s="1284">
        <v>51.2</v>
      </c>
      <c r="C98" s="1284"/>
      <c r="D98" s="380" t="str">
        <f ca="1">Taal04!$B$212</f>
        <v>van gegevens. Controleer of alle velden zijn ingevuld op het werkblad "Bonusvragen".</v>
      </c>
      <c r="E98" s="380"/>
      <c r="F98" s="380"/>
      <c r="G98" s="380"/>
      <c r="H98" s="380"/>
      <c r="I98" s="380"/>
      <c r="J98" s="380"/>
      <c r="K98" s="380"/>
      <c r="L98" s="380"/>
      <c r="M98" s="380"/>
      <c r="N98" s="380"/>
      <c r="O98" s="93"/>
      <c r="P98" s="380"/>
      <c r="Q98" s="380"/>
      <c r="R98" s="380"/>
      <c r="S98" s="382" t="s">
        <v>336</v>
      </c>
      <c r="T98" s="97" t="str">
        <f>IF(AND(T96="GOED",T97="GOED"),"GOED",IF(AND(T96="LEEG",T97="LEEG"),"LEEG","FOUT"))</f>
        <v>LEEG</v>
      </c>
      <c r="U98" s="380"/>
      <c r="V98" s="380"/>
      <c r="W98" s="380"/>
      <c r="X98" s="380"/>
      <c r="Y98" s="380"/>
      <c r="Z98" s="380"/>
      <c r="AA98" s="93"/>
      <c r="AB98" s="93"/>
      <c r="AC98" s="93"/>
      <c r="AD98" s="93"/>
      <c r="AE98" s="93"/>
      <c r="AF98" s="93"/>
      <c r="AG98" s="93"/>
      <c r="AH98" s="93"/>
    </row>
    <row r="99" spans="2:34" hidden="1" x14ac:dyDescent="0.3">
      <c r="B99" s="1284">
        <v>52.1</v>
      </c>
      <c r="C99" s="1284"/>
      <c r="D99" s="380" t="str">
        <f ca="1">Taal04!$B$213</f>
        <v>Bij het genereren van de deelnamecode voor de bonusvragen is er een fout geconstateerd. Controleer uw</v>
      </c>
      <c r="E99" s="380"/>
      <c r="F99" s="380"/>
      <c r="G99" s="380"/>
      <c r="H99" s="380"/>
      <c r="I99" s="380"/>
      <c r="J99" s="380"/>
      <c r="K99" s="380"/>
      <c r="L99" s="380"/>
      <c r="M99" s="380"/>
      <c r="N99" s="380"/>
      <c r="O99" s="93"/>
      <c r="P99" s="384"/>
      <c r="Q99" s="384"/>
      <c r="R99" s="384"/>
      <c r="S99" s="385"/>
      <c r="T99" s="384"/>
      <c r="U99" s="384"/>
      <c r="V99" s="384"/>
      <c r="W99" s="384"/>
      <c r="X99" s="384"/>
      <c r="Y99" s="384"/>
      <c r="Z99" s="387">
        <f>Z63</f>
        <v>99.9</v>
      </c>
      <c r="AA99" s="93"/>
      <c r="AB99" s="93"/>
      <c r="AC99" s="93"/>
      <c r="AD99" s="93"/>
      <c r="AE99" s="93"/>
      <c r="AF99" s="93"/>
      <c r="AG99" s="93"/>
      <c r="AH99" s="93"/>
    </row>
    <row r="100" spans="2:34" hidden="1" x14ac:dyDescent="0.3">
      <c r="B100" s="1284">
        <v>52.2</v>
      </c>
      <c r="C100" s="1284"/>
      <c r="D100" s="380" t="str">
        <f ca="1">Taal04!$B$214</f>
        <v>invoer op het werkblad "Bonusvragen".</v>
      </c>
      <c r="E100" s="380"/>
      <c r="F100" s="380"/>
      <c r="G100" s="380"/>
      <c r="H100" s="380"/>
      <c r="I100" s="380"/>
      <c r="J100" s="380"/>
      <c r="K100" s="380"/>
      <c r="L100" s="380"/>
      <c r="M100" s="380"/>
      <c r="N100" s="380"/>
      <c r="O100" s="93"/>
      <c r="P100" s="380"/>
      <c r="Q100" s="380"/>
      <c r="R100" s="380"/>
      <c r="S100" s="380"/>
      <c r="T100" s="381" t="s">
        <v>361</v>
      </c>
      <c r="U100" s="380"/>
      <c r="V100" s="380"/>
      <c r="W100" s="380"/>
      <c r="X100" s="380"/>
      <c r="Y100" s="380"/>
      <c r="Z100" s="380"/>
      <c r="AA100" s="93"/>
      <c r="AB100" s="93"/>
      <c r="AC100" s="93"/>
      <c r="AD100" s="93"/>
      <c r="AE100" s="93"/>
      <c r="AF100" s="93"/>
      <c r="AG100" s="93"/>
      <c r="AH100" s="93"/>
    </row>
    <row r="101" spans="2:34" hidden="1" x14ac:dyDescent="0.3">
      <c r="B101" s="1284">
        <v>52.5</v>
      </c>
      <c r="C101" s="1284"/>
      <c r="D101" s="380" t="str">
        <f ca="1">Taal04!$B$215</f>
        <v>Bij het genereren van de deelnamecode voor de bonusvragen zijn er fouten geconstateerd. Controleer uw</v>
      </c>
      <c r="E101" s="380"/>
      <c r="F101" s="380"/>
      <c r="G101" s="380"/>
      <c r="H101" s="380"/>
      <c r="I101" s="380"/>
      <c r="J101" s="380"/>
      <c r="K101" s="380"/>
      <c r="L101" s="380"/>
      <c r="M101" s="380"/>
      <c r="N101" s="380"/>
      <c r="O101" s="93"/>
      <c r="P101" s="380"/>
      <c r="Q101" s="380"/>
      <c r="R101" s="380"/>
      <c r="S101" s="382" t="s">
        <v>363</v>
      </c>
      <c r="T101" s="380">
        <f>IF($N$55="B1e",#REF!,0)</f>
        <v>0</v>
      </c>
      <c r="U101" s="380"/>
      <c r="V101" s="380"/>
      <c r="W101" s="380"/>
      <c r="X101" s="380"/>
      <c r="Y101" s="380"/>
      <c r="Z101" s="383">
        <f>IF(T107="NVT",99.9,50)</f>
        <v>99.9</v>
      </c>
      <c r="AA101" s="93"/>
      <c r="AB101" s="93"/>
      <c r="AC101" s="93"/>
      <c r="AD101" s="93"/>
      <c r="AE101" s="93"/>
      <c r="AF101" s="93"/>
      <c r="AG101" s="93"/>
      <c r="AH101" s="93"/>
    </row>
    <row r="102" spans="2:34" hidden="1" x14ac:dyDescent="0.3">
      <c r="B102" s="1284">
        <v>52.6</v>
      </c>
      <c r="C102" s="1284"/>
      <c r="D102" s="380" t="str">
        <f ca="1">Taal04!$B$216</f>
        <v>invoer op het werkblad "Bonusvragen".</v>
      </c>
      <c r="E102" s="380"/>
      <c r="F102" s="380"/>
      <c r="G102" s="380"/>
      <c r="H102" s="380"/>
      <c r="I102" s="380"/>
      <c r="J102" s="380"/>
      <c r="K102" s="380"/>
      <c r="L102" s="380"/>
      <c r="M102" s="380"/>
      <c r="N102" s="380"/>
      <c r="O102" s="93"/>
      <c r="P102" s="380"/>
      <c r="Q102" s="380"/>
      <c r="R102" s="380"/>
      <c r="S102" s="382" t="s">
        <v>332</v>
      </c>
      <c r="T102" s="97" t="str">
        <f>IF(LEN(T101)=LEN(SUBSTITUTE(T101,"FOUT","ONGELDIG")),"GOED","FOUT")</f>
        <v>GOED</v>
      </c>
      <c r="U102" s="380"/>
      <c r="V102" s="380"/>
      <c r="W102" s="380"/>
      <c r="X102" s="380"/>
      <c r="Y102" s="380"/>
      <c r="Z102" s="383">
        <f>IF(T107="NVT",99.9,IF(T107="GOED",53,IF(T107="LEEG",51.1,IF(T107="FOUT",52.1,52.5))))</f>
        <v>99.9</v>
      </c>
      <c r="AA102" s="93"/>
      <c r="AB102" s="93"/>
      <c r="AC102" s="93"/>
      <c r="AD102" s="93"/>
      <c r="AE102" s="93"/>
      <c r="AF102" s="93"/>
      <c r="AG102" s="93"/>
      <c r="AH102" s="93"/>
    </row>
    <row r="103" spans="2:34" hidden="1" x14ac:dyDescent="0.3">
      <c r="B103" s="1284">
        <v>53</v>
      </c>
      <c r="C103" s="1284"/>
      <c r="D103" s="380" t="str">
        <f ca="1">Taal04!$B$217</f>
        <v>De deelnamecode voor de bonusvragen is zonder foutmeldingen gegenereerd.</v>
      </c>
      <c r="E103" s="380"/>
      <c r="F103" s="380"/>
      <c r="G103" s="380"/>
      <c r="H103" s="380"/>
      <c r="I103" s="380"/>
      <c r="J103" s="380"/>
      <c r="K103" s="380"/>
      <c r="L103" s="380"/>
      <c r="M103" s="380"/>
      <c r="N103" s="380"/>
      <c r="O103" s="93"/>
      <c r="P103" s="380"/>
      <c r="Q103" s="380"/>
      <c r="R103" s="380"/>
      <c r="S103" s="382" t="s">
        <v>335</v>
      </c>
      <c r="T103" s="97" t="str">
        <f>IF(LEN(T101)=45+X103+X104,"GOED",IF(LEN(T101)=66,"LEEG","FOUT"))</f>
        <v>FOUT</v>
      </c>
      <c r="U103" s="403" t="str">
        <f>45+X103+X104&amp;" = goed / 66 = leeg"</f>
        <v>45 = goed / 66 = leeg</v>
      </c>
      <c r="V103" s="380"/>
      <c r="W103" s="389" t="s">
        <v>365</v>
      </c>
      <c r="X103" s="390" t="str">
        <f>SUBSTITUTE(LEFT(RIGHT(T101,5),2),"#","")</f>
        <v>0</v>
      </c>
      <c r="Y103" s="380"/>
      <c r="Z103" s="380" t="str">
        <f>IF(T107="NVT","",IF(Z102-FLOOR(Z102,1)&gt;0,Z102+0.1,""))</f>
        <v/>
      </c>
      <c r="AA103" s="93"/>
      <c r="AB103" s="93"/>
      <c r="AC103" s="93"/>
      <c r="AD103" s="93"/>
      <c r="AE103" s="93"/>
      <c r="AF103" s="93"/>
      <c r="AG103" s="93"/>
      <c r="AH103" s="93"/>
    </row>
    <row r="104" spans="2:34" hidden="1" x14ac:dyDescent="0.3">
      <c r="B104" s="1285"/>
      <c r="C104" s="1285"/>
      <c r="D104" s="380"/>
      <c r="E104" s="380"/>
      <c r="F104" s="380"/>
      <c r="G104" s="380"/>
      <c r="H104" s="380"/>
      <c r="I104" s="380"/>
      <c r="J104" s="380"/>
      <c r="K104" s="380"/>
      <c r="L104" s="380"/>
      <c r="M104" s="380"/>
      <c r="N104" s="380"/>
      <c r="O104" s="93"/>
      <c r="P104" s="380"/>
      <c r="Q104" s="380"/>
      <c r="R104" s="380"/>
      <c r="S104" s="382" t="s">
        <v>342</v>
      </c>
      <c r="T104" s="97">
        <f>IF($N$55="B1e",#REF!,0)</f>
        <v>0</v>
      </c>
      <c r="U104" s="380"/>
      <c r="V104" s="380"/>
      <c r="W104" s="391" t="s">
        <v>366</v>
      </c>
      <c r="X104" s="392" t="str">
        <f>SUBSTITUTE(LEFT(RIGHT(T101,3),2),"#","")</f>
        <v>0</v>
      </c>
      <c r="Y104" s="380"/>
      <c r="Z104" s="380"/>
      <c r="AA104" s="93"/>
      <c r="AB104" s="93"/>
      <c r="AC104" s="93"/>
      <c r="AD104" s="93"/>
      <c r="AE104" s="93"/>
      <c r="AF104" s="93"/>
      <c r="AG104" s="93"/>
      <c r="AH104" s="93"/>
    </row>
    <row r="105" spans="2:34" hidden="1" x14ac:dyDescent="0.3">
      <c r="B105" s="1285">
        <v>88.8</v>
      </c>
      <c r="C105" s="1285"/>
      <c r="D105" s="405" t="str">
        <f>Voorblad!C15</f>
        <v/>
      </c>
      <c r="E105" s="405"/>
      <c r="F105" s="380"/>
      <c r="G105" s="380"/>
      <c r="H105" s="380"/>
      <c r="I105" s="380"/>
      <c r="J105" s="380"/>
      <c r="K105" s="380"/>
      <c r="L105" s="380"/>
      <c r="M105" s="380"/>
      <c r="N105" s="380"/>
      <c r="O105" s="93"/>
      <c r="P105" s="380"/>
      <c r="Q105" s="380"/>
      <c r="R105" s="380"/>
      <c r="S105" s="382" t="s">
        <v>345</v>
      </c>
      <c r="T105" s="97">
        <f>IF($N$55="B1e",#REF!,0)</f>
        <v>0</v>
      </c>
      <c r="U105" s="380"/>
      <c r="V105" s="380"/>
      <c r="W105" s="380"/>
      <c r="X105" s="380"/>
      <c r="Y105" s="380"/>
      <c r="Z105" s="461" t="str">
        <f>IF(T82="NVT",99.9,"")</f>
        <v/>
      </c>
      <c r="AA105" s="93"/>
      <c r="AB105" s="93"/>
      <c r="AC105" s="93"/>
      <c r="AD105" s="93"/>
      <c r="AE105" s="93"/>
      <c r="AF105" s="93"/>
      <c r="AG105" s="93"/>
      <c r="AH105" s="93"/>
    </row>
    <row r="106" spans="2:34" hidden="1" x14ac:dyDescent="0.3">
      <c r="B106" s="1286">
        <v>99.9</v>
      </c>
      <c r="C106" s="1286"/>
      <c r="D106" s="379" t="s">
        <v>367</v>
      </c>
      <c r="E106" s="380"/>
      <c r="F106" s="380"/>
      <c r="G106" s="380"/>
      <c r="H106" s="380"/>
      <c r="I106" s="380"/>
      <c r="J106" s="380"/>
      <c r="K106" s="380"/>
      <c r="L106" s="380"/>
      <c r="M106" s="380"/>
      <c r="N106" s="380"/>
      <c r="O106" s="93"/>
      <c r="P106" s="380"/>
      <c r="Q106" s="380"/>
      <c r="R106" s="380"/>
      <c r="S106" s="382" t="s">
        <v>346</v>
      </c>
      <c r="T106" s="97">
        <f>IF($N$55="B1e",#REF!,0)</f>
        <v>0</v>
      </c>
      <c r="U106" s="380"/>
      <c r="V106" s="380"/>
      <c r="W106" s="380"/>
      <c r="X106" s="380"/>
      <c r="Y106" s="380"/>
      <c r="Z106" s="461" t="str">
        <f>IF(T82="NVT",99.9,"")</f>
        <v/>
      </c>
      <c r="AA106" s="93"/>
      <c r="AB106" s="93"/>
      <c r="AC106" s="93"/>
      <c r="AD106" s="93"/>
      <c r="AE106" s="93"/>
      <c r="AF106" s="93"/>
      <c r="AG106" s="93"/>
      <c r="AH106" s="93"/>
    </row>
    <row r="107" spans="2:34" hidden="1" x14ac:dyDescent="0.3">
      <c r="B107" s="380"/>
      <c r="C107" s="380"/>
      <c r="D107" s="380"/>
      <c r="E107" s="380"/>
      <c r="F107" s="380"/>
      <c r="G107" s="380"/>
      <c r="H107" s="380"/>
      <c r="I107" s="380"/>
      <c r="J107" s="380"/>
      <c r="K107" s="380"/>
      <c r="L107" s="380"/>
      <c r="M107" s="380"/>
      <c r="N107" s="380"/>
      <c r="O107" s="93"/>
      <c r="P107" s="380"/>
      <c r="Q107" s="380"/>
      <c r="R107" s="380"/>
      <c r="S107" s="382" t="s">
        <v>336</v>
      </c>
      <c r="T107" s="97" t="str">
        <f>IF($H$55= "JA",IF(AND(T102="GOED",T103="GOED",T104=0,T105=0,T106=15),"GOED",IF(T104&gt;0,"LEEG",IF(T105&lt;2,"FOUT","FOUTEN"))),"NVT")</f>
        <v>NVT</v>
      </c>
      <c r="U107" s="380"/>
      <c r="V107" s="380"/>
      <c r="W107" s="380"/>
      <c r="X107" s="380"/>
      <c r="Y107" s="380"/>
      <c r="Z107" s="461" t="str">
        <f>IF(T82="NVT",99.9,"")</f>
        <v/>
      </c>
      <c r="AA107" s="93"/>
      <c r="AB107" s="93"/>
      <c r="AC107" s="93"/>
      <c r="AD107" s="93"/>
      <c r="AE107" s="93"/>
      <c r="AF107" s="93"/>
      <c r="AG107" s="93"/>
      <c r="AH107" s="93"/>
    </row>
    <row r="108" spans="2:34" hidden="1" x14ac:dyDescent="0.3">
      <c r="B108" s="1292" t="s">
        <v>368</v>
      </c>
      <c r="C108" s="1292"/>
      <c r="D108" s="1292"/>
      <c r="E108" s="1292"/>
      <c r="F108" s="1292"/>
      <c r="G108" s="393" t="s">
        <v>369</v>
      </c>
      <c r="H108" s="393" t="s">
        <v>370</v>
      </c>
      <c r="I108" s="393" t="s">
        <v>371</v>
      </c>
      <c r="J108" s="393" t="s">
        <v>372</v>
      </c>
      <c r="K108" s="393" t="s">
        <v>275</v>
      </c>
      <c r="L108" s="394"/>
      <c r="M108" s="394"/>
      <c r="N108" s="394"/>
      <c r="O108" s="93"/>
      <c r="P108" s="384"/>
      <c r="Q108" s="384"/>
      <c r="R108" s="384"/>
      <c r="S108" s="385"/>
      <c r="T108" s="384"/>
      <c r="U108" s="384"/>
      <c r="V108" s="384"/>
      <c r="W108" s="384"/>
      <c r="X108" s="385" t="s">
        <v>373</v>
      </c>
      <c r="Y108" s="98">
        <f ca="1">COUNT(Z57:Z107)</f>
        <v>22</v>
      </c>
      <c r="Z108" s="386">
        <f ca="1">IF(Y108&lt;23,B106,"")</f>
        <v>99.9</v>
      </c>
      <c r="AA108" s="93"/>
      <c r="AB108" s="93"/>
      <c r="AC108" s="93"/>
      <c r="AD108" s="93"/>
      <c r="AE108" s="93"/>
      <c r="AF108" s="93"/>
      <c r="AG108" s="93"/>
      <c r="AH108" s="93"/>
    </row>
    <row r="109" spans="2:34" hidden="1" x14ac:dyDescent="0.3">
      <c r="B109" s="1292" t="str">
        <f ca="1">SUBSTITUTE(D59,":","")</f>
        <v>Gegevens Deelnemer</v>
      </c>
      <c r="C109" s="1292"/>
      <c r="D109" s="1292"/>
      <c r="E109" s="1292"/>
      <c r="F109" s="1292"/>
      <c r="G109" s="393">
        <v>2</v>
      </c>
      <c r="H109" s="393">
        <f>IF(T62="LEEG",1,0)+IF(AD62="LEEG",IF(AD65="NEE",0,1),0)</f>
        <v>2</v>
      </c>
      <c r="I109" s="393">
        <f>IF(T62="GOED",1,0)+IF(AD62="GOED",1,0)+IF(AND(AD62="LEEG",AD65="NEE"),1,0)</f>
        <v>0</v>
      </c>
      <c r="J109" s="393">
        <f>IF(T62="FOUT",1,0)+IF(AD62="FOUT",1,0)</f>
        <v>0</v>
      </c>
      <c r="K109" s="646" t="str">
        <f>IF(AND(AF64="GOED",AF65="GOED"),"GOED",IF(OR(AF64="LEEG",AF65="LEEG"),"LEEG","FOUT"))</f>
        <v>LEEG</v>
      </c>
      <c r="L109" s="394"/>
      <c r="M109" s="394"/>
      <c r="N109" s="394"/>
      <c r="O109" s="93"/>
      <c r="P109" s="384"/>
      <c r="Q109" s="384"/>
      <c r="R109" s="384"/>
      <c r="S109" s="385"/>
      <c r="T109" s="384"/>
      <c r="U109" s="384"/>
      <c r="V109" s="384"/>
      <c r="W109" s="384"/>
      <c r="X109" s="384"/>
      <c r="Y109" s="384"/>
      <c r="Z109" s="386" t="str">
        <f ca="1">IF(Y108&lt;22,B106,"")</f>
        <v/>
      </c>
      <c r="AA109" s="93"/>
      <c r="AB109" s="93"/>
      <c r="AC109" s="93"/>
      <c r="AD109" s="93"/>
      <c r="AE109" s="93"/>
      <c r="AF109" s="93"/>
      <c r="AG109" s="93"/>
      <c r="AH109" s="93"/>
    </row>
    <row r="110" spans="2:34" hidden="1" x14ac:dyDescent="0.3">
      <c r="B110" s="1292" t="str">
        <f ca="1">SUBSTITUTE(D66,":","")</f>
        <v>Voorspellingen Groepswedstrijden</v>
      </c>
      <c r="C110" s="1292"/>
      <c r="D110" s="1292"/>
      <c r="E110" s="1292"/>
      <c r="F110" s="1292"/>
      <c r="G110" s="518">
        <f>IF($N$49="G1e",$AD$53,IF($N$49="G2e",$AE$53,999))</f>
        <v>72</v>
      </c>
      <c r="H110" s="393">
        <f ca="1">T68</f>
        <v>72</v>
      </c>
      <c r="I110" s="393">
        <f ca="1">T71</f>
        <v>0</v>
      </c>
      <c r="J110" s="393">
        <f ca="1">T69+T70</f>
        <v>0</v>
      </c>
      <c r="K110" s="393" t="str">
        <f ca="1">T72</f>
        <v>LEEG</v>
      </c>
      <c r="L110" s="394"/>
      <c r="M110" s="395"/>
      <c r="N110" s="394"/>
      <c r="O110" s="93"/>
      <c r="P110" s="384"/>
      <c r="Q110" s="384"/>
      <c r="R110" s="384"/>
      <c r="S110" s="385"/>
      <c r="T110" s="384"/>
      <c r="U110" s="384"/>
      <c r="V110" s="384"/>
      <c r="W110" s="384"/>
      <c r="X110" s="384"/>
      <c r="Y110" s="384"/>
      <c r="Z110" s="386" t="str">
        <f ca="1">IF(Y108&lt;21,B106,"")</f>
        <v/>
      </c>
      <c r="AA110" s="93"/>
      <c r="AB110" s="93"/>
      <c r="AC110" s="93"/>
      <c r="AD110" s="93"/>
      <c r="AE110" s="93"/>
      <c r="AF110" s="93"/>
      <c r="AG110" s="93"/>
      <c r="AH110" s="93"/>
    </row>
    <row r="111" spans="2:34" hidden="1" x14ac:dyDescent="0.3">
      <c r="B111" s="1292" t="str">
        <f ca="1">SUBSTITUTE(D74,":","")</f>
        <v>Voorspellingen Eindstand in de Groep</v>
      </c>
      <c r="C111" s="1292"/>
      <c r="D111" s="1292"/>
      <c r="E111" s="1292"/>
      <c r="F111" s="1292"/>
      <c r="G111" s="518">
        <f>IF(T82="NVT",0,$AD$51)</f>
        <v>24</v>
      </c>
      <c r="H111" s="393">
        <f>IF(T82="NVT",0,T78)</f>
        <v>24</v>
      </c>
      <c r="I111" s="393">
        <f>IF(T82="NVT",0,T81)</f>
        <v>0</v>
      </c>
      <c r="J111" s="393">
        <f>IF(T82="NVT",0,T79+T80)</f>
        <v>0</v>
      </c>
      <c r="K111" s="393" t="str">
        <f>IF(T82="NVT","GOED",T82)</f>
        <v>LEEG</v>
      </c>
      <c r="L111" s="394"/>
      <c r="M111" s="395"/>
      <c r="N111" s="394"/>
      <c r="O111" s="93"/>
      <c r="P111" s="384"/>
      <c r="Q111" s="384"/>
      <c r="R111" s="384"/>
      <c r="S111" s="385"/>
      <c r="T111" s="384"/>
      <c r="U111" s="384"/>
      <c r="V111" s="384"/>
      <c r="W111" s="384"/>
      <c r="X111" s="384"/>
      <c r="Y111" s="384"/>
      <c r="Z111" s="386" t="str">
        <f ca="1">IF(Y108&lt;20,B106,"")</f>
        <v/>
      </c>
      <c r="AA111" s="93"/>
      <c r="AB111" s="93"/>
      <c r="AC111" s="93"/>
      <c r="AD111" s="93"/>
      <c r="AE111" s="93"/>
      <c r="AF111" s="93"/>
      <c r="AG111" s="93"/>
      <c r="AH111" s="93"/>
    </row>
    <row r="112" spans="2:34" hidden="1" x14ac:dyDescent="0.3">
      <c r="B112" s="1292" t="str">
        <f ca="1">SUBSTITUTE(D82,":","")</f>
        <v>Voorspellingen Finalewedstrijden</v>
      </c>
      <c r="C112" s="1292"/>
      <c r="D112" s="1292"/>
      <c r="E112" s="1292"/>
      <c r="F112" s="1292"/>
      <c r="G112" s="518">
        <f>IF($N$51="F1e",$AD$54,IF($N$51="F2e",$AE$54,IF($N$51="F3e",$AF$54,999)))</f>
        <v>60</v>
      </c>
      <c r="H112" s="393">
        <f>T88</f>
        <v>60</v>
      </c>
      <c r="I112" s="393">
        <f>T91</f>
        <v>0</v>
      </c>
      <c r="J112" s="393">
        <f>T89+T90</f>
        <v>0</v>
      </c>
      <c r="K112" s="393" t="str">
        <f>T92</f>
        <v>LEEG</v>
      </c>
      <c r="L112" s="394"/>
      <c r="M112" s="395"/>
      <c r="N112" s="394"/>
      <c r="O112" s="93"/>
      <c r="P112" s="384"/>
      <c r="Q112" s="384"/>
      <c r="R112" s="384"/>
      <c r="S112" s="385"/>
      <c r="T112" s="384"/>
      <c r="U112" s="384"/>
      <c r="V112" s="384"/>
      <c r="W112" s="384"/>
      <c r="X112" s="384"/>
      <c r="Y112" s="384"/>
      <c r="Z112" s="386" t="str">
        <f ca="1">IF(Y108&lt;19,B106,"")</f>
        <v/>
      </c>
      <c r="AA112" s="93"/>
      <c r="AB112" s="93"/>
      <c r="AC112" s="93"/>
      <c r="AD112" s="93"/>
      <c r="AE112" s="93"/>
      <c r="AF112" s="93"/>
      <c r="AG112" s="93"/>
      <c r="AH112" s="93"/>
    </row>
    <row r="113" spans="2:34" hidden="1" x14ac:dyDescent="0.3">
      <c r="B113" s="1292" t="str">
        <f ca="1">SUBSTITUTE(D90,":","")</f>
        <v>Voorspelling Winnaar EK2020</v>
      </c>
      <c r="C113" s="1292"/>
      <c r="D113" s="1292"/>
      <c r="E113" s="1292"/>
      <c r="F113" s="1292"/>
      <c r="G113" s="393">
        <v>1</v>
      </c>
      <c r="H113" s="393">
        <f>IF(K113="LEEG",1,0)</f>
        <v>1</v>
      </c>
      <c r="I113" s="393">
        <f>IF(K113="GOED",1,0)</f>
        <v>0</v>
      </c>
      <c r="J113" s="393">
        <f>IF(K113="FOUT",1,0)</f>
        <v>0</v>
      </c>
      <c r="K113" s="393" t="str">
        <f>T98</f>
        <v>LEEG</v>
      </c>
      <c r="L113" s="396" t="s">
        <v>374</v>
      </c>
      <c r="M113" s="395"/>
      <c r="N113" s="394"/>
      <c r="O113" s="93"/>
      <c r="P113" s="93"/>
      <c r="Q113" s="93"/>
      <c r="R113" s="93"/>
      <c r="S113" s="93"/>
      <c r="T113" s="93"/>
      <c r="U113" s="93"/>
      <c r="V113" s="93"/>
      <c r="W113" s="93"/>
      <c r="X113" s="93"/>
      <c r="Y113" s="93"/>
      <c r="Z113" s="385" t="str">
        <f ca="1">IF(Y108&lt;18,B106,"")</f>
        <v/>
      </c>
      <c r="AA113" s="93"/>
      <c r="AB113" s="93"/>
      <c r="AC113" s="93"/>
      <c r="AD113" s="93"/>
      <c r="AE113" s="93"/>
      <c r="AF113" s="93"/>
      <c r="AG113" s="93"/>
      <c r="AH113" s="93"/>
    </row>
    <row r="114" spans="2:34" hidden="1" x14ac:dyDescent="0.3">
      <c r="B114" s="1292" t="str">
        <f ca="1">SUBSTITUTE(D96,":","")</f>
        <v>Bonusvragen</v>
      </c>
      <c r="C114" s="1292"/>
      <c r="D114" s="1292"/>
      <c r="E114" s="1292"/>
      <c r="F114" s="1292"/>
      <c r="G114" s="393">
        <f>IF(T107="NVT",0,15)</f>
        <v>0</v>
      </c>
      <c r="H114" s="393">
        <f>IF(T107="NVT",0,T104)</f>
        <v>0</v>
      </c>
      <c r="I114" s="393">
        <f>IF(T107="NVT",0,T106)</f>
        <v>0</v>
      </c>
      <c r="J114" s="393">
        <f>IF(T107="NVT",0,T105)</f>
        <v>0</v>
      </c>
      <c r="K114" s="393" t="str">
        <f>IF(T107="NVT","GOED",T107)</f>
        <v>GOED</v>
      </c>
      <c r="L114" s="396" t="s">
        <v>375</v>
      </c>
      <c r="M114" s="394"/>
      <c r="N114" s="394"/>
      <c r="O114" s="93"/>
      <c r="P114" s="1306">
        <f ca="1">LEN(S114)/3</f>
        <v>23</v>
      </c>
      <c r="Q114" s="1306"/>
      <c r="R114" s="1306"/>
      <c r="S114" s="1306" t="str">
        <f ca="1">IF(X118=1,IF(ISNUMBER(Z58),Z58*10,"")&amp;IF(ISNUMBER(Z59),Z59*10,"")&amp;IF(ISNUMBER(Z60),Z60*10,"")&amp;IF(ISNUMBER(Z63),Z63*10,"")&amp;IF(ISNUMBER(Z65),Z65*10,"")&amp;IF(ISNUMBER(Z66),Z66*10,"")&amp;IF(ISNUMBER(Z67),Z67*10,"")&amp;IF(ISNUMBER(Z73),Z73*10,"")&amp;IF(ISNUMBER(Z75),Z75*10,"")&amp;IF(ISNUMBER(Z76),Z76*10,"")&amp;IF(ISNUMBER(Z77),Z77*10,"")&amp;IF(ISNUMBER(Z83),Z83*10,"")&amp;IF(ISNUMBER(Z85),Z85*10,"")&amp;IF(ISNUMBER(Z86),Z86*10,"")&amp;IF(ISNUMBER(Z87),Z87*10,"")&amp;IF(ISNUMBER(Z93),Z93*10,"")&amp;IF(ISNUMBER(Z95),Z95*10,"")&amp;IF(ISNUMBER(Z96),Z96*10,"")&amp;IF(ISNUMBER(Z97),Z97*10,"")&amp;IF(ISNUMBER(Z99),Z99*10,"")&amp;IF(ISNUMBER(Z101),Z101*10,"")&amp;IF(ISNUMBER(Z102),Z102*10,"")&amp;IF(ISNUMBER(Z103),Z103*10,"")&amp;IF(ISNUMBER(Z105),Z105*10,"")&amp;IF(ISNUMBER(Z106),Z106*10,"")&amp;IF(ISNUMBER(Z107),Z107*10,"")&amp;IF(ISNUMBER(Z108),Z108*10,"")&amp;IF(ISNUMBER(Z109),Z109*10,"")&amp;IF(ISNUMBER(Z110),Z110*10,"")&amp;IF(ISNUMBER(Z111),Z111*10,"")&amp;IF(ISNUMBER(Z112),Z112*10,"")&amp;IF(ISNUMBER(Z113),Z113*10,""),"888999999999999999999999999999999999999999999999999999999999999999999")</f>
        <v>100111112999200211212999250261262999300311312999400411412999999999999</v>
      </c>
      <c r="T114" s="1306"/>
      <c r="U114" s="1306"/>
      <c r="V114" s="1306"/>
      <c r="W114" s="1306"/>
      <c r="X114" s="1306"/>
      <c r="Y114" s="1306"/>
      <c r="Z114" s="1306"/>
      <c r="AA114" s="380"/>
      <c r="AB114" s="380"/>
      <c r="AC114" s="380"/>
      <c r="AD114" s="380"/>
      <c r="AE114" s="380"/>
      <c r="AF114" s="380"/>
      <c r="AG114" s="380"/>
      <c r="AH114" s="380"/>
    </row>
    <row r="115" spans="2:34" hidden="1" x14ac:dyDescent="0.3">
      <c r="B115" s="1292" t="s">
        <v>315</v>
      </c>
      <c r="C115" s="1292"/>
      <c r="D115" s="1292"/>
      <c r="E115" s="1292"/>
      <c r="F115" s="1292"/>
      <c r="G115" s="393">
        <f>SUM(G109:G114)</f>
        <v>159</v>
      </c>
      <c r="H115" s="393">
        <f ca="1">SUM(H109:H114)</f>
        <v>159</v>
      </c>
      <c r="I115" s="393">
        <f ca="1">SUM(I109:I114)</f>
        <v>0</v>
      </c>
      <c r="J115" s="393">
        <f ca="1">SUM(J109:J114)</f>
        <v>0</v>
      </c>
      <c r="K115" s="393">
        <f ca="1">COUNTIF(K109:K114,"GOED")</f>
        <v>1</v>
      </c>
      <c r="L115" s="396" t="s">
        <v>376</v>
      </c>
      <c r="M115" s="395"/>
      <c r="N115" s="395"/>
      <c r="O115" s="111"/>
      <c r="P115" s="111"/>
      <c r="Q115" s="111"/>
      <c r="R115" s="111"/>
      <c r="S115" s="397"/>
      <c r="T115" s="111"/>
      <c r="U115" s="111"/>
      <c r="V115" s="111"/>
      <c r="W115" s="111"/>
      <c r="X115" s="111"/>
      <c r="Y115" s="111"/>
      <c r="Z115" s="111"/>
      <c r="AA115" s="111"/>
      <c r="AB115" s="111"/>
      <c r="AC115" s="111"/>
      <c r="AD115" s="111"/>
      <c r="AE115" s="111"/>
      <c r="AF115" s="111"/>
      <c r="AG115" s="111"/>
      <c r="AH115" s="111"/>
    </row>
    <row r="116" spans="2:34" ht="15" hidden="1" customHeight="1" x14ac:dyDescent="0.3">
      <c r="B116" s="395" t="s">
        <v>377</v>
      </c>
      <c r="C116" s="395"/>
      <c r="D116" s="395"/>
      <c r="E116" s="395"/>
      <c r="F116" s="398"/>
      <c r="G116" s="395"/>
      <c r="H116" s="395"/>
      <c r="I116" s="395"/>
      <c r="J116" s="395"/>
      <c r="K116" s="394">
        <f ca="1">IF(AND(G115=I115,H115=0,J115=0,K115=6),1,IF(H115&gt;0,IF(J115&gt;0,4,2),3))</f>
        <v>2</v>
      </c>
      <c r="L116" s="396" t="s">
        <v>378</v>
      </c>
      <c r="M116" s="395"/>
      <c r="N116" s="395"/>
      <c r="O116" s="111"/>
      <c r="P116" s="111"/>
      <c r="Q116" s="111"/>
      <c r="R116" s="1302" t="s">
        <v>174</v>
      </c>
      <c r="S116" s="1302"/>
      <c r="T116" s="1302"/>
      <c r="U116" s="1302"/>
      <c r="V116" s="1302"/>
      <c r="W116" s="1302"/>
      <c r="X116" s="1302"/>
      <c r="Y116" s="1302"/>
      <c r="Z116" s="399"/>
      <c r="AA116" s="647"/>
      <c r="AB116" s="647"/>
      <c r="AC116" s="647"/>
      <c r="AD116" s="647"/>
      <c r="AE116" s="647"/>
      <c r="AF116" s="647"/>
      <c r="AG116" s="647"/>
      <c r="AH116" s="111"/>
    </row>
    <row r="117" spans="2:34" ht="15" hidden="1" customHeight="1" x14ac:dyDescent="0.3">
      <c r="B117" s="400" t="s">
        <v>379</v>
      </c>
      <c r="C117" s="401"/>
      <c r="D117" s="401"/>
      <c r="E117" s="401"/>
      <c r="F117" s="401"/>
      <c r="G117" s="401"/>
      <c r="H117" s="401"/>
      <c r="I117" s="401"/>
      <c r="J117" s="401"/>
      <c r="K117" s="401"/>
      <c r="L117" s="401"/>
      <c r="M117" s="401"/>
      <c r="N117" s="401"/>
      <c r="O117" s="111"/>
      <c r="P117" s="111"/>
      <c r="Q117" s="111"/>
      <c r="R117" s="1302"/>
      <c r="S117" s="1302"/>
      <c r="T117" s="1302"/>
      <c r="U117" s="1302"/>
      <c r="V117" s="1302"/>
      <c r="W117" s="1302"/>
      <c r="X117" s="1302"/>
      <c r="Y117" s="1302"/>
      <c r="Z117" s="399"/>
      <c r="AA117" s="647"/>
      <c r="AB117" s="648" t="s">
        <v>544</v>
      </c>
      <c r="AC117" s="647"/>
      <c r="AD117" s="647"/>
      <c r="AE117" s="647"/>
      <c r="AF117" s="647"/>
      <c r="AG117" s="647"/>
      <c r="AH117" s="111"/>
    </row>
    <row r="118" spans="2:34" hidden="1" x14ac:dyDescent="0.3">
      <c r="B118" s="1303" t="str">
        <f ca="1">IF(K115&lt;4,Taal04!$B$221,Taal04!$B$220)</f>
        <v>De deelnamecode kan niet worden gegenereerd door het ontbreken van gegevens of foutieve waarden. Het gaat om de volgende onderdelen</v>
      </c>
      <c r="C118" s="1304"/>
      <c r="D118" s="1304"/>
      <c r="E118" s="1304"/>
      <c r="F118" s="1304"/>
      <c r="G118" s="1304"/>
      <c r="H118" s="1304"/>
      <c r="I118" s="1304"/>
      <c r="J118" s="1304"/>
      <c r="K118" s="1304"/>
      <c r="L118" s="1304"/>
      <c r="M118" s="1305"/>
      <c r="N118" s="401"/>
      <c r="O118" s="111"/>
      <c r="P118" s="111"/>
      <c r="Q118" s="111"/>
      <c r="R118" s="1296" t="s">
        <v>301</v>
      </c>
      <c r="S118" s="1296"/>
      <c r="T118" s="1296"/>
      <c r="U118" s="1296"/>
      <c r="V118" s="1296"/>
      <c r="W118" s="1297"/>
      <c r="X118" s="133">
        <f>Reglement!Q81</f>
        <v>1</v>
      </c>
      <c r="Y118" s="174"/>
      <c r="Z118" s="111"/>
      <c r="AA118" s="647"/>
      <c r="AB118" s="1288" t="str">
        <f ca="1">Taal04!B223</f>
        <v>Dit deelname formulier betreft een demo-versie voor het EK2020 in Europa. Het generenen van een deelnamecode is hierin uitgeschakeld ongeacht of alle onderdelen juist zijn ingevuld.</v>
      </c>
      <c r="AC118" s="1288"/>
      <c r="AD118" s="1288"/>
      <c r="AE118" s="1288"/>
      <c r="AF118" s="1288"/>
      <c r="AG118" s="647"/>
      <c r="AH118" s="111"/>
    </row>
    <row r="119" spans="2:34" hidden="1" x14ac:dyDescent="0.3">
      <c r="B119" s="1303" t="str">
        <f>": "</f>
        <v xml:space="preserve">: </v>
      </c>
      <c r="C119" s="1304"/>
      <c r="D119" s="1304"/>
      <c r="E119" s="1304"/>
      <c r="F119" s="1304"/>
      <c r="G119" s="1304"/>
      <c r="H119" s="1304"/>
      <c r="I119" s="1304"/>
      <c r="J119" s="1304"/>
      <c r="K119" s="1304"/>
      <c r="L119" s="1304"/>
      <c r="M119" s="1305"/>
      <c r="N119" s="401"/>
      <c r="O119" s="111"/>
      <c r="P119" s="111"/>
      <c r="Q119" s="111"/>
      <c r="R119" s="1290" t="str">
        <f ca="1">Taal04!B222</f>
        <v>De deelnamecode kan niet worden gegenereerd door het ontbreken van het reglement. Vraag uw organisator om het reglement toe te voegen aan uw deelname formulier.</v>
      </c>
      <c r="S119" s="1290"/>
      <c r="T119" s="1290"/>
      <c r="U119" s="1290"/>
      <c r="V119" s="1290"/>
      <c r="W119" s="1290"/>
      <c r="X119" s="1290"/>
      <c r="Y119" s="1290"/>
      <c r="Z119" s="111"/>
      <c r="AA119" s="647"/>
      <c r="AB119" s="1288"/>
      <c r="AC119" s="1288"/>
      <c r="AD119" s="1288"/>
      <c r="AE119" s="1288"/>
      <c r="AF119" s="1288"/>
      <c r="AG119" s="647"/>
      <c r="AH119" s="111"/>
    </row>
    <row r="120" spans="2:34" ht="15" hidden="1" customHeight="1" x14ac:dyDescent="0.3">
      <c r="B120" s="1298" t="str">
        <f ca="1">IF(K109="GOED","",B109)</f>
        <v>Gegevens Deelnemer</v>
      </c>
      <c r="C120" s="1298"/>
      <c r="D120" s="1298"/>
      <c r="E120" s="1298"/>
      <c r="F120" s="1298"/>
      <c r="G120" s="1298"/>
      <c r="H120" s="64" t="str">
        <f ca="1">IF(B120="","",IF(AND(B121="",B122="",I120="",I121="",I122=""),"",", "))</f>
        <v xml:space="preserve">, </v>
      </c>
      <c r="I120" s="1298" t="str">
        <f ca="1">IF(K112="GOED","",B112)</f>
        <v>Voorspellingen Finalewedstrijden</v>
      </c>
      <c r="J120" s="1298"/>
      <c r="K120" s="1298"/>
      <c r="L120" s="1298"/>
      <c r="M120" s="64" t="str">
        <f ca="1">IF(I120="","",IF(AND(I121="",I122=""),"",", "))</f>
        <v xml:space="preserve">, </v>
      </c>
      <c r="N120" s="401"/>
      <c r="O120" s="111"/>
      <c r="P120" s="111"/>
      <c r="Q120" s="111"/>
      <c r="R120" s="1290"/>
      <c r="S120" s="1290"/>
      <c r="T120" s="1290"/>
      <c r="U120" s="1290"/>
      <c r="V120" s="1290"/>
      <c r="W120" s="1290"/>
      <c r="X120" s="1290"/>
      <c r="Y120" s="1290"/>
      <c r="Z120" s="111"/>
      <c r="AA120" s="647"/>
      <c r="AB120" s="1288"/>
      <c r="AC120" s="1288"/>
      <c r="AD120" s="1288"/>
      <c r="AE120" s="1288"/>
      <c r="AF120" s="1288"/>
      <c r="AG120" s="647"/>
      <c r="AH120" s="111"/>
    </row>
    <row r="121" spans="2:34" ht="15" hidden="1" customHeight="1" x14ac:dyDescent="0.3">
      <c r="B121" s="1298" t="str">
        <f ca="1">IF(K110="GOED","",B110)</f>
        <v>Voorspellingen Groepswedstrijden</v>
      </c>
      <c r="C121" s="1298"/>
      <c r="D121" s="1298"/>
      <c r="E121" s="1298"/>
      <c r="F121" s="1298"/>
      <c r="G121" s="1298"/>
      <c r="H121" s="64" t="str">
        <f ca="1">IF(B121="","",IF(AND(B122="",I120="",I121="",I122=""),"",", "))</f>
        <v xml:space="preserve">, </v>
      </c>
      <c r="I121" s="1298" t="str">
        <f ca="1">IF(K113="GOED","",B113)</f>
        <v>Voorspelling Winnaar EK2020</v>
      </c>
      <c r="J121" s="1298"/>
      <c r="K121" s="1298"/>
      <c r="L121" s="1298"/>
      <c r="M121" s="64" t="str">
        <f ca="1">IF(I121="","",IF(I122="","",", "))</f>
        <v/>
      </c>
      <c r="N121" s="401"/>
      <c r="O121" s="111"/>
      <c r="P121" s="111"/>
      <c r="Q121" s="111"/>
      <c r="R121" s="1308" t="s">
        <v>149</v>
      </c>
      <c r="S121" s="1308"/>
      <c r="T121" s="1308"/>
      <c r="U121" s="1308"/>
      <c r="V121" s="1308"/>
      <c r="W121" s="1308"/>
      <c r="X121" s="1308"/>
      <c r="Y121" s="1308"/>
      <c r="Z121" s="111"/>
      <c r="AA121" s="647"/>
      <c r="AB121" s="1288"/>
      <c r="AC121" s="1288"/>
      <c r="AD121" s="1288"/>
      <c r="AE121" s="1288"/>
      <c r="AF121" s="1288"/>
      <c r="AG121" s="647"/>
      <c r="AH121" s="111"/>
    </row>
    <row r="122" spans="2:34" hidden="1" x14ac:dyDescent="0.3">
      <c r="B122" s="1298" t="str">
        <f ca="1">IF(K111="GOED","",B111)</f>
        <v>Voorspellingen Eindstand in de Groep</v>
      </c>
      <c r="C122" s="1298"/>
      <c r="D122" s="1298"/>
      <c r="E122" s="1298"/>
      <c r="F122" s="1298"/>
      <c r="G122" s="1298"/>
      <c r="H122" s="64" t="str">
        <f ca="1">IF(B122="","",IF(AND(I120="",I121="",I122=""),"",", "))</f>
        <v xml:space="preserve">, </v>
      </c>
      <c r="I122" s="1298" t="str">
        <f>IF(K114="GOED","",B114)</f>
        <v/>
      </c>
      <c r="J122" s="1298"/>
      <c r="K122" s="1298"/>
      <c r="L122" s="1298"/>
      <c r="M122" s="64" t="s">
        <v>380</v>
      </c>
      <c r="N122" s="401"/>
      <c r="O122" s="111"/>
      <c r="P122" s="111"/>
      <c r="Q122" s="111"/>
      <c r="R122" s="1308"/>
      <c r="S122" s="1308"/>
      <c r="T122" s="1308"/>
      <c r="U122" s="1308"/>
      <c r="V122" s="1308"/>
      <c r="W122" s="1308"/>
      <c r="X122" s="1308"/>
      <c r="Y122" s="1308"/>
      <c r="Z122" s="111"/>
      <c r="AA122" s="647"/>
      <c r="AB122" s="647"/>
      <c r="AC122" s="647"/>
      <c r="AD122" s="647"/>
      <c r="AE122" s="647"/>
      <c r="AF122" s="647"/>
      <c r="AG122" s="647"/>
      <c r="AH122" s="111"/>
    </row>
    <row r="123" spans="2:34" hidden="1" x14ac:dyDescent="0.3">
      <c r="B123" s="400" t="s">
        <v>381</v>
      </c>
      <c r="C123" s="401"/>
      <c r="D123" s="401"/>
      <c r="E123" s="401"/>
      <c r="F123" s="401"/>
      <c r="G123" s="401"/>
      <c r="H123" s="401"/>
      <c r="I123" s="401"/>
      <c r="J123" s="401"/>
      <c r="K123" s="401"/>
      <c r="L123" s="401"/>
      <c r="M123" s="401"/>
      <c r="N123" s="401"/>
      <c r="O123" s="111"/>
      <c r="P123" s="111"/>
      <c r="Q123" s="111"/>
      <c r="R123" s="406"/>
      <c r="S123" s="406"/>
      <c r="T123" s="406"/>
      <c r="U123" s="406"/>
      <c r="V123" s="133" t="str">
        <f>"|"&amp;RIGHT(O44,2)</f>
        <v>|dj</v>
      </c>
      <c r="W123" s="102"/>
      <c r="X123" s="102"/>
      <c r="Y123" s="102"/>
      <c r="Z123" s="111"/>
      <c r="AA123" s="647"/>
      <c r="AB123" s="648" t="s">
        <v>1410</v>
      </c>
      <c r="AC123" s="647"/>
      <c r="AD123" s="647"/>
      <c r="AE123" s="647"/>
      <c r="AF123" s="454">
        <v>2</v>
      </c>
      <c r="AG123" s="647"/>
      <c r="AH123" s="111"/>
    </row>
    <row r="124" spans="2:34" hidden="1" x14ac:dyDescent="0.3">
      <c r="B124" s="1303" t="str">
        <f ca="1">IF(OR(F123=1,AF123=3),AB118,V123&amp;T65&amp;IF(T82="NVT","",T75)&amp;T85&amp;T95&amp;T58&amp;"|"&amp;IF(T107="NVT","",T101)&amp;IF(AD62="GOED",AD58&amp;"]","")&amp;IF(AF123=0,"BETA",""))</f>
        <v>|dj|FOUTFOUTFOUTFOUTFOUTFOUTFOUTFOUTFOUTFOUTFOUTFOUTFOUTFOUTFOUTFOUTFOUTFOUTFOUTFOUTFOUTFOUTFOUTFOUTFOUTFOUTFOUTFOUTFOUTFOUTFOUTFOUTFOUTFOUTFOUTFOUTFOUTFOUTFOUTFOUTFOUTFOUTFOUTFOUTFOUTFOUTFOUTFOUTFOUTFOUTFOUTFOUTFOUTFOUTFOUTFOUTFOUTFOUT|0#|</v>
      </c>
      <c r="C124" s="1304"/>
      <c r="D124" s="1304"/>
      <c r="E124" s="1304"/>
      <c r="F124" s="1304"/>
      <c r="G124" s="1304"/>
      <c r="H124" s="1304"/>
      <c r="I124" s="1304"/>
      <c r="J124" s="1304"/>
      <c r="K124" s="1304"/>
      <c r="L124" s="1304"/>
      <c r="M124" s="1304"/>
      <c r="N124" s="1305"/>
      <c r="O124" s="111"/>
      <c r="P124" s="111"/>
      <c r="Q124" s="111"/>
      <c r="R124" s="102"/>
      <c r="S124" s="102"/>
      <c r="T124" s="102"/>
      <c r="U124" s="102"/>
      <c r="V124" s="102"/>
      <c r="W124" s="102"/>
      <c r="X124" s="102"/>
      <c r="Y124" s="102"/>
      <c r="Z124" s="111"/>
      <c r="AA124" s="647"/>
      <c r="AB124" s="1012" t="str">
        <f ca="1">V123&amp;T65&amp;IF(T82="NVT","",T75)&amp;T85&amp;T95&amp;T58&amp;"|"&amp;IF(T107="NVT","",T101)&amp;IF(AD62="GOED",AD58&amp;"]","")</f>
        <v>|dj|FOUTFOUTFOUTFOUTFOUTFOUTFOUTFOUTFOUTFOUTFOUTFOUTFOUTFOUTFOUTFOUTFOUTFOUTFOUTFOUTFOUTFOUTFOUTFOUTFOUTFOUTFOUTFOUTFOUTFOUTFOUTFOUTFOUTFOUTFOUTFOUTFOUTFOUTFOUTFOUTFOUTFOUTFOUTFOUTFOUTFOUTFOUTFOUTFOUTFOUTFOUTFOUTFOUTFOUTFOUTFOUTFOUTFOUT|0#|</v>
      </c>
      <c r="AC124" s="1012"/>
      <c r="AD124" s="1012"/>
      <c r="AE124" s="647"/>
      <c r="AF124" s="647"/>
      <c r="AG124" s="647"/>
      <c r="AH124" s="111"/>
    </row>
    <row r="125" spans="2:34" hidden="1" x14ac:dyDescent="0.3">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647"/>
      <c r="AB125" s="647"/>
      <c r="AC125" s="647"/>
      <c r="AD125" s="647"/>
      <c r="AE125" s="647"/>
      <c r="AF125" s="649" t="s">
        <v>958</v>
      </c>
      <c r="AG125" s="647"/>
      <c r="AH125" s="111"/>
    </row>
    <row r="126" spans="2:34" hidden="1" x14ac:dyDescent="0.3">
      <c r="B126" s="111"/>
      <c r="C126" s="12" t="str">
        <f ca="1">E36</f>
        <v>De deelnamecode kan niet worden gegenereerd door het ontbreken van gegevens of foutieve waarden. Het gaat om de volgende onderdelen: Gegevens Deelnemer, Voorspellingen Groepswedstrijden, Voorspellingen Eindstand in de Groep, Voorspellingen Finalewedstrijden, Voorspelling Winnaar EK2020.</v>
      </c>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row>
    <row r="127" spans="2:34" x14ac:dyDescent="0.3">
      <c r="S127" s="70"/>
    </row>
    <row r="128" spans="2:34" x14ac:dyDescent="0.3">
      <c r="S128" s="70"/>
    </row>
    <row r="129" spans="19:19" x14ac:dyDescent="0.3">
      <c r="S129" s="70"/>
    </row>
    <row r="130" spans="19:19" x14ac:dyDescent="0.3">
      <c r="S130" s="70"/>
    </row>
    <row r="131" spans="19:19" x14ac:dyDescent="0.3">
      <c r="S131" s="70"/>
    </row>
    <row r="132" spans="19:19" x14ac:dyDescent="0.3">
      <c r="S132" s="70"/>
    </row>
    <row r="133" spans="19:19" x14ac:dyDescent="0.3">
      <c r="S133" s="70"/>
    </row>
    <row r="134" spans="19:19" x14ac:dyDescent="0.3">
      <c r="S134" s="70"/>
    </row>
    <row r="135" spans="19:19" x14ac:dyDescent="0.3">
      <c r="S135" s="70"/>
    </row>
    <row r="136" spans="19:19" x14ac:dyDescent="0.3">
      <c r="S136" s="70"/>
    </row>
    <row r="137" spans="19:19" x14ac:dyDescent="0.3">
      <c r="S137" s="70"/>
    </row>
    <row r="138" spans="19:19" x14ac:dyDescent="0.3">
      <c r="S138" s="70"/>
    </row>
    <row r="139" spans="19:19" x14ac:dyDescent="0.3">
      <c r="S139" s="70"/>
    </row>
    <row r="140" spans="19:19" x14ac:dyDescent="0.3">
      <c r="S140" s="70"/>
    </row>
    <row r="141" spans="19:19" x14ac:dyDescent="0.3">
      <c r="S141" s="70"/>
    </row>
    <row r="142" spans="19:19" x14ac:dyDescent="0.3">
      <c r="S142" s="70"/>
    </row>
  </sheetData>
  <sheetProtection algorithmName="SHA-512" hashValue="eVEOEQXdTsOhYuKh8MkFQ4vg+cknaWy2rvnXTPiJl5zRHXaSXgX+YzbezgL28ZE2LFV7tvowPNtp6YNv2LmC9g==" saltValue="XJ6LqPeq4VPJPvnkFqpTkg==" spinCount="100000" sheet="1" objects="1" scenarios="1" selectLockedCells="1"/>
  <mergeCells count="114">
    <mergeCell ref="B95:C95"/>
    <mergeCell ref="B86:C86"/>
    <mergeCell ref="B87:C87"/>
    <mergeCell ref="B124:N124"/>
    <mergeCell ref="B119:M119"/>
    <mergeCell ref="B106:C106"/>
    <mergeCell ref="B60:C60"/>
    <mergeCell ref="B62:C62"/>
    <mergeCell ref="B64:C64"/>
    <mergeCell ref="I121:L121"/>
    <mergeCell ref="B114:F114"/>
    <mergeCell ref="B97:C97"/>
    <mergeCell ref="B65:C65"/>
    <mergeCell ref="B96:C96"/>
    <mergeCell ref="B91:C91"/>
    <mergeCell ref="B92:C92"/>
    <mergeCell ref="B93:C93"/>
    <mergeCell ref="P114:R114"/>
    <mergeCell ref="B115:F115"/>
    <mergeCell ref="B122:G122"/>
    <mergeCell ref="I122:L122"/>
    <mergeCell ref="R121:Y122"/>
    <mergeCell ref="B121:G121"/>
    <mergeCell ref="B98:C98"/>
    <mergeCell ref="B99:C99"/>
    <mergeCell ref="B100:C100"/>
    <mergeCell ref="B101:C101"/>
    <mergeCell ref="D28:P28"/>
    <mergeCell ref="B74:C74"/>
    <mergeCell ref="R118:W118"/>
    <mergeCell ref="B120:G120"/>
    <mergeCell ref="I120:L120"/>
    <mergeCell ref="O48:Q48"/>
    <mergeCell ref="O49:Q49"/>
    <mergeCell ref="O50:Q50"/>
    <mergeCell ref="O51:Q51"/>
    <mergeCell ref="O52:Q52"/>
    <mergeCell ref="O55:Q55"/>
    <mergeCell ref="B89:C89"/>
    <mergeCell ref="B90:C90"/>
    <mergeCell ref="B80:C80"/>
    <mergeCell ref="B109:F109"/>
    <mergeCell ref="B108:F108"/>
    <mergeCell ref="R116:Y117"/>
    <mergeCell ref="B118:M118"/>
    <mergeCell ref="B71:C71"/>
    <mergeCell ref="B72:C72"/>
    <mergeCell ref="B73:C73"/>
    <mergeCell ref="S114:Z114"/>
    <mergeCell ref="Z49:AC49"/>
    <mergeCell ref="T48:T55"/>
    <mergeCell ref="AB118:AF121"/>
    <mergeCell ref="O84:O92"/>
    <mergeCell ref="O74:O82"/>
    <mergeCell ref="O64:O72"/>
    <mergeCell ref="R119:Y120"/>
    <mergeCell ref="B46:Q46"/>
    <mergeCell ref="B61:C61"/>
    <mergeCell ref="B63:C63"/>
    <mergeCell ref="B59:C59"/>
    <mergeCell ref="B75:C75"/>
    <mergeCell ref="B76:C76"/>
    <mergeCell ref="B77:C77"/>
    <mergeCell ref="B78:C78"/>
    <mergeCell ref="B79:C79"/>
    <mergeCell ref="B68:C68"/>
    <mergeCell ref="B69:C69"/>
    <mergeCell ref="B70:C70"/>
    <mergeCell ref="B110:F110"/>
    <mergeCell ref="B111:F111"/>
    <mergeCell ref="B112:F112"/>
    <mergeCell ref="B113:F113"/>
    <mergeCell ref="B81:C81"/>
    <mergeCell ref="AD49:AF49"/>
    <mergeCell ref="B94:C94"/>
    <mergeCell ref="D23:P23"/>
    <mergeCell ref="D24:P24"/>
    <mergeCell ref="D17:P17"/>
    <mergeCell ref="D18:P18"/>
    <mergeCell ref="D19:P19"/>
    <mergeCell ref="B102:C102"/>
    <mergeCell ref="B103:C103"/>
    <mergeCell ref="B104:C104"/>
    <mergeCell ref="B105:C105"/>
    <mergeCell ref="B66:C66"/>
    <mergeCell ref="B67:C67"/>
    <mergeCell ref="D29:P29"/>
    <mergeCell ref="D44:I44"/>
    <mergeCell ref="D21:P21"/>
    <mergeCell ref="D22:P22"/>
    <mergeCell ref="B82:C82"/>
    <mergeCell ref="B83:C83"/>
    <mergeCell ref="B84:C84"/>
    <mergeCell ref="B85:C85"/>
    <mergeCell ref="D25:P25"/>
    <mergeCell ref="D26:P26"/>
    <mergeCell ref="D27:P27"/>
    <mergeCell ref="E36:N41"/>
    <mergeCell ref="B88:C88"/>
    <mergeCell ref="T2:X4"/>
    <mergeCell ref="C2:P2"/>
    <mergeCell ref="D3:F3"/>
    <mergeCell ref="D6:O6"/>
    <mergeCell ref="D7:P7"/>
    <mergeCell ref="D8:P8"/>
    <mergeCell ref="D9:P9"/>
    <mergeCell ref="D10:P10"/>
    <mergeCell ref="D20:P20"/>
    <mergeCell ref="D11:P11"/>
    <mergeCell ref="D12:P12"/>
    <mergeCell ref="D13:P13"/>
    <mergeCell ref="D14:P14"/>
    <mergeCell ref="D15:P15"/>
    <mergeCell ref="D16:P16"/>
  </mergeCells>
  <conditionalFormatting sqref="D7">
    <cfRule type="expression" dxfId="208" priority="201">
      <formula>IF(AND(R8-R7&gt;0.5,R8-R7&lt;3),"WAAR","ONWAAR")</formula>
    </cfRule>
    <cfRule type="expression" dxfId="207" priority="202">
      <formula>1*R7=99.9</formula>
    </cfRule>
    <cfRule type="expression" dxfId="206" priority="203">
      <formula>1*R7=10</formula>
    </cfRule>
    <cfRule type="expression" dxfId="205" priority="204">
      <formula>1*R7=20</formula>
    </cfRule>
    <cfRule type="expression" dxfId="204" priority="205">
      <formula>1*R7=25</formula>
    </cfRule>
    <cfRule type="expression" dxfId="203" priority="206">
      <formula>1*R7=30</formula>
    </cfRule>
    <cfRule type="expression" dxfId="202" priority="207">
      <formula>1*R7=40</formula>
    </cfRule>
    <cfRule type="expression" dxfId="201" priority="208">
      <formula>1*R7=50</formula>
    </cfRule>
    <cfRule type="expression" dxfId="200" priority="209">
      <formula>1*R7=88.8</formula>
    </cfRule>
  </conditionalFormatting>
  <conditionalFormatting sqref="D8">
    <cfRule type="expression" dxfId="199" priority="192">
      <formula>IF(AND(R9-R8&gt;0.5,R9-R8&lt;3),"WAAR","ONWAAR")</formula>
    </cfRule>
    <cfRule type="expression" dxfId="198" priority="193">
      <formula>1*R8=99.9</formula>
    </cfRule>
    <cfRule type="expression" dxfId="197" priority="194">
      <formula>1*R8=10</formula>
    </cfRule>
    <cfRule type="expression" dxfId="196" priority="195">
      <formula>1*R8=20</formula>
    </cfRule>
    <cfRule type="expression" dxfId="195" priority="196">
      <formula>1*R8=25</formula>
    </cfRule>
    <cfRule type="expression" dxfId="194" priority="197">
      <formula>1*R8=30</formula>
    </cfRule>
    <cfRule type="expression" dxfId="193" priority="198">
      <formula>1*R8=40</formula>
    </cfRule>
    <cfRule type="expression" dxfId="192" priority="199">
      <formula>1*R8=50</formula>
    </cfRule>
    <cfRule type="expression" dxfId="191" priority="200">
      <formula>1*R8=88.8</formula>
    </cfRule>
  </conditionalFormatting>
  <conditionalFormatting sqref="D9">
    <cfRule type="expression" dxfId="190" priority="183">
      <formula>IF(AND(R10-R9&gt;0.5,R10-R9&lt;3),"WAAR","ONWAAR")</formula>
    </cfRule>
    <cfRule type="expression" dxfId="189" priority="184">
      <formula>1*R9=99.9</formula>
    </cfRule>
    <cfRule type="expression" dxfId="188" priority="185">
      <formula>1*R9=10</formula>
    </cfRule>
    <cfRule type="expression" dxfId="187" priority="186">
      <formula>1*R9=20</formula>
    </cfRule>
    <cfRule type="expression" dxfId="186" priority="187">
      <formula>1*R9=25</formula>
    </cfRule>
    <cfRule type="expression" dxfId="185" priority="188">
      <formula>1*R9=30</formula>
    </cfRule>
    <cfRule type="expression" dxfId="184" priority="189">
      <formula>1*R9=40</formula>
    </cfRule>
    <cfRule type="expression" dxfId="183" priority="190">
      <formula>1*R9=50</formula>
    </cfRule>
    <cfRule type="expression" dxfId="182" priority="191">
      <formula>1*R9=88.8</formula>
    </cfRule>
  </conditionalFormatting>
  <conditionalFormatting sqref="D10">
    <cfRule type="expression" dxfId="181" priority="174">
      <formula>IF(AND(R11-R10&gt;0.5,R11-R10&lt;3),"WAAR","ONWAAR")</formula>
    </cfRule>
    <cfRule type="expression" dxfId="180" priority="175">
      <formula>1*R10=99.9</formula>
    </cfRule>
    <cfRule type="expression" dxfId="179" priority="176">
      <formula>1*R10=10</formula>
    </cfRule>
    <cfRule type="expression" dxfId="178" priority="177">
      <formula>1*R10=20</formula>
    </cfRule>
    <cfRule type="expression" dxfId="177" priority="178">
      <formula>1*R10=25</formula>
    </cfRule>
    <cfRule type="expression" dxfId="176" priority="179">
      <formula>1*R10=30</formula>
    </cfRule>
    <cfRule type="expression" dxfId="175" priority="180">
      <formula>1*R10=40</formula>
    </cfRule>
    <cfRule type="expression" dxfId="174" priority="181">
      <formula>1*R10=50</formula>
    </cfRule>
    <cfRule type="expression" dxfId="173" priority="182">
      <formula>1*R10=88.8</formula>
    </cfRule>
  </conditionalFormatting>
  <conditionalFormatting sqref="D11">
    <cfRule type="expression" dxfId="172" priority="165">
      <formula>IF(AND(R12-R11&gt;0.5,R12-R11&lt;3),"WAAR","ONWAAR")</formula>
    </cfRule>
    <cfRule type="expression" dxfId="171" priority="166">
      <formula>1*R11=99.9</formula>
    </cfRule>
    <cfRule type="expression" dxfId="170" priority="167">
      <formula>1*R11=10</formula>
    </cfRule>
    <cfRule type="expression" dxfId="169" priority="168">
      <formula>1*R11=20</formula>
    </cfRule>
    <cfRule type="expression" dxfId="168" priority="169">
      <formula>1*R11=25</formula>
    </cfRule>
    <cfRule type="expression" dxfId="167" priority="170">
      <formula>1*R11=30</formula>
    </cfRule>
    <cfRule type="expression" dxfId="166" priority="171">
      <formula>1*R11=40</formula>
    </cfRule>
    <cfRule type="expression" dxfId="165" priority="172">
      <formula>1*R11=50</formula>
    </cfRule>
    <cfRule type="expression" dxfId="164" priority="173">
      <formula>1*R11=88.8</formula>
    </cfRule>
  </conditionalFormatting>
  <conditionalFormatting sqref="D12">
    <cfRule type="expression" dxfId="163" priority="156">
      <formula>IF(AND(R13-R12&gt;0.5,R13-R12&lt;3),"WAAR","ONWAAR")</formula>
    </cfRule>
    <cfRule type="expression" dxfId="162" priority="157">
      <formula>1*R12=99.9</formula>
    </cfRule>
    <cfRule type="expression" dxfId="161" priority="158">
      <formula>1*R12=10</formula>
    </cfRule>
    <cfRule type="expression" dxfId="160" priority="159">
      <formula>1*R12=20</formula>
    </cfRule>
    <cfRule type="expression" dxfId="159" priority="160">
      <formula>1*R12=25</formula>
    </cfRule>
    <cfRule type="expression" dxfId="158" priority="161">
      <formula>1*R12=30</formula>
    </cfRule>
    <cfRule type="expression" dxfId="157" priority="162">
      <formula>1*R12=40</formula>
    </cfRule>
    <cfRule type="expression" dxfId="156" priority="163">
      <formula>1*R12=50</formula>
    </cfRule>
    <cfRule type="expression" dxfId="155" priority="164">
      <formula>1*R12=88.8</formula>
    </cfRule>
  </conditionalFormatting>
  <conditionalFormatting sqref="D13">
    <cfRule type="expression" dxfId="154" priority="147">
      <formula>IF(AND(R14-R13&gt;0.5,R14-R13&lt;3),"WAAR","ONWAAR")</formula>
    </cfRule>
    <cfRule type="expression" dxfId="153" priority="148">
      <formula>1*R13=99.9</formula>
    </cfRule>
    <cfRule type="expression" dxfId="152" priority="149">
      <formula>1*R13=10</formula>
    </cfRule>
    <cfRule type="expression" dxfId="151" priority="150">
      <formula>1*R13=20</formula>
    </cfRule>
    <cfRule type="expression" dxfId="150" priority="151">
      <formula>1*R13=25</formula>
    </cfRule>
    <cfRule type="expression" dxfId="149" priority="152">
      <formula>1*R13=30</formula>
    </cfRule>
    <cfRule type="expression" dxfId="148" priority="153">
      <formula>1*R13=40</formula>
    </cfRule>
    <cfRule type="expression" dxfId="147" priority="154">
      <formula>1*R13=50</formula>
    </cfRule>
    <cfRule type="expression" dxfId="146" priority="155">
      <formula>1*R13=88.8</formula>
    </cfRule>
  </conditionalFormatting>
  <conditionalFormatting sqref="D14">
    <cfRule type="expression" dxfId="145" priority="138">
      <formula>IF(AND(R15-R14&gt;0.5,R15-R14&lt;3),"WAAR","ONWAAR")</formula>
    </cfRule>
    <cfRule type="expression" dxfId="144" priority="139">
      <formula>1*R14=99.9</formula>
    </cfRule>
    <cfRule type="expression" dxfId="143" priority="140">
      <formula>1*R14=10</formula>
    </cfRule>
    <cfRule type="expression" dxfId="142" priority="141">
      <formula>1*R14=20</formula>
    </cfRule>
    <cfRule type="expression" dxfId="141" priority="142">
      <formula>1*R14=25</formula>
    </cfRule>
    <cfRule type="expression" dxfId="140" priority="143">
      <formula>1*R14=30</formula>
    </cfRule>
    <cfRule type="expression" dxfId="139" priority="144">
      <formula>1*R14=40</formula>
    </cfRule>
    <cfRule type="expression" dxfId="138" priority="145">
      <formula>1*R14=50</formula>
    </cfRule>
    <cfRule type="expression" dxfId="137" priority="146">
      <formula>1*R14=88.8</formula>
    </cfRule>
  </conditionalFormatting>
  <conditionalFormatting sqref="D15">
    <cfRule type="expression" dxfId="136" priority="129">
      <formula>IF(AND(R16-R15&gt;0.5,R16-R15&lt;3),"WAAR","ONWAAR")</formula>
    </cfRule>
    <cfRule type="expression" dxfId="135" priority="130">
      <formula>1*R15=99.9</formula>
    </cfRule>
    <cfRule type="expression" dxfId="134" priority="131">
      <formula>1*R15=10</formula>
    </cfRule>
    <cfRule type="expression" dxfId="133" priority="132">
      <formula>1*R15=20</formula>
    </cfRule>
    <cfRule type="expression" dxfId="132" priority="133">
      <formula>1*R15=25</formula>
    </cfRule>
    <cfRule type="expression" dxfId="131" priority="134">
      <formula>1*R15=30</formula>
    </cfRule>
    <cfRule type="expression" dxfId="130" priority="135">
      <formula>1*R15=40</formula>
    </cfRule>
    <cfRule type="expression" dxfId="129" priority="136">
      <formula>1*R15=50</formula>
    </cfRule>
    <cfRule type="expression" dxfId="128" priority="137">
      <formula>1*R15=88.8</formula>
    </cfRule>
  </conditionalFormatting>
  <conditionalFormatting sqref="D16">
    <cfRule type="expression" dxfId="127" priority="120">
      <formula>IF(AND(R17-R16&gt;0.5,R17-R16&lt;3),"WAAR","ONWAAR")</formula>
    </cfRule>
    <cfRule type="expression" dxfId="126" priority="121">
      <formula>1*R16=99.9</formula>
    </cfRule>
    <cfRule type="expression" dxfId="125" priority="122">
      <formula>1*R16=10</formula>
    </cfRule>
    <cfRule type="expression" dxfId="124" priority="123">
      <formula>1*R16=20</formula>
    </cfRule>
    <cfRule type="expression" dxfId="123" priority="124">
      <formula>1*R16=25</formula>
    </cfRule>
    <cfRule type="expression" dxfId="122" priority="125">
      <formula>1*R16=30</formula>
    </cfRule>
    <cfRule type="expression" dxfId="121" priority="126">
      <formula>1*R16=40</formula>
    </cfRule>
    <cfRule type="expression" dxfId="120" priority="127">
      <formula>1*R16=50</formula>
    </cfRule>
    <cfRule type="expression" dxfId="119" priority="128">
      <formula>1*R16=88.8</formula>
    </cfRule>
  </conditionalFormatting>
  <conditionalFormatting sqref="D17">
    <cfRule type="expression" dxfId="118" priority="111">
      <formula>IF(AND(R18-R17&gt;0.5,R18-R17&lt;3),"WAAR","ONWAAR")</formula>
    </cfRule>
    <cfRule type="expression" dxfId="117" priority="112">
      <formula>1*R17=99.9</formula>
    </cfRule>
    <cfRule type="expression" dxfId="116" priority="113">
      <formula>1*R17=10</formula>
    </cfRule>
    <cfRule type="expression" dxfId="115" priority="114">
      <formula>1*R17=20</formula>
    </cfRule>
    <cfRule type="expression" dxfId="114" priority="115">
      <formula>1*R17=25</formula>
    </cfRule>
    <cfRule type="expression" dxfId="113" priority="116">
      <formula>1*R17=30</formula>
    </cfRule>
    <cfRule type="expression" dxfId="112" priority="117">
      <formula>1*R17=40</formula>
    </cfRule>
    <cfRule type="expression" dxfId="111" priority="118">
      <formula>1*R17=50</formula>
    </cfRule>
    <cfRule type="expression" dxfId="110" priority="119">
      <formula>1*R17=88.8</formula>
    </cfRule>
  </conditionalFormatting>
  <conditionalFormatting sqref="D18">
    <cfRule type="expression" dxfId="109" priority="102">
      <formula>IF(AND(R19-R18&gt;0.5,R19-R18&lt;3),"WAAR","ONWAAR")</formula>
    </cfRule>
    <cfRule type="expression" dxfId="108" priority="103">
      <formula>1*R18=99.9</formula>
    </cfRule>
    <cfRule type="expression" dxfId="107" priority="104">
      <formula>1*R18=10</formula>
    </cfRule>
    <cfRule type="expression" dxfId="106" priority="105">
      <formula>1*R18=20</formula>
    </cfRule>
    <cfRule type="expression" dxfId="105" priority="106">
      <formula>1*R18=25</formula>
    </cfRule>
    <cfRule type="expression" dxfId="104" priority="107">
      <formula>1*R18=30</formula>
    </cfRule>
    <cfRule type="expression" dxfId="103" priority="108">
      <formula>1*R18=40</formula>
    </cfRule>
    <cfRule type="expression" dxfId="102" priority="109">
      <formula>1*R18=50</formula>
    </cfRule>
    <cfRule type="expression" dxfId="101" priority="110">
      <formula>1*R18=88.8</formula>
    </cfRule>
  </conditionalFormatting>
  <conditionalFormatting sqref="D19">
    <cfRule type="expression" dxfId="100" priority="93">
      <formula>IF(AND(R20-R19&gt;0.5,R20-R19&lt;3),"WAAR","ONWAAR")</formula>
    </cfRule>
    <cfRule type="expression" dxfId="99" priority="94">
      <formula>1*R19=99.9</formula>
    </cfRule>
    <cfRule type="expression" dxfId="98" priority="95">
      <formula>1*R19=10</formula>
    </cfRule>
    <cfRule type="expression" dxfId="97" priority="96">
      <formula>1*R19=20</formula>
    </cfRule>
    <cfRule type="expression" dxfId="96" priority="97">
      <formula>1*R19=25</formula>
    </cfRule>
    <cfRule type="expression" dxfId="95" priority="98">
      <formula>1*R19=30</formula>
    </cfRule>
    <cfRule type="expression" dxfId="94" priority="99">
      <formula>1*R19=40</formula>
    </cfRule>
    <cfRule type="expression" dxfId="93" priority="100">
      <formula>1*R19=50</formula>
    </cfRule>
    <cfRule type="expression" dxfId="92" priority="101">
      <formula>1*R19=88.8</formula>
    </cfRule>
  </conditionalFormatting>
  <conditionalFormatting sqref="D20">
    <cfRule type="expression" dxfId="91" priority="84">
      <formula>IF(AND(R21-R20&gt;0.5,R21-R20&lt;3),"WAAR","ONWAAR")</formula>
    </cfRule>
    <cfRule type="expression" dxfId="90" priority="85">
      <formula>1*R20=99.9</formula>
    </cfRule>
    <cfRule type="expression" dxfId="89" priority="86">
      <formula>1*R20=10</formula>
    </cfRule>
    <cfRule type="expression" dxfId="88" priority="87">
      <formula>1*R20=20</formula>
    </cfRule>
    <cfRule type="expression" dxfId="87" priority="88">
      <formula>1*R20=25</formula>
    </cfRule>
    <cfRule type="expression" dxfId="86" priority="89">
      <formula>1*R20=30</formula>
    </cfRule>
    <cfRule type="expression" dxfId="85" priority="90">
      <formula>1*R20=40</formula>
    </cfRule>
    <cfRule type="expression" dxfId="84" priority="91">
      <formula>1*R20=50</formula>
    </cfRule>
    <cfRule type="expression" dxfId="83" priority="92">
      <formula>1*R20=88.8</formula>
    </cfRule>
  </conditionalFormatting>
  <conditionalFormatting sqref="D21">
    <cfRule type="expression" dxfId="82" priority="75">
      <formula>IF(AND(R22-R21&gt;0.5,R22-R21&lt;3),"WAAR","ONWAAR")</formula>
    </cfRule>
    <cfRule type="expression" dxfId="81" priority="76">
      <formula>1*R21=99.9</formula>
    </cfRule>
    <cfRule type="expression" dxfId="80" priority="77">
      <formula>1*R21=10</formula>
    </cfRule>
    <cfRule type="expression" dxfId="79" priority="78">
      <formula>1*R21=20</formula>
    </cfRule>
    <cfRule type="expression" dxfId="78" priority="79">
      <formula>1*R21=25</formula>
    </cfRule>
    <cfRule type="expression" dxfId="77" priority="80">
      <formula>1*R21=30</formula>
    </cfRule>
    <cfRule type="expression" dxfId="76" priority="81">
      <formula>1*R21=40</formula>
    </cfRule>
    <cfRule type="expression" dxfId="75" priority="82">
      <formula>1*R21=50</formula>
    </cfRule>
    <cfRule type="expression" dxfId="74" priority="83">
      <formula>1*R21=88.8</formula>
    </cfRule>
  </conditionalFormatting>
  <conditionalFormatting sqref="D22">
    <cfRule type="expression" dxfId="73" priority="66">
      <formula>IF(AND(R23-R22&gt;0.5,R23-R22&lt;3),"WAAR","ONWAAR")</formula>
    </cfRule>
    <cfRule type="expression" dxfId="72" priority="67">
      <formula>1*R22=99.9</formula>
    </cfRule>
    <cfRule type="expression" dxfId="71" priority="68">
      <formula>1*R22=10</formula>
    </cfRule>
    <cfRule type="expression" dxfId="70" priority="69">
      <formula>1*R22=20</formula>
    </cfRule>
    <cfRule type="expression" dxfId="69" priority="70">
      <formula>1*R22=25</formula>
    </cfRule>
    <cfRule type="expression" dxfId="68" priority="71">
      <formula>1*R22=30</formula>
    </cfRule>
    <cfRule type="expression" dxfId="67" priority="72">
      <formula>1*R22=40</formula>
    </cfRule>
    <cfRule type="expression" dxfId="66" priority="73">
      <formula>1*R22=50</formula>
    </cfRule>
    <cfRule type="expression" dxfId="65" priority="74">
      <formula>1*R22=88.8</formula>
    </cfRule>
  </conditionalFormatting>
  <conditionalFormatting sqref="D23">
    <cfRule type="expression" dxfId="64" priority="57">
      <formula>IF(AND(R24-R23&gt;0.5,R24-R23&lt;3),"WAAR","ONWAAR")</formula>
    </cfRule>
    <cfRule type="expression" dxfId="63" priority="58">
      <formula>1*R23=99.9</formula>
    </cfRule>
    <cfRule type="expression" dxfId="62" priority="59">
      <formula>1*R23=10</formula>
    </cfRule>
    <cfRule type="expression" dxfId="61" priority="60">
      <formula>1*R23=20</formula>
    </cfRule>
    <cfRule type="expression" dxfId="60" priority="61">
      <formula>1*R23=25</formula>
    </cfRule>
    <cfRule type="expression" dxfId="59" priority="62">
      <formula>1*R23=30</formula>
    </cfRule>
    <cfRule type="expression" dxfId="58" priority="63">
      <formula>1*R23=40</formula>
    </cfRule>
    <cfRule type="expression" dxfId="57" priority="64">
      <formula>1*R23=50</formula>
    </cfRule>
    <cfRule type="expression" dxfId="56" priority="65">
      <formula>1*R23=88.8</formula>
    </cfRule>
  </conditionalFormatting>
  <conditionalFormatting sqref="D24">
    <cfRule type="expression" dxfId="55" priority="48">
      <formula>IF(AND(R25-R24&gt;0.5,R25-R24&lt;3),"WAAR","ONWAAR")</formula>
    </cfRule>
    <cfRule type="expression" dxfId="54" priority="49">
      <formula>1*R24=99.9</formula>
    </cfRule>
    <cfRule type="expression" dxfId="53" priority="50">
      <formula>1*R24=10</formula>
    </cfRule>
    <cfRule type="expression" dxfId="52" priority="51">
      <formula>1*R24=20</formula>
    </cfRule>
    <cfRule type="expression" dxfId="51" priority="52">
      <formula>1*R24=25</formula>
    </cfRule>
    <cfRule type="expression" dxfId="50" priority="53">
      <formula>1*R24=30</formula>
    </cfRule>
    <cfRule type="expression" dxfId="49" priority="54">
      <formula>1*R24=40</formula>
    </cfRule>
    <cfRule type="expression" dxfId="48" priority="55">
      <formula>1*R24=50</formula>
    </cfRule>
    <cfRule type="expression" dxfId="47" priority="56">
      <formula>1*R24=88.8</formula>
    </cfRule>
  </conditionalFormatting>
  <conditionalFormatting sqref="D25">
    <cfRule type="expression" dxfId="46" priority="39">
      <formula>IF(AND(R26-R25&gt;0.5,R26-R25&lt;3),"WAAR","ONWAAR")</formula>
    </cfRule>
    <cfRule type="expression" dxfId="45" priority="40">
      <formula>1*R25=99.9</formula>
    </cfRule>
    <cfRule type="expression" dxfId="44" priority="41">
      <formula>1*R25=10</formula>
    </cfRule>
    <cfRule type="expression" dxfId="43" priority="42">
      <formula>1*R25=20</formula>
    </cfRule>
    <cfRule type="expression" dxfId="42" priority="43">
      <formula>1*R25=25</formula>
    </cfRule>
    <cfRule type="expression" dxfId="41" priority="44">
      <formula>1*R25=30</formula>
    </cfRule>
    <cfRule type="expression" dxfId="40" priority="45">
      <formula>1*R25=40</formula>
    </cfRule>
    <cfRule type="expression" dxfId="39" priority="46">
      <formula>1*R25=50</formula>
    </cfRule>
    <cfRule type="expression" dxfId="38" priority="47">
      <formula>1*R25=88.8</formula>
    </cfRule>
  </conditionalFormatting>
  <conditionalFormatting sqref="D26">
    <cfRule type="expression" dxfId="37" priority="30">
      <formula>IF(AND(R27-R26&gt;0.5,R27-R26&lt;3),"WAAR","ONWAAR")</formula>
    </cfRule>
    <cfRule type="expression" dxfId="36" priority="31">
      <formula>1*R26=99.9</formula>
    </cfRule>
    <cfRule type="expression" dxfId="35" priority="32">
      <formula>1*R26=10</formula>
    </cfRule>
    <cfRule type="expression" dxfId="34" priority="33">
      <formula>1*R26=20</formula>
    </cfRule>
    <cfRule type="expression" dxfId="33" priority="34">
      <formula>1*R26=25</formula>
    </cfRule>
    <cfRule type="expression" dxfId="32" priority="35">
      <formula>1*R26=30</formula>
    </cfRule>
    <cfRule type="expression" dxfId="31" priority="36">
      <formula>1*R26=40</formula>
    </cfRule>
    <cfRule type="expression" dxfId="30" priority="37">
      <formula>1*R26=50</formula>
    </cfRule>
    <cfRule type="expression" dxfId="29" priority="38">
      <formula>1*R26=88.8</formula>
    </cfRule>
  </conditionalFormatting>
  <conditionalFormatting sqref="D27">
    <cfRule type="expression" dxfId="28" priority="21">
      <formula>IF(AND(R28-R27&gt;0.5,R28-R27&lt;3),"WAAR","ONWAAR")</formula>
    </cfRule>
    <cfRule type="expression" dxfId="27" priority="22">
      <formula>1*R27=99.9</formula>
    </cfRule>
    <cfRule type="expression" dxfId="26" priority="23">
      <formula>1*R27=10</formula>
    </cfRule>
    <cfRule type="expression" dxfId="25" priority="24">
      <formula>1*R27=20</formula>
    </cfRule>
    <cfRule type="expression" dxfId="24" priority="25">
      <formula>1*R27=25</formula>
    </cfRule>
    <cfRule type="expression" dxfId="23" priority="26">
      <formula>1*R27=30</formula>
    </cfRule>
    <cfRule type="expression" dxfId="22" priority="27">
      <formula>1*R27=40</formula>
    </cfRule>
    <cfRule type="expression" dxfId="21" priority="28">
      <formula>1*R27=50</formula>
    </cfRule>
    <cfRule type="expression" dxfId="20" priority="29">
      <formula>1*R27=88.8</formula>
    </cfRule>
  </conditionalFormatting>
  <conditionalFormatting sqref="D28">
    <cfRule type="expression" dxfId="19" priority="12">
      <formula>IF(AND(R29-R28&gt;0.5,R29-R28&lt;3),"WAAR","ONWAAR")</formula>
    </cfRule>
    <cfRule type="expression" dxfId="18" priority="13">
      <formula>1*R28=99.9</formula>
    </cfRule>
    <cfRule type="expression" dxfId="17" priority="14">
      <formula>1*R28=10</formula>
    </cfRule>
    <cfRule type="expression" dxfId="16" priority="15">
      <formula>1*R28=20</formula>
    </cfRule>
    <cfRule type="expression" dxfId="15" priority="16">
      <formula>1*R28=25</formula>
    </cfRule>
    <cfRule type="expression" dxfId="14" priority="17">
      <formula>1*R28=30</formula>
    </cfRule>
    <cfRule type="expression" dxfId="13" priority="18">
      <formula>1*R28=40</formula>
    </cfRule>
    <cfRule type="expression" dxfId="12" priority="19">
      <formula>1*R28=50</formula>
    </cfRule>
    <cfRule type="expression" dxfId="11" priority="20">
      <formula>1*R28=88.8</formula>
    </cfRule>
  </conditionalFormatting>
  <conditionalFormatting sqref="D29:D30">
    <cfRule type="expression" dxfId="10" priority="3">
      <formula>IF(AND(R31-R29&gt;0.5,R31-R29&lt;3),"WAAR","ONWAAR")</formula>
    </cfRule>
    <cfRule type="expression" dxfId="9" priority="4">
      <formula>1*R29=99.9</formula>
    </cfRule>
    <cfRule type="expression" dxfId="8" priority="5">
      <formula>1*R29=10</formula>
    </cfRule>
    <cfRule type="expression" dxfId="7" priority="6">
      <formula>1*R29=20</formula>
    </cfRule>
    <cfRule type="expression" dxfId="6" priority="7">
      <formula>1*R29=25</formula>
    </cfRule>
    <cfRule type="expression" dxfId="5" priority="8">
      <formula>1*R29=30</formula>
    </cfRule>
    <cfRule type="expression" dxfId="4" priority="9">
      <formula>1*R29=40</formula>
    </cfRule>
    <cfRule type="expression" dxfId="3" priority="10">
      <formula>1*R29=50</formula>
    </cfRule>
    <cfRule type="expression" dxfId="2" priority="11">
      <formula>1*R29=88.8</formula>
    </cfRule>
  </conditionalFormatting>
  <conditionalFormatting sqref="D3 O3 D5 D32 D44 O44">
    <cfRule type="expression" dxfId="1" priority="1">
      <formula>$A$1="wit"</formula>
    </cfRule>
    <cfRule type="expression" dxfId="0" priority="2">
      <formula>$A$1="zwart"</formula>
    </cfRule>
  </conditionalFormatting>
  <printOptions horizontalCentered="1"/>
  <pageMargins left="0.19685039370078741" right="0.19685039370078741" top="0.39370078740157483" bottom="0.39370078740157483" header="0.31496062992125984" footer="0.31496062992125984"/>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A8A82-65E7-4C58-9D64-C1F5A19263E1}">
  <sheetPr>
    <tabColor rgb="FFFF0000"/>
  </sheetPr>
  <dimension ref="A1:AH1467"/>
  <sheetViews>
    <sheetView workbookViewId="0"/>
  </sheetViews>
  <sheetFormatPr defaultRowHeight="14.4" x14ac:dyDescent="0.3"/>
  <cols>
    <col min="1" max="32" width="3.44140625" style="1310" bestFit="1" customWidth="1"/>
  </cols>
  <sheetData>
    <row r="1" spans="1:34" x14ac:dyDescent="0.3">
      <c r="A1" s="1310" t="s">
        <v>1443</v>
      </c>
      <c r="B1" s="1310" t="s">
        <v>1444</v>
      </c>
      <c r="C1" s="1310" t="s">
        <v>1443</v>
      </c>
      <c r="D1" s="1310" t="s">
        <v>125</v>
      </c>
      <c r="E1" s="1310" t="s">
        <v>270</v>
      </c>
      <c r="F1" s="1310" t="s">
        <v>1445</v>
      </c>
      <c r="G1" s="1310" t="s">
        <v>1446</v>
      </c>
      <c r="H1" s="1310" t="s">
        <v>1447</v>
      </c>
      <c r="I1" s="1310" t="s">
        <v>1448</v>
      </c>
      <c r="J1" s="1310" t="s">
        <v>1449</v>
      </c>
      <c r="K1" s="1310" t="s">
        <v>1450</v>
      </c>
      <c r="L1" s="1310" t="s">
        <v>1450</v>
      </c>
      <c r="M1" s="1310" t="s">
        <v>1451</v>
      </c>
      <c r="N1" s="1310" t="s">
        <v>1451</v>
      </c>
      <c r="O1" s="1310" t="s">
        <v>1450</v>
      </c>
      <c r="P1" s="1310" t="s">
        <v>1452</v>
      </c>
      <c r="Q1" s="1310" t="s">
        <v>1450</v>
      </c>
      <c r="R1" s="1310" t="s">
        <v>1450</v>
      </c>
      <c r="S1" s="1310" t="s">
        <v>1450</v>
      </c>
      <c r="T1" s="1310" t="s">
        <v>269</v>
      </c>
      <c r="U1" s="1310" t="s">
        <v>1450</v>
      </c>
      <c r="V1" s="1310" t="s">
        <v>267</v>
      </c>
      <c r="W1" s="1310" t="s">
        <v>262</v>
      </c>
      <c r="X1" s="1310" t="s">
        <v>1453</v>
      </c>
      <c r="Y1" s="1310" t="s">
        <v>1450</v>
      </c>
      <c r="Z1" s="1310" t="s">
        <v>264</v>
      </c>
      <c r="AA1" s="1310" t="s">
        <v>1450</v>
      </c>
      <c r="AB1" s="1310" t="s">
        <v>1450</v>
      </c>
      <c r="AC1" s="1310" t="s">
        <v>1450</v>
      </c>
      <c r="AD1" s="1310" t="s">
        <v>262</v>
      </c>
      <c r="AE1" s="1310" t="s">
        <v>1450</v>
      </c>
      <c r="AF1" s="1310" t="s">
        <v>262</v>
      </c>
      <c r="AH1" t="s">
        <v>1442</v>
      </c>
    </row>
    <row r="2" spans="1:34" x14ac:dyDescent="0.3">
      <c r="A2" s="1310" t="s">
        <v>1450</v>
      </c>
      <c r="B2" s="1310" t="s">
        <v>1450</v>
      </c>
      <c r="C2" s="1310" t="s">
        <v>262</v>
      </c>
      <c r="D2" s="1310" t="s">
        <v>1454</v>
      </c>
      <c r="E2" s="1310" t="s">
        <v>1450</v>
      </c>
      <c r="F2" s="1310" t="s">
        <v>266</v>
      </c>
      <c r="G2" s="1310" t="s">
        <v>1450</v>
      </c>
      <c r="H2" s="1310" t="s">
        <v>1450</v>
      </c>
      <c r="I2" s="1310" t="s">
        <v>1450</v>
      </c>
      <c r="J2" s="1310" t="s">
        <v>262</v>
      </c>
      <c r="K2" s="1310" t="s">
        <v>1450</v>
      </c>
      <c r="L2" s="1310" t="s">
        <v>1450</v>
      </c>
      <c r="M2" s="1310" t="s">
        <v>1450</v>
      </c>
      <c r="N2" s="1310" t="s">
        <v>1455</v>
      </c>
      <c r="O2" s="1310" t="s">
        <v>262</v>
      </c>
      <c r="P2" s="1310" t="s">
        <v>1456</v>
      </c>
      <c r="Q2" s="1310" t="s">
        <v>1450</v>
      </c>
      <c r="R2" s="1310" t="s">
        <v>266</v>
      </c>
      <c r="S2" s="1310" t="s">
        <v>1450</v>
      </c>
      <c r="T2" s="1310" t="s">
        <v>1450</v>
      </c>
      <c r="U2" s="1310" t="s">
        <v>1450</v>
      </c>
      <c r="V2" s="1310" t="s">
        <v>262</v>
      </c>
      <c r="W2" s="1310" t="s">
        <v>1450</v>
      </c>
      <c r="X2" s="1310" t="s">
        <v>1450</v>
      </c>
      <c r="Y2" s="1310" t="s">
        <v>1450</v>
      </c>
      <c r="Z2" s="1310" t="s">
        <v>1457</v>
      </c>
      <c r="AA2" s="1310" t="s">
        <v>262</v>
      </c>
      <c r="AB2" s="1310" t="s">
        <v>1458</v>
      </c>
      <c r="AC2" s="1310" t="s">
        <v>1450</v>
      </c>
      <c r="AD2" s="1310" t="s">
        <v>264</v>
      </c>
      <c r="AE2" s="1310" t="s">
        <v>1450</v>
      </c>
      <c r="AF2" s="1310" t="s">
        <v>1450</v>
      </c>
    </row>
    <row r="3" spans="1:34" x14ac:dyDescent="0.3">
      <c r="A3" s="1310" t="s">
        <v>1450</v>
      </c>
      <c r="B3" s="1310" t="s">
        <v>262</v>
      </c>
      <c r="C3" s="1310" t="s">
        <v>1450</v>
      </c>
      <c r="D3" s="1310" t="s">
        <v>263</v>
      </c>
      <c r="E3" s="1310" t="s">
        <v>1450</v>
      </c>
      <c r="F3" s="1310" t="s">
        <v>1450</v>
      </c>
      <c r="G3" s="1310" t="s">
        <v>262</v>
      </c>
      <c r="H3" s="1310" t="s">
        <v>1459</v>
      </c>
      <c r="I3" s="1310" t="s">
        <v>1450</v>
      </c>
      <c r="J3" s="1310" t="s">
        <v>263</v>
      </c>
      <c r="K3" s="1310" t="s">
        <v>1450</v>
      </c>
      <c r="L3" s="1310" t="s">
        <v>1450</v>
      </c>
      <c r="M3" s="1310" t="s">
        <v>1450</v>
      </c>
      <c r="N3" s="1310" t="s">
        <v>1458</v>
      </c>
      <c r="O3" s="1310" t="s">
        <v>1450</v>
      </c>
      <c r="P3" s="1310" t="s">
        <v>1450</v>
      </c>
      <c r="Q3" s="1310" t="s">
        <v>1450</v>
      </c>
      <c r="R3" s="1310" t="s">
        <v>1460</v>
      </c>
      <c r="S3" s="1310" t="s">
        <v>262</v>
      </c>
      <c r="T3" s="1310" t="s">
        <v>1461</v>
      </c>
      <c r="U3" s="1310" t="s">
        <v>1450</v>
      </c>
      <c r="V3" s="1310" t="s">
        <v>263</v>
      </c>
      <c r="W3" s="1310" t="s">
        <v>1450</v>
      </c>
      <c r="X3" s="1310" t="s">
        <v>1450</v>
      </c>
      <c r="Y3" s="1310" t="s">
        <v>1450</v>
      </c>
      <c r="Z3" s="1310" t="s">
        <v>1462</v>
      </c>
      <c r="AA3" s="1310" t="s">
        <v>1450</v>
      </c>
      <c r="AB3" s="1310" t="s">
        <v>1450</v>
      </c>
      <c r="AC3" s="1310" t="s">
        <v>1450</v>
      </c>
      <c r="AD3" s="1310" t="s">
        <v>1463</v>
      </c>
      <c r="AE3" s="1310" t="s">
        <v>1464</v>
      </c>
      <c r="AF3" s="1310" t="s">
        <v>1448</v>
      </c>
    </row>
    <row r="4" spans="1:34" x14ac:dyDescent="0.3">
      <c r="A4" s="1310" t="s">
        <v>1450</v>
      </c>
      <c r="B4" s="1310" t="s">
        <v>265</v>
      </c>
      <c r="C4" s="1310" t="s">
        <v>1450</v>
      </c>
      <c r="D4" s="1310" t="s">
        <v>1450</v>
      </c>
      <c r="E4" s="1310" t="s">
        <v>1450</v>
      </c>
      <c r="F4" s="1310" t="s">
        <v>262</v>
      </c>
      <c r="G4" s="1310" t="s">
        <v>1450</v>
      </c>
      <c r="H4" s="1310" t="s">
        <v>1450</v>
      </c>
      <c r="I4" s="1310" t="s">
        <v>1450</v>
      </c>
      <c r="J4" s="1310" t="s">
        <v>1465</v>
      </c>
      <c r="K4" s="1310" t="s">
        <v>1450</v>
      </c>
      <c r="L4" s="1310" t="s">
        <v>1450</v>
      </c>
      <c r="M4" s="1310" t="s">
        <v>1450</v>
      </c>
      <c r="N4" s="1310" t="s">
        <v>1466</v>
      </c>
      <c r="O4" s="1310" t="s">
        <v>1450</v>
      </c>
      <c r="P4" s="1310" t="s">
        <v>1467</v>
      </c>
      <c r="Q4" s="1310" t="s">
        <v>1468</v>
      </c>
      <c r="R4" s="1310" t="s">
        <v>1469</v>
      </c>
      <c r="S4" s="1310" t="s">
        <v>1450</v>
      </c>
      <c r="T4" s="1310" t="s">
        <v>1450</v>
      </c>
      <c r="U4" s="1310" t="s">
        <v>1470</v>
      </c>
      <c r="V4" s="1310" t="s">
        <v>1471</v>
      </c>
      <c r="W4" s="1310" t="s">
        <v>1450</v>
      </c>
      <c r="X4" s="1310" t="s">
        <v>1467</v>
      </c>
      <c r="Y4" s="1310" t="s">
        <v>1468</v>
      </c>
      <c r="Z4" s="1310" t="s">
        <v>1469</v>
      </c>
      <c r="AA4" s="1310" t="s">
        <v>1450</v>
      </c>
      <c r="AB4" s="1310" t="s">
        <v>1450</v>
      </c>
      <c r="AC4" s="1310" t="s">
        <v>1470</v>
      </c>
      <c r="AD4" s="1310" t="s">
        <v>1471</v>
      </c>
      <c r="AE4" s="1310" t="s">
        <v>1472</v>
      </c>
      <c r="AF4" s="1310" t="s">
        <v>1473</v>
      </c>
    </row>
    <row r="5" spans="1:34" x14ac:dyDescent="0.3">
      <c r="A5" s="1310" t="s">
        <v>1474</v>
      </c>
      <c r="B5" s="1310" t="s">
        <v>1455</v>
      </c>
      <c r="C5" s="1310" t="s">
        <v>1475</v>
      </c>
      <c r="D5" s="1310" t="s">
        <v>1476</v>
      </c>
      <c r="E5" s="1310" t="s">
        <v>1477</v>
      </c>
      <c r="F5" s="1310" t="s">
        <v>1478</v>
      </c>
      <c r="G5" s="1310" t="s">
        <v>1474</v>
      </c>
      <c r="H5" s="1310" t="s">
        <v>1479</v>
      </c>
      <c r="I5" s="1310" t="s">
        <v>1474</v>
      </c>
      <c r="J5" s="1310" t="s">
        <v>1480</v>
      </c>
      <c r="K5" s="1310" t="s">
        <v>1478</v>
      </c>
      <c r="L5" s="1310" t="s">
        <v>1474</v>
      </c>
      <c r="M5" s="1310" t="s">
        <v>1481</v>
      </c>
      <c r="N5" s="1310" t="s">
        <v>1476</v>
      </c>
      <c r="O5" s="1310" t="s">
        <v>1446</v>
      </c>
      <c r="P5" s="1310" t="s">
        <v>1482</v>
      </c>
      <c r="Q5" s="1310" t="s">
        <v>1475</v>
      </c>
      <c r="R5" s="1310" t="s">
        <v>1483</v>
      </c>
      <c r="S5" s="1310" t="s">
        <v>1475</v>
      </c>
      <c r="T5" s="1310" t="s">
        <v>1484</v>
      </c>
      <c r="U5" s="1310" t="s">
        <v>1479</v>
      </c>
      <c r="V5" s="1310" t="s">
        <v>1480</v>
      </c>
      <c r="W5" s="1310" t="s">
        <v>1476</v>
      </c>
      <c r="X5" s="1310" t="s">
        <v>1459</v>
      </c>
      <c r="Y5" s="1310" t="s">
        <v>1485</v>
      </c>
      <c r="Z5" s="1310" t="s">
        <v>1486</v>
      </c>
      <c r="AA5" s="1310" t="s">
        <v>1487</v>
      </c>
      <c r="AB5" s="1310" t="s">
        <v>1476</v>
      </c>
      <c r="AC5" s="1310" t="s">
        <v>1458</v>
      </c>
      <c r="AD5" s="1310" t="s">
        <v>1488</v>
      </c>
      <c r="AE5" s="1310" t="s">
        <v>1448</v>
      </c>
      <c r="AF5" s="1310" t="s">
        <v>1484</v>
      </c>
    </row>
    <row r="6" spans="1:34" x14ac:dyDescent="0.3">
      <c r="A6" s="1310" t="s">
        <v>1473</v>
      </c>
      <c r="B6" s="1310" t="s">
        <v>1474</v>
      </c>
      <c r="C6" s="1310" t="s">
        <v>1489</v>
      </c>
      <c r="D6" s="1310" t="s">
        <v>1480</v>
      </c>
      <c r="E6" s="1310" t="s">
        <v>1490</v>
      </c>
      <c r="F6" s="1310" t="s">
        <v>1450</v>
      </c>
      <c r="G6" s="1310" t="s">
        <v>1461</v>
      </c>
      <c r="H6" s="1310" t="s">
        <v>1487</v>
      </c>
      <c r="I6" s="1310" t="s">
        <v>1461</v>
      </c>
      <c r="J6" s="1310" t="s">
        <v>1459</v>
      </c>
      <c r="K6" s="1310" t="s">
        <v>1491</v>
      </c>
      <c r="L6" s="1310" t="s">
        <v>1487</v>
      </c>
      <c r="M6" s="1310" t="s">
        <v>1492</v>
      </c>
      <c r="N6" s="1310" t="s">
        <v>1491</v>
      </c>
      <c r="O6" s="1310" t="s">
        <v>1459</v>
      </c>
      <c r="P6" s="1310" t="s">
        <v>1459</v>
      </c>
      <c r="Q6" s="1310" t="s">
        <v>1476</v>
      </c>
      <c r="R6" s="1310" t="s">
        <v>1461</v>
      </c>
      <c r="S6" s="1310" t="s">
        <v>1459</v>
      </c>
      <c r="T6" s="1310" t="s">
        <v>1491</v>
      </c>
      <c r="U6" s="1310" t="s">
        <v>1492</v>
      </c>
      <c r="V6" s="1310" t="s">
        <v>1461</v>
      </c>
      <c r="W6" s="1310" t="s">
        <v>1491</v>
      </c>
      <c r="X6" s="1310" t="s">
        <v>1493</v>
      </c>
      <c r="Y6" s="1310" t="s">
        <v>1494</v>
      </c>
      <c r="Z6" s="1310" t="s">
        <v>1450</v>
      </c>
      <c r="AA6" s="1310" t="s">
        <v>1450</v>
      </c>
      <c r="AB6" s="1310" t="s">
        <v>1450</v>
      </c>
      <c r="AC6" s="1310" t="s">
        <v>1450</v>
      </c>
      <c r="AD6" s="1310" t="s">
        <v>264</v>
      </c>
      <c r="AE6" s="1310" t="s">
        <v>1495</v>
      </c>
      <c r="AF6" s="1310" t="s">
        <v>262</v>
      </c>
    </row>
    <row r="7" spans="1:34" x14ac:dyDescent="0.3">
      <c r="A7" s="1310" t="s">
        <v>1450</v>
      </c>
      <c r="B7" s="1310" t="s">
        <v>264</v>
      </c>
      <c r="C7" s="1310" t="s">
        <v>1450</v>
      </c>
      <c r="D7" s="1310" t="s">
        <v>1450</v>
      </c>
      <c r="E7" s="1310" t="s">
        <v>1450</v>
      </c>
      <c r="F7" s="1310" t="s">
        <v>262</v>
      </c>
      <c r="G7" s="1310" t="s">
        <v>1450</v>
      </c>
      <c r="H7" s="1310" t="s">
        <v>262</v>
      </c>
      <c r="I7" s="1310" t="s">
        <v>1450</v>
      </c>
      <c r="J7" s="1310" t="s">
        <v>1450</v>
      </c>
      <c r="K7" s="1310" t="s">
        <v>1495</v>
      </c>
      <c r="L7" s="1310" t="s">
        <v>263</v>
      </c>
      <c r="M7" s="1310" t="s">
        <v>1450</v>
      </c>
      <c r="N7" s="1310" t="s">
        <v>265</v>
      </c>
      <c r="O7" s="1310" t="s">
        <v>1450</v>
      </c>
      <c r="P7" s="1310" t="s">
        <v>1450</v>
      </c>
      <c r="Q7" s="1310" t="s">
        <v>1450</v>
      </c>
      <c r="R7" s="1310" t="s">
        <v>262</v>
      </c>
      <c r="S7" s="1310" t="s">
        <v>1450</v>
      </c>
      <c r="T7" s="1310" t="s">
        <v>1450</v>
      </c>
      <c r="U7" s="1310" t="s">
        <v>264</v>
      </c>
      <c r="V7" s="1310" t="s">
        <v>1496</v>
      </c>
      <c r="W7" s="1310" t="s">
        <v>1495</v>
      </c>
      <c r="X7" s="1310" t="s">
        <v>264</v>
      </c>
      <c r="Y7" s="1310" t="s">
        <v>1450</v>
      </c>
      <c r="Z7" s="1310" t="s">
        <v>265</v>
      </c>
      <c r="AA7" s="1310" t="s">
        <v>1450</v>
      </c>
      <c r="AB7" s="1310" t="s">
        <v>1450</v>
      </c>
      <c r="AC7" s="1310" t="s">
        <v>1450</v>
      </c>
      <c r="AD7" s="1310" t="s">
        <v>262</v>
      </c>
      <c r="AE7" s="1310" t="s">
        <v>1450</v>
      </c>
      <c r="AF7" s="1310" t="s">
        <v>1450</v>
      </c>
    </row>
    <row r="8" spans="1:34" x14ac:dyDescent="0.3">
      <c r="A8" s="1310" t="s">
        <v>1450</v>
      </c>
      <c r="B8" s="1310" t="s">
        <v>1495</v>
      </c>
      <c r="C8" s="1310" t="s">
        <v>1450</v>
      </c>
      <c r="D8" s="1310" t="s">
        <v>1450</v>
      </c>
      <c r="E8" s="1310" t="s">
        <v>1450</v>
      </c>
      <c r="F8" s="1310" t="s">
        <v>1450</v>
      </c>
      <c r="G8" s="1310" t="s">
        <v>1450</v>
      </c>
      <c r="H8" s="1310" t="s">
        <v>1450</v>
      </c>
      <c r="I8" s="1310" t="s">
        <v>1450</v>
      </c>
      <c r="J8" s="1310" t="s">
        <v>268</v>
      </c>
      <c r="K8" s="1310" t="s">
        <v>262</v>
      </c>
      <c r="L8" s="1310" t="s">
        <v>264</v>
      </c>
      <c r="M8" s="1310" t="s">
        <v>1450</v>
      </c>
      <c r="N8" s="1310" t="s">
        <v>264</v>
      </c>
      <c r="O8" s="1310" t="s">
        <v>1450</v>
      </c>
      <c r="P8" s="1310" t="s">
        <v>1450</v>
      </c>
      <c r="Q8" s="1310" t="s">
        <v>1450</v>
      </c>
      <c r="R8" s="1310" t="s">
        <v>262</v>
      </c>
      <c r="S8" s="1310" t="s">
        <v>1450</v>
      </c>
      <c r="T8" s="1310" t="s">
        <v>268</v>
      </c>
      <c r="U8" s="1310" t="s">
        <v>1450</v>
      </c>
      <c r="V8" s="1310" t="s">
        <v>1450</v>
      </c>
      <c r="W8" s="1310" t="s">
        <v>262</v>
      </c>
      <c r="X8" s="1310" t="s">
        <v>1454</v>
      </c>
      <c r="Y8" s="1310" t="s">
        <v>1450</v>
      </c>
      <c r="Z8" s="1310" t="s">
        <v>266</v>
      </c>
      <c r="AA8" s="1310" t="s">
        <v>1450</v>
      </c>
      <c r="AB8" s="1310" t="s">
        <v>1450</v>
      </c>
      <c r="AC8" s="1310" t="s">
        <v>1450</v>
      </c>
      <c r="AD8" s="1310" t="s">
        <v>262</v>
      </c>
      <c r="AE8" s="1310" t="s">
        <v>1450</v>
      </c>
      <c r="AF8" s="1310" t="s">
        <v>1450</v>
      </c>
    </row>
    <row r="9" spans="1:34" x14ac:dyDescent="0.3">
      <c r="A9" s="1310" t="s">
        <v>262</v>
      </c>
      <c r="B9" s="1310" t="s">
        <v>1452</v>
      </c>
      <c r="C9" s="1310" t="s">
        <v>262</v>
      </c>
      <c r="D9" s="1310" t="s">
        <v>1456</v>
      </c>
      <c r="E9" s="1310" t="s">
        <v>1450</v>
      </c>
      <c r="F9" s="1310" t="s">
        <v>266</v>
      </c>
      <c r="G9" s="1310" t="s">
        <v>1450</v>
      </c>
      <c r="H9" s="1310" t="s">
        <v>1450</v>
      </c>
      <c r="I9" s="1310" t="s">
        <v>1450</v>
      </c>
      <c r="J9" s="1310" t="s">
        <v>262</v>
      </c>
      <c r="K9" s="1310" t="s">
        <v>1450</v>
      </c>
      <c r="L9" s="1310" t="s">
        <v>1450</v>
      </c>
      <c r="M9" s="1310" t="s">
        <v>262</v>
      </c>
      <c r="N9" s="1310" t="s">
        <v>1461</v>
      </c>
      <c r="O9" s="1310" t="s">
        <v>262</v>
      </c>
      <c r="P9" s="1310" t="s">
        <v>1458</v>
      </c>
      <c r="Q9" s="1310" t="s">
        <v>1450</v>
      </c>
      <c r="R9" s="1310" t="s">
        <v>264</v>
      </c>
      <c r="S9" s="1310" t="s">
        <v>1450</v>
      </c>
      <c r="T9" s="1310" t="s">
        <v>1450</v>
      </c>
      <c r="U9" s="1310" t="s">
        <v>1450</v>
      </c>
      <c r="V9" s="1310" t="s">
        <v>262</v>
      </c>
      <c r="W9" s="1310" t="s">
        <v>1450</v>
      </c>
      <c r="X9" s="1310" t="s">
        <v>263</v>
      </c>
      <c r="Y9" s="1310" t="s">
        <v>1450</v>
      </c>
      <c r="Z9" s="1310" t="s">
        <v>1450</v>
      </c>
      <c r="AA9" s="1310" t="s">
        <v>263</v>
      </c>
      <c r="AB9" s="1310" t="s">
        <v>262</v>
      </c>
      <c r="AC9" s="1310" t="s">
        <v>1450</v>
      </c>
      <c r="AD9" s="1310" t="s">
        <v>265</v>
      </c>
      <c r="AE9" s="1310" t="s">
        <v>1450</v>
      </c>
      <c r="AF9" s="1310" t="s">
        <v>1450</v>
      </c>
    </row>
    <row r="10" spans="1:34" x14ac:dyDescent="0.3">
      <c r="A10" s="1310" t="s">
        <v>1450</v>
      </c>
      <c r="B10" s="1310" t="s">
        <v>262</v>
      </c>
      <c r="C10" s="1310" t="s">
        <v>1450</v>
      </c>
      <c r="D10" s="1310" t="s">
        <v>1450</v>
      </c>
      <c r="E10" s="1310" t="s">
        <v>262</v>
      </c>
      <c r="F10" s="1310" t="s">
        <v>1491</v>
      </c>
      <c r="G10" s="1310" t="s">
        <v>263</v>
      </c>
      <c r="H10" s="1310" t="s">
        <v>263</v>
      </c>
      <c r="I10" s="1310" t="s">
        <v>1450</v>
      </c>
      <c r="J10" s="1310" t="s">
        <v>265</v>
      </c>
      <c r="K10" s="1310" t="s">
        <v>1450</v>
      </c>
      <c r="L10" s="1310" t="s">
        <v>1450</v>
      </c>
      <c r="M10" s="1310" t="s">
        <v>1450</v>
      </c>
      <c r="N10" s="1310" t="s">
        <v>262</v>
      </c>
      <c r="O10" s="1310" t="s">
        <v>1450</v>
      </c>
      <c r="P10" s="1310" t="s">
        <v>1450</v>
      </c>
      <c r="Q10" s="1310" t="s">
        <v>269</v>
      </c>
      <c r="R10" s="1310" t="s">
        <v>1497</v>
      </c>
      <c r="S10" s="1310" t="s">
        <v>1450</v>
      </c>
      <c r="T10" s="1310" t="s">
        <v>1450</v>
      </c>
      <c r="U10" s="1310" t="s">
        <v>1450</v>
      </c>
      <c r="V10" s="1310" t="s">
        <v>1450</v>
      </c>
      <c r="W10" s="1310" t="s">
        <v>1450</v>
      </c>
      <c r="X10" s="1310" t="s">
        <v>1450</v>
      </c>
      <c r="Y10" s="1310" t="s">
        <v>1450</v>
      </c>
      <c r="Z10" s="1310" t="s">
        <v>1498</v>
      </c>
      <c r="AA10" s="1310" t="s">
        <v>1450</v>
      </c>
      <c r="AB10" s="1310" t="s">
        <v>1450</v>
      </c>
      <c r="AC10" s="1310" t="s">
        <v>1450</v>
      </c>
      <c r="AD10" s="1310" t="s">
        <v>262</v>
      </c>
      <c r="AE10" s="1310" t="s">
        <v>1450</v>
      </c>
      <c r="AF10" s="1310" t="s">
        <v>1450</v>
      </c>
    </row>
    <row r="11" spans="1:34" x14ac:dyDescent="0.3">
      <c r="A11" s="1310" t="s">
        <v>1450</v>
      </c>
      <c r="B11" s="1310" t="s">
        <v>1498</v>
      </c>
      <c r="C11" s="1310" t="s">
        <v>1450</v>
      </c>
      <c r="D11" s="1310" t="s">
        <v>1450</v>
      </c>
      <c r="E11" s="1310" t="s">
        <v>1450</v>
      </c>
      <c r="F11" s="1310" t="s">
        <v>262</v>
      </c>
      <c r="G11" s="1310" t="s">
        <v>1443</v>
      </c>
      <c r="H11" s="1310" t="s">
        <v>1444</v>
      </c>
      <c r="I11" s="1310" t="s">
        <v>1443</v>
      </c>
      <c r="J11" s="1310" t="s">
        <v>1499</v>
      </c>
      <c r="K11" s="1310" t="s">
        <v>1450</v>
      </c>
      <c r="L11" s="1310" t="s">
        <v>1500</v>
      </c>
      <c r="M11" s="1310" t="s">
        <v>1472</v>
      </c>
      <c r="N11" s="1310" t="s">
        <v>1473</v>
      </c>
      <c r="O11" s="1310" t="s">
        <v>1474</v>
      </c>
      <c r="P11" s="1310" t="s">
        <v>1455</v>
      </c>
      <c r="Q11" s="1310" t="s">
        <v>1475</v>
      </c>
      <c r="R11" s="1310" t="s">
        <v>1501</v>
      </c>
      <c r="S11" s="1310" t="s">
        <v>1502</v>
      </c>
      <c r="T11" s="1310" t="s">
        <v>1451</v>
      </c>
      <c r="U11" s="1310" t="s">
        <v>1450</v>
      </c>
      <c r="V11" s="1310" t="s">
        <v>262</v>
      </c>
      <c r="W11" s="1310" t="s">
        <v>1443</v>
      </c>
      <c r="X11" s="1310" t="s">
        <v>1503</v>
      </c>
      <c r="Y11" s="1310" t="s">
        <v>1450</v>
      </c>
      <c r="Z11" s="1310" t="s">
        <v>1504</v>
      </c>
      <c r="AA11" s="1310" t="s">
        <v>1472</v>
      </c>
      <c r="AB11" s="1310" t="s">
        <v>1473</v>
      </c>
      <c r="AC11" s="1310" t="s">
        <v>1474</v>
      </c>
      <c r="AD11" s="1310" t="s">
        <v>1455</v>
      </c>
      <c r="AE11" s="1310" t="s">
        <v>1475</v>
      </c>
      <c r="AF11" s="1310" t="s">
        <v>1450</v>
      </c>
    </row>
    <row r="12" spans="1:34" x14ac:dyDescent="0.3">
      <c r="A12" s="1310" t="s">
        <v>1473</v>
      </c>
      <c r="B12" s="1310" t="s">
        <v>1469</v>
      </c>
      <c r="C12" s="1310" t="s">
        <v>1450</v>
      </c>
      <c r="D12" s="1310" t="s">
        <v>1450</v>
      </c>
      <c r="E12" s="1310" t="s">
        <v>1450</v>
      </c>
      <c r="F12" s="1310" t="s">
        <v>262</v>
      </c>
      <c r="G12" s="1310" t="s">
        <v>1443</v>
      </c>
      <c r="H12" s="1310" t="s">
        <v>1505</v>
      </c>
      <c r="I12" s="1310" t="s">
        <v>1450</v>
      </c>
      <c r="J12" s="1310" t="s">
        <v>1506</v>
      </c>
      <c r="K12" s="1310" t="s">
        <v>1450</v>
      </c>
      <c r="L12" s="1310" t="s">
        <v>1500</v>
      </c>
      <c r="M12" s="1310" t="s">
        <v>269</v>
      </c>
      <c r="N12" s="1310" t="s">
        <v>269</v>
      </c>
      <c r="O12" s="1310" t="s">
        <v>269</v>
      </c>
      <c r="P12" s="1310" t="s">
        <v>270</v>
      </c>
      <c r="Q12" s="1310" t="s">
        <v>269</v>
      </c>
      <c r="R12" s="1310" t="s">
        <v>1500</v>
      </c>
      <c r="S12" s="1310" t="s">
        <v>270</v>
      </c>
      <c r="T12" s="1310" t="s">
        <v>270</v>
      </c>
      <c r="U12" s="1310" t="s">
        <v>1500</v>
      </c>
      <c r="V12" s="1310" t="s">
        <v>1507</v>
      </c>
      <c r="W12" s="1310" t="s">
        <v>1508</v>
      </c>
      <c r="X12" s="1310" t="s">
        <v>1467</v>
      </c>
      <c r="Y12" s="1310" t="s">
        <v>1508</v>
      </c>
      <c r="Z12" s="1310" t="s">
        <v>1507</v>
      </c>
      <c r="AA12" s="1310" t="s">
        <v>1509</v>
      </c>
      <c r="AB12" s="1310" t="s">
        <v>1510</v>
      </c>
      <c r="AC12" s="1310" t="s">
        <v>1500</v>
      </c>
      <c r="AD12" s="1310" t="s">
        <v>1500</v>
      </c>
      <c r="AE12" s="1310" t="s">
        <v>1510</v>
      </c>
      <c r="AF12" s="1310" t="s">
        <v>1509</v>
      </c>
    </row>
    <row r="13" spans="1:34" x14ac:dyDescent="0.3">
      <c r="A13" s="1310" t="s">
        <v>1511</v>
      </c>
      <c r="B13" s="1310" t="s">
        <v>1512</v>
      </c>
      <c r="C13" s="1310" t="s">
        <v>1512</v>
      </c>
      <c r="D13" s="1310" t="s">
        <v>1509</v>
      </c>
      <c r="E13" s="1310" t="s">
        <v>1512</v>
      </c>
      <c r="F13" s="1310" t="s">
        <v>1512</v>
      </c>
      <c r="G13" s="1310" t="s">
        <v>1511</v>
      </c>
      <c r="H13" s="1310" t="s">
        <v>1507</v>
      </c>
      <c r="I13" s="1310" t="s">
        <v>1500</v>
      </c>
      <c r="J13" s="1310" t="s">
        <v>1500</v>
      </c>
      <c r="K13" s="1310" t="s">
        <v>1500</v>
      </c>
      <c r="L13" s="1310" t="s">
        <v>1500</v>
      </c>
      <c r="M13" s="1310" t="s">
        <v>1500</v>
      </c>
      <c r="N13" s="1310" t="s">
        <v>1500</v>
      </c>
      <c r="O13" s="1310" t="s">
        <v>1507</v>
      </c>
      <c r="P13" s="1310" t="s">
        <v>1500</v>
      </c>
      <c r="Q13" s="1310" t="s">
        <v>1500</v>
      </c>
      <c r="R13" s="1310" t="s">
        <v>1500</v>
      </c>
      <c r="S13" s="1310" t="s">
        <v>1500</v>
      </c>
      <c r="T13" s="1310" t="s">
        <v>1500</v>
      </c>
      <c r="U13" s="1310" t="s">
        <v>1500</v>
      </c>
      <c r="V13" s="1310" t="s">
        <v>1500</v>
      </c>
      <c r="W13" s="1310" t="s">
        <v>1500</v>
      </c>
      <c r="X13" s="1310" t="s">
        <v>1500</v>
      </c>
      <c r="Y13" s="1310" t="s">
        <v>1500</v>
      </c>
      <c r="Z13" s="1310" t="s">
        <v>1500</v>
      </c>
      <c r="AA13" s="1310" t="s">
        <v>1500</v>
      </c>
      <c r="AB13" s="1310" t="s">
        <v>1500</v>
      </c>
      <c r="AC13" s="1310" t="s">
        <v>1500</v>
      </c>
      <c r="AD13" s="1310" t="s">
        <v>1500</v>
      </c>
      <c r="AE13" s="1310" t="s">
        <v>1500</v>
      </c>
      <c r="AF13" s="1310" t="s">
        <v>1500</v>
      </c>
    </row>
    <row r="14" spans="1:34" x14ac:dyDescent="0.3">
      <c r="A14" s="1310" t="s">
        <v>1500</v>
      </c>
      <c r="B14" s="1310" t="s">
        <v>1500</v>
      </c>
      <c r="C14" s="1310" t="s">
        <v>1500</v>
      </c>
      <c r="D14" s="1310" t="s">
        <v>1500</v>
      </c>
      <c r="E14" s="1310" t="s">
        <v>1500</v>
      </c>
      <c r="F14" s="1310" t="s">
        <v>1500</v>
      </c>
      <c r="G14" s="1310" t="s">
        <v>1500</v>
      </c>
      <c r="H14" s="1310" t="s">
        <v>1500</v>
      </c>
      <c r="I14" s="1310" t="s">
        <v>1500</v>
      </c>
      <c r="J14" s="1310" t="s">
        <v>1500</v>
      </c>
      <c r="K14" s="1310" t="s">
        <v>1500</v>
      </c>
      <c r="L14" s="1310" t="s">
        <v>262</v>
      </c>
      <c r="M14" s="1310" t="s">
        <v>1513</v>
      </c>
      <c r="N14" s="1310" t="s">
        <v>1508</v>
      </c>
      <c r="O14" s="1310" t="s">
        <v>1508</v>
      </c>
      <c r="P14" s="1310" t="s">
        <v>1513</v>
      </c>
      <c r="Q14" s="1310" t="s">
        <v>1504</v>
      </c>
      <c r="R14" s="1310" t="s">
        <v>1513</v>
      </c>
      <c r="S14" s="1310" t="s">
        <v>1471</v>
      </c>
      <c r="T14" s="1310" t="s">
        <v>1504</v>
      </c>
      <c r="U14" s="1310" t="s">
        <v>1504</v>
      </c>
      <c r="V14" s="1310" t="s">
        <v>1471</v>
      </c>
      <c r="W14" s="1310" t="s">
        <v>1462</v>
      </c>
      <c r="X14" s="1310" t="s">
        <v>1504</v>
      </c>
      <c r="Y14" s="1310" t="s">
        <v>1504</v>
      </c>
      <c r="Z14" s="1310" t="s">
        <v>1504</v>
      </c>
      <c r="AA14" s="1310" t="s">
        <v>1462</v>
      </c>
      <c r="AB14" s="1310" t="s">
        <v>1462</v>
      </c>
      <c r="AC14" s="1310" t="s">
        <v>1504</v>
      </c>
      <c r="AD14" s="1310" t="s">
        <v>1504</v>
      </c>
      <c r="AE14" s="1310" t="s">
        <v>1504</v>
      </c>
      <c r="AF14" s="1310" t="s">
        <v>1504</v>
      </c>
    </row>
    <row r="15" spans="1:34" x14ac:dyDescent="0.3">
      <c r="A15" s="1310" t="s">
        <v>1462</v>
      </c>
      <c r="B15" s="1310" t="s">
        <v>1507</v>
      </c>
      <c r="C15" s="1310" t="s">
        <v>1500</v>
      </c>
      <c r="D15" s="1310" t="s">
        <v>1500</v>
      </c>
      <c r="E15" s="1310" t="s">
        <v>1500</v>
      </c>
      <c r="F15" s="1310" t="s">
        <v>1500</v>
      </c>
      <c r="G15" s="1310" t="s">
        <v>1500</v>
      </c>
      <c r="H15" s="1310" t="s">
        <v>1507</v>
      </c>
      <c r="I15" s="1310" t="s">
        <v>1507</v>
      </c>
      <c r="J15" s="1310" t="s">
        <v>1500</v>
      </c>
      <c r="K15" s="1310" t="s">
        <v>1500</v>
      </c>
      <c r="L15" s="1310" t="s">
        <v>1500</v>
      </c>
      <c r="M15" s="1310" t="s">
        <v>1500</v>
      </c>
      <c r="N15" s="1310" t="s">
        <v>1500</v>
      </c>
      <c r="O15" s="1310" t="s">
        <v>1500</v>
      </c>
      <c r="P15" s="1310" t="s">
        <v>1507</v>
      </c>
      <c r="Q15" s="1310" t="s">
        <v>1500</v>
      </c>
      <c r="R15" s="1310" t="s">
        <v>1500</v>
      </c>
      <c r="S15" s="1310" t="s">
        <v>1500</v>
      </c>
      <c r="T15" s="1310" t="s">
        <v>1500</v>
      </c>
      <c r="U15" s="1310" t="s">
        <v>1500</v>
      </c>
      <c r="V15" s="1310" t="s">
        <v>1500</v>
      </c>
      <c r="W15" s="1310" t="s">
        <v>1500</v>
      </c>
      <c r="X15" s="1310" t="s">
        <v>1500</v>
      </c>
      <c r="Y15" s="1310" t="s">
        <v>1500</v>
      </c>
      <c r="Z15" s="1310" t="s">
        <v>1500</v>
      </c>
      <c r="AA15" s="1310" t="s">
        <v>1500</v>
      </c>
      <c r="AB15" s="1310" t="s">
        <v>1500</v>
      </c>
      <c r="AC15" s="1310" t="s">
        <v>1500</v>
      </c>
      <c r="AD15" s="1310" t="s">
        <v>1500</v>
      </c>
      <c r="AE15" s="1310" t="s">
        <v>1500</v>
      </c>
      <c r="AF15" s="1310" t="s">
        <v>1500</v>
      </c>
    </row>
    <row r="16" spans="1:34" x14ac:dyDescent="0.3">
      <c r="A16" s="1310" t="s">
        <v>1500</v>
      </c>
      <c r="B16" s="1310" t="s">
        <v>1500</v>
      </c>
      <c r="C16" s="1310" t="s">
        <v>1500</v>
      </c>
      <c r="D16" s="1310" t="s">
        <v>1500</v>
      </c>
      <c r="E16" s="1310" t="s">
        <v>1500</v>
      </c>
      <c r="F16" s="1310" t="s">
        <v>1500</v>
      </c>
      <c r="G16" s="1310" t="s">
        <v>1500</v>
      </c>
      <c r="H16" s="1310" t="s">
        <v>1500</v>
      </c>
      <c r="I16" s="1310" t="s">
        <v>1500</v>
      </c>
      <c r="J16" s="1310" t="s">
        <v>1500</v>
      </c>
      <c r="K16" s="1310" t="s">
        <v>1500</v>
      </c>
      <c r="L16" s="1310" t="s">
        <v>1500</v>
      </c>
      <c r="M16" s="1310" t="s">
        <v>1443</v>
      </c>
      <c r="N16" s="1310" t="s">
        <v>1514</v>
      </c>
      <c r="O16" s="1310" t="s">
        <v>1450</v>
      </c>
      <c r="P16" s="1310" t="s">
        <v>1507</v>
      </c>
      <c r="Q16" s="1310" t="s">
        <v>269</v>
      </c>
      <c r="R16" s="1310" t="s">
        <v>1450</v>
      </c>
      <c r="S16" s="1310" t="s">
        <v>1454</v>
      </c>
      <c r="T16" s="1310" t="s">
        <v>1450</v>
      </c>
      <c r="U16" s="1310" t="s">
        <v>1495</v>
      </c>
      <c r="V16" s="1310" t="s">
        <v>264</v>
      </c>
      <c r="W16" s="1310" t="s">
        <v>262</v>
      </c>
      <c r="X16" s="1310" t="s">
        <v>1515</v>
      </c>
      <c r="Y16" s="1310" t="s">
        <v>1450</v>
      </c>
      <c r="Z16" s="1310" t="s">
        <v>263</v>
      </c>
      <c r="AA16" s="1310" t="s">
        <v>1507</v>
      </c>
      <c r="AB16" s="1310" t="s">
        <v>262</v>
      </c>
      <c r="AC16" s="1310" t="s">
        <v>264</v>
      </c>
      <c r="AD16" s="1310" t="s">
        <v>1507</v>
      </c>
      <c r="AE16" s="1310" t="s">
        <v>262</v>
      </c>
      <c r="AF16" s="1310" t="s">
        <v>1443</v>
      </c>
    </row>
    <row r="17" spans="1:32" x14ac:dyDescent="0.3">
      <c r="A17" s="1310" t="s">
        <v>1516</v>
      </c>
      <c r="B17" s="1310" t="s">
        <v>1450</v>
      </c>
      <c r="C17" s="1310" t="s">
        <v>265</v>
      </c>
      <c r="D17" s="1310" t="s">
        <v>1450</v>
      </c>
      <c r="E17" s="1310" t="s">
        <v>1467</v>
      </c>
      <c r="F17" s="1310" t="s">
        <v>1443</v>
      </c>
      <c r="G17" s="1310" t="s">
        <v>129</v>
      </c>
      <c r="H17" s="1310" t="s">
        <v>262</v>
      </c>
      <c r="I17" s="1310" t="s">
        <v>1517</v>
      </c>
      <c r="J17" s="1310" t="s">
        <v>1450</v>
      </c>
      <c r="K17" s="1310" t="s">
        <v>1450</v>
      </c>
      <c r="L17" s="1310" t="s">
        <v>262</v>
      </c>
      <c r="M17" s="1310" t="s">
        <v>266</v>
      </c>
      <c r="N17" s="1310" t="s">
        <v>262</v>
      </c>
      <c r="O17" s="1310" t="s">
        <v>262</v>
      </c>
      <c r="P17" s="1310" t="s">
        <v>262</v>
      </c>
      <c r="Q17" s="1310" t="s">
        <v>262</v>
      </c>
      <c r="R17" s="1310" t="s">
        <v>262</v>
      </c>
      <c r="S17" s="1310" t="s">
        <v>262</v>
      </c>
      <c r="T17" s="1310" t="s">
        <v>1450</v>
      </c>
      <c r="U17" s="1310" t="s">
        <v>1450</v>
      </c>
      <c r="V17" s="1310" t="s">
        <v>1450</v>
      </c>
      <c r="W17" s="1310" t="s">
        <v>1450</v>
      </c>
      <c r="X17" s="1310" t="s">
        <v>1450</v>
      </c>
      <c r="Y17" s="1310" t="s">
        <v>1450</v>
      </c>
      <c r="Z17" s="1310" t="s">
        <v>1450</v>
      </c>
      <c r="AA17" s="1310" t="s">
        <v>264</v>
      </c>
      <c r="AB17" s="1310" t="s">
        <v>1450</v>
      </c>
      <c r="AC17" s="1310" t="s">
        <v>262</v>
      </c>
      <c r="AD17" s="1310" t="s">
        <v>263</v>
      </c>
      <c r="AE17" s="1310" t="s">
        <v>265</v>
      </c>
      <c r="AF17" s="1310" t="s">
        <v>266</v>
      </c>
    </row>
    <row r="18" spans="1:32" x14ac:dyDescent="0.3">
      <c r="A18" s="1310" t="s">
        <v>268</v>
      </c>
      <c r="B18" s="1310" t="s">
        <v>267</v>
      </c>
      <c r="C18" s="1310" t="s">
        <v>269</v>
      </c>
      <c r="D18" s="1310" t="s">
        <v>270</v>
      </c>
      <c r="E18" s="1310" t="s">
        <v>1467</v>
      </c>
      <c r="F18" s="1310" t="s">
        <v>1508</v>
      </c>
      <c r="G18" s="1310" t="s">
        <v>262</v>
      </c>
      <c r="H18" s="1310" t="s">
        <v>1450</v>
      </c>
      <c r="I18" s="1310" t="s">
        <v>262</v>
      </c>
      <c r="J18" s="1310" t="s">
        <v>266</v>
      </c>
      <c r="K18" s="1310" t="s">
        <v>262</v>
      </c>
      <c r="L18" s="1310" t="s">
        <v>262</v>
      </c>
      <c r="M18" s="1310" t="s">
        <v>262</v>
      </c>
      <c r="N18" s="1310" t="s">
        <v>262</v>
      </c>
      <c r="O18" s="1310" t="s">
        <v>262</v>
      </c>
      <c r="P18" s="1310" t="s">
        <v>262</v>
      </c>
      <c r="Q18" s="1310" t="s">
        <v>1450</v>
      </c>
      <c r="R18" s="1310" t="s">
        <v>1450</v>
      </c>
      <c r="S18" s="1310" t="s">
        <v>1450</v>
      </c>
      <c r="T18" s="1310" t="s">
        <v>1450</v>
      </c>
      <c r="U18" s="1310" t="s">
        <v>1450</v>
      </c>
      <c r="V18" s="1310" t="s">
        <v>1450</v>
      </c>
      <c r="W18" s="1310" t="s">
        <v>1450</v>
      </c>
      <c r="X18" s="1310" t="s">
        <v>262</v>
      </c>
      <c r="Y18" s="1310" t="s">
        <v>1450</v>
      </c>
      <c r="Z18" s="1310" t="s">
        <v>263</v>
      </c>
      <c r="AA18" s="1310" t="s">
        <v>264</v>
      </c>
      <c r="AB18" s="1310" t="s">
        <v>265</v>
      </c>
      <c r="AC18" s="1310" t="s">
        <v>266</v>
      </c>
      <c r="AD18" s="1310" t="s">
        <v>268</v>
      </c>
      <c r="AE18" s="1310" t="s">
        <v>267</v>
      </c>
      <c r="AF18" s="1310" t="s">
        <v>269</v>
      </c>
    </row>
    <row r="19" spans="1:32" x14ac:dyDescent="0.3">
      <c r="A19" s="1310" t="s">
        <v>270</v>
      </c>
      <c r="B19" s="1310" t="s">
        <v>1467</v>
      </c>
      <c r="C19" s="1310" t="s">
        <v>1508</v>
      </c>
      <c r="D19" s="1310" t="s">
        <v>1471</v>
      </c>
      <c r="E19" s="1310" t="s">
        <v>1450</v>
      </c>
      <c r="F19" s="1310" t="s">
        <v>262</v>
      </c>
      <c r="G19" s="1310" t="s">
        <v>265</v>
      </c>
      <c r="H19" s="1310" t="s">
        <v>262</v>
      </c>
      <c r="I19" s="1310" t="s">
        <v>264</v>
      </c>
      <c r="J19" s="1310" t="s">
        <v>263</v>
      </c>
      <c r="K19" s="1310" t="s">
        <v>265</v>
      </c>
      <c r="L19" s="1310" t="s">
        <v>263</v>
      </c>
      <c r="M19" s="1310" t="s">
        <v>266</v>
      </c>
      <c r="N19" s="1310" t="s">
        <v>267</v>
      </c>
      <c r="O19" s="1310" t="s">
        <v>268</v>
      </c>
      <c r="P19" s="1310" t="s">
        <v>269</v>
      </c>
      <c r="Q19" s="1310" t="s">
        <v>266</v>
      </c>
      <c r="R19" s="1310" t="s">
        <v>264</v>
      </c>
      <c r="S19" s="1310" t="s">
        <v>1500</v>
      </c>
      <c r="T19" s="1310" t="s">
        <v>1494</v>
      </c>
      <c r="U19" s="1310" t="s">
        <v>262</v>
      </c>
      <c r="V19" s="1310" t="s">
        <v>1450</v>
      </c>
      <c r="W19" s="1310" t="s">
        <v>263</v>
      </c>
      <c r="X19" s="1310" t="s">
        <v>1507</v>
      </c>
      <c r="Y19" s="1310" t="s">
        <v>264</v>
      </c>
      <c r="Z19" s="1310" t="s">
        <v>265</v>
      </c>
      <c r="AA19" s="1310" t="s">
        <v>1518</v>
      </c>
      <c r="AB19" s="1310" t="s">
        <v>1453</v>
      </c>
      <c r="AC19" s="1310" t="s">
        <v>1459</v>
      </c>
      <c r="AD19" s="1310" t="s">
        <v>266</v>
      </c>
      <c r="AE19" s="1310" t="s">
        <v>1472</v>
      </c>
      <c r="AF19" s="1310" t="s">
        <v>1519</v>
      </c>
    </row>
    <row r="20" spans="1:32" x14ac:dyDescent="0.3">
      <c r="A20" s="1310" t="s">
        <v>1520</v>
      </c>
      <c r="B20" s="1310" t="s">
        <v>1512</v>
      </c>
      <c r="C20" s="1310" t="s">
        <v>1515</v>
      </c>
      <c r="D20" s="1310" t="s">
        <v>1521</v>
      </c>
      <c r="E20" s="1310" t="s">
        <v>1522</v>
      </c>
      <c r="F20" s="1310" t="s">
        <v>1461</v>
      </c>
      <c r="G20" s="1310" t="s">
        <v>268</v>
      </c>
      <c r="H20" s="1310" t="s">
        <v>1462</v>
      </c>
      <c r="I20" s="1310" t="s">
        <v>1523</v>
      </c>
      <c r="J20" s="1310" t="s">
        <v>110</v>
      </c>
      <c r="K20" s="1310" t="s">
        <v>114</v>
      </c>
      <c r="L20" s="1310" t="s">
        <v>1524</v>
      </c>
      <c r="M20" s="1310" t="s">
        <v>1525</v>
      </c>
      <c r="N20" s="1310" t="s">
        <v>1526</v>
      </c>
      <c r="O20" s="1310" t="s">
        <v>1509</v>
      </c>
      <c r="P20" s="1310" t="s">
        <v>1527</v>
      </c>
      <c r="Q20" s="1310" t="s">
        <v>118</v>
      </c>
      <c r="R20" s="1310" t="s">
        <v>1455</v>
      </c>
      <c r="S20" s="1310" t="s">
        <v>1494</v>
      </c>
      <c r="T20" s="1310" t="s">
        <v>1493</v>
      </c>
      <c r="U20" s="1310" t="s">
        <v>1460</v>
      </c>
      <c r="V20" s="1310" t="s">
        <v>1445</v>
      </c>
      <c r="W20" s="1310" t="s">
        <v>121</v>
      </c>
      <c r="X20" s="1310" t="s">
        <v>1502</v>
      </c>
      <c r="Y20" s="1310" t="s">
        <v>267</v>
      </c>
      <c r="Z20" s="1310" t="s">
        <v>1528</v>
      </c>
      <c r="AA20" s="1310" t="s">
        <v>1529</v>
      </c>
      <c r="AB20" s="1310" t="s">
        <v>1530</v>
      </c>
      <c r="AC20" s="1310" t="s">
        <v>1531</v>
      </c>
      <c r="AD20" s="1310" t="s">
        <v>125</v>
      </c>
      <c r="AE20" s="1310" t="s">
        <v>130</v>
      </c>
      <c r="AF20" s="1310" t="s">
        <v>1532</v>
      </c>
    </row>
    <row r="21" spans="1:32" x14ac:dyDescent="0.3">
      <c r="A21" s="1310" t="s">
        <v>1480</v>
      </c>
      <c r="B21" s="1310" t="s">
        <v>1492</v>
      </c>
      <c r="C21" s="1310" t="s">
        <v>1533</v>
      </c>
      <c r="D21" s="1310" t="s">
        <v>111</v>
      </c>
      <c r="E21" s="1310" t="s">
        <v>115</v>
      </c>
      <c r="F21" s="1310" t="s">
        <v>1534</v>
      </c>
      <c r="G21" s="1310" t="s">
        <v>1535</v>
      </c>
      <c r="H21" s="1310" t="s">
        <v>1536</v>
      </c>
      <c r="I21" s="1310" t="s">
        <v>1537</v>
      </c>
      <c r="J21" s="1310" t="s">
        <v>1538</v>
      </c>
      <c r="K21" s="1310" t="s">
        <v>1473</v>
      </c>
      <c r="L21" s="1310" t="s">
        <v>1446</v>
      </c>
      <c r="M21" s="1310" t="s">
        <v>119</v>
      </c>
      <c r="N21" s="1310" t="s">
        <v>112</v>
      </c>
      <c r="O21" s="1310" t="s">
        <v>1479</v>
      </c>
      <c r="P21" s="1310" t="s">
        <v>1539</v>
      </c>
      <c r="Q21" s="1310" t="s">
        <v>1540</v>
      </c>
      <c r="R21" s="1310" t="s">
        <v>122</v>
      </c>
      <c r="S21" s="1310" t="s">
        <v>1541</v>
      </c>
      <c r="T21" s="1310" t="s">
        <v>126</v>
      </c>
      <c r="U21" s="1310" t="s">
        <v>1475</v>
      </c>
      <c r="V21" s="1310" t="s">
        <v>131</v>
      </c>
      <c r="W21" s="1310" t="s">
        <v>116</v>
      </c>
      <c r="X21" s="1310" t="s">
        <v>1506</v>
      </c>
      <c r="Y21" s="1310" t="s">
        <v>120</v>
      </c>
      <c r="Z21" s="1310" t="s">
        <v>123</v>
      </c>
      <c r="AA21" s="1310" t="s">
        <v>1542</v>
      </c>
      <c r="AB21" s="1310" t="s">
        <v>127</v>
      </c>
      <c r="AC21" s="1310" t="s">
        <v>132</v>
      </c>
      <c r="AD21" s="1310" t="s">
        <v>1543</v>
      </c>
      <c r="AE21" s="1310" t="s">
        <v>1470</v>
      </c>
      <c r="AF21" s="1310" t="s">
        <v>1544</v>
      </c>
    </row>
    <row r="22" spans="1:32" x14ac:dyDescent="0.3">
      <c r="A22" s="1310" t="s">
        <v>113</v>
      </c>
      <c r="B22" s="1310" t="s">
        <v>1545</v>
      </c>
      <c r="C22" s="1310" t="s">
        <v>117</v>
      </c>
      <c r="D22" s="1310" t="s">
        <v>1546</v>
      </c>
      <c r="E22" s="1310" t="s">
        <v>129</v>
      </c>
      <c r="F22" s="1310" t="s">
        <v>124</v>
      </c>
      <c r="G22" s="1310" t="s">
        <v>128</v>
      </c>
      <c r="H22" s="1310" t="s">
        <v>133</v>
      </c>
      <c r="I22" s="1310" t="s">
        <v>1547</v>
      </c>
      <c r="J22" s="1310" t="s">
        <v>1548</v>
      </c>
      <c r="K22" s="1310" t="s">
        <v>1549</v>
      </c>
      <c r="L22" s="1310" t="s">
        <v>1550</v>
      </c>
      <c r="M22" s="1310" t="s">
        <v>1551</v>
      </c>
      <c r="N22" s="1310" t="s">
        <v>1552</v>
      </c>
      <c r="O22" s="1310" t="s">
        <v>1553</v>
      </c>
      <c r="P22" s="1310" t="s">
        <v>1449</v>
      </c>
      <c r="Q22" s="1310" t="s">
        <v>1554</v>
      </c>
      <c r="R22" s="1310" t="s">
        <v>1555</v>
      </c>
      <c r="S22" s="1310" t="s">
        <v>1556</v>
      </c>
      <c r="T22" s="1310" t="s">
        <v>1557</v>
      </c>
      <c r="U22" s="1310" t="s">
        <v>1558</v>
      </c>
      <c r="V22" s="1310" t="s">
        <v>1559</v>
      </c>
      <c r="W22" s="1310" t="s">
        <v>1560</v>
      </c>
      <c r="X22" s="1310" t="s">
        <v>1561</v>
      </c>
      <c r="Y22" s="1310" t="s">
        <v>1562</v>
      </c>
      <c r="Z22" s="1310" t="s">
        <v>1485</v>
      </c>
      <c r="AA22" s="1310" t="s">
        <v>1563</v>
      </c>
      <c r="AB22" s="1310" t="s">
        <v>1488</v>
      </c>
      <c r="AC22" s="1310" t="s">
        <v>1564</v>
      </c>
      <c r="AD22" s="1310" t="s">
        <v>1489</v>
      </c>
      <c r="AE22" s="1310" t="s">
        <v>1464</v>
      </c>
      <c r="AF22" s="1310" t="s">
        <v>1565</v>
      </c>
    </row>
    <row r="23" spans="1:32" x14ac:dyDescent="0.3">
      <c r="A23" s="1310" t="s">
        <v>1566</v>
      </c>
      <c r="B23" s="1310" t="s">
        <v>1567</v>
      </c>
      <c r="C23" s="1310" t="s">
        <v>1568</v>
      </c>
      <c r="D23" s="1310" t="s">
        <v>1569</v>
      </c>
      <c r="E23" s="1310" t="s">
        <v>1570</v>
      </c>
      <c r="F23" s="1310" t="s">
        <v>1571</v>
      </c>
      <c r="G23" s="1310" t="s">
        <v>1507</v>
      </c>
      <c r="H23" s="1310" t="s">
        <v>1450</v>
      </c>
      <c r="I23" s="1310" t="s">
        <v>263</v>
      </c>
      <c r="J23" s="1310" t="s">
        <v>263</v>
      </c>
      <c r="K23" s="1310" t="s">
        <v>262</v>
      </c>
      <c r="L23" s="1310" t="s">
        <v>263</v>
      </c>
      <c r="M23" s="1310" t="s">
        <v>265</v>
      </c>
      <c r="N23" s="1310" t="s">
        <v>265</v>
      </c>
      <c r="O23" s="1310" t="s">
        <v>264</v>
      </c>
      <c r="P23" s="1310" t="s">
        <v>265</v>
      </c>
      <c r="Q23" s="1310" t="s">
        <v>266</v>
      </c>
      <c r="R23" s="1310" t="s">
        <v>268</v>
      </c>
      <c r="S23" s="1310" t="s">
        <v>267</v>
      </c>
      <c r="T23" s="1310" t="s">
        <v>267</v>
      </c>
      <c r="U23" s="1310" t="s">
        <v>268</v>
      </c>
      <c r="V23" s="1310" t="s">
        <v>266</v>
      </c>
      <c r="W23" s="1310" t="s">
        <v>1492</v>
      </c>
      <c r="X23" s="1310" t="s">
        <v>262</v>
      </c>
      <c r="Y23" s="1310" t="s">
        <v>1450</v>
      </c>
      <c r="Z23" s="1310" t="s">
        <v>263</v>
      </c>
      <c r="AA23" s="1310" t="s">
        <v>1507</v>
      </c>
      <c r="AB23" s="1310" t="s">
        <v>264</v>
      </c>
      <c r="AC23" s="1310" t="s">
        <v>1518</v>
      </c>
      <c r="AD23" s="1310" t="s">
        <v>1459</v>
      </c>
      <c r="AE23" s="1310" t="s">
        <v>1453</v>
      </c>
      <c r="AF23" s="1310" t="s">
        <v>265</v>
      </c>
    </row>
    <row r="24" spans="1:32" x14ac:dyDescent="0.3">
      <c r="A24" s="1310" t="s">
        <v>1472</v>
      </c>
      <c r="B24" s="1310" t="s">
        <v>1519</v>
      </c>
      <c r="C24" s="1310" t="s">
        <v>1520</v>
      </c>
      <c r="D24" s="1310" t="s">
        <v>1521</v>
      </c>
      <c r="E24" s="1310" t="s">
        <v>1515</v>
      </c>
      <c r="F24" s="1310" t="s">
        <v>1512</v>
      </c>
      <c r="G24" s="1310" t="s">
        <v>266</v>
      </c>
      <c r="H24" s="1310" t="s">
        <v>1461</v>
      </c>
      <c r="I24" s="1310" t="s">
        <v>1522</v>
      </c>
      <c r="J24" s="1310" t="s">
        <v>1523</v>
      </c>
      <c r="K24" s="1310" t="s">
        <v>1462</v>
      </c>
      <c r="L24" s="1310" t="s">
        <v>110</v>
      </c>
      <c r="M24" s="1310" t="s">
        <v>114</v>
      </c>
      <c r="N24" s="1310" t="s">
        <v>1524</v>
      </c>
      <c r="O24" s="1310" t="s">
        <v>1525</v>
      </c>
      <c r="P24" s="1310" t="s">
        <v>118</v>
      </c>
      <c r="Q24" s="1310" t="s">
        <v>1527</v>
      </c>
      <c r="R24" s="1310" t="s">
        <v>121</v>
      </c>
      <c r="S24" s="1310" t="s">
        <v>1531</v>
      </c>
      <c r="T24" s="1310" t="s">
        <v>1494</v>
      </c>
      <c r="U24" s="1310" t="s">
        <v>1526</v>
      </c>
      <c r="V24" s="1310" t="s">
        <v>1455</v>
      </c>
      <c r="W24" s="1310" t="s">
        <v>125</v>
      </c>
      <c r="X24" s="1310" t="s">
        <v>1460</v>
      </c>
      <c r="Y24" s="1310" t="s">
        <v>1445</v>
      </c>
      <c r="Z24" s="1310" t="s">
        <v>1529</v>
      </c>
      <c r="AA24" s="1310" t="s">
        <v>1502</v>
      </c>
      <c r="AB24" s="1310" t="s">
        <v>1530</v>
      </c>
      <c r="AC24" s="1310" t="s">
        <v>1509</v>
      </c>
      <c r="AD24" s="1310" t="s">
        <v>1532</v>
      </c>
      <c r="AE24" s="1310" t="s">
        <v>1480</v>
      </c>
      <c r="AF24" s="1310" t="s">
        <v>1493</v>
      </c>
    </row>
    <row r="25" spans="1:32" x14ac:dyDescent="0.3">
      <c r="A25" s="1310" t="s">
        <v>130</v>
      </c>
      <c r="B25" s="1310" t="s">
        <v>1528</v>
      </c>
      <c r="C25" s="1310" t="s">
        <v>268</v>
      </c>
      <c r="D25" s="1310" t="s">
        <v>1533</v>
      </c>
      <c r="E25" s="1310" t="s">
        <v>111</v>
      </c>
      <c r="F25" s="1310" t="s">
        <v>115</v>
      </c>
      <c r="G25" s="1310" t="s">
        <v>1534</v>
      </c>
      <c r="H25" s="1310" t="s">
        <v>267</v>
      </c>
      <c r="I25" s="1310" t="s">
        <v>1535</v>
      </c>
      <c r="J25" s="1310" t="s">
        <v>1492</v>
      </c>
      <c r="K25" s="1310" t="s">
        <v>119</v>
      </c>
      <c r="L25" s="1310" t="s">
        <v>122</v>
      </c>
      <c r="M25" s="1310" t="s">
        <v>1536</v>
      </c>
      <c r="N25" s="1310" t="s">
        <v>1537</v>
      </c>
      <c r="O25" s="1310" t="s">
        <v>1538</v>
      </c>
      <c r="P25" s="1310" t="s">
        <v>112</v>
      </c>
      <c r="Q25" s="1310" t="s">
        <v>1540</v>
      </c>
      <c r="R25" s="1310" t="s">
        <v>1473</v>
      </c>
      <c r="S25" s="1310" t="s">
        <v>1446</v>
      </c>
      <c r="T25" s="1310" t="s">
        <v>1541</v>
      </c>
      <c r="U25" s="1310" t="s">
        <v>1539</v>
      </c>
      <c r="V25" s="1310" t="s">
        <v>1479</v>
      </c>
      <c r="W25" s="1310" t="s">
        <v>1475</v>
      </c>
      <c r="X25" s="1310" t="s">
        <v>126</v>
      </c>
      <c r="Y25" s="1310" t="s">
        <v>131</v>
      </c>
      <c r="Z25" s="1310" t="s">
        <v>116</v>
      </c>
      <c r="AA25" s="1310" t="s">
        <v>1506</v>
      </c>
      <c r="AB25" s="1310" t="s">
        <v>120</v>
      </c>
      <c r="AC25" s="1310" t="s">
        <v>123</v>
      </c>
      <c r="AD25" s="1310" t="s">
        <v>1542</v>
      </c>
      <c r="AE25" s="1310" t="s">
        <v>127</v>
      </c>
      <c r="AF25" s="1310" t="s">
        <v>132</v>
      </c>
    </row>
    <row r="26" spans="1:32" x14ac:dyDescent="0.3">
      <c r="A26" s="1310" t="s">
        <v>1543</v>
      </c>
      <c r="B26" s="1310" t="s">
        <v>1544</v>
      </c>
      <c r="C26" s="1310" t="s">
        <v>113</v>
      </c>
      <c r="D26" s="1310" t="s">
        <v>1545</v>
      </c>
      <c r="E26" s="1310" t="s">
        <v>117</v>
      </c>
      <c r="F26" s="1310" t="s">
        <v>1546</v>
      </c>
      <c r="G26" s="1310" t="s">
        <v>129</v>
      </c>
      <c r="H26" s="1310" t="s">
        <v>124</v>
      </c>
      <c r="I26" s="1310" t="s">
        <v>128</v>
      </c>
      <c r="J26" s="1310" t="s">
        <v>133</v>
      </c>
      <c r="K26" s="1310" t="s">
        <v>1547</v>
      </c>
      <c r="L26" s="1310" t="s">
        <v>1548</v>
      </c>
      <c r="M26" s="1310" t="s">
        <v>1549</v>
      </c>
      <c r="N26" s="1310" t="s">
        <v>1550</v>
      </c>
      <c r="O26" s="1310" t="s">
        <v>1551</v>
      </c>
      <c r="P26" s="1310" t="s">
        <v>1552</v>
      </c>
      <c r="Q26" s="1310" t="s">
        <v>1553</v>
      </c>
      <c r="R26" s="1310" t="s">
        <v>1449</v>
      </c>
      <c r="S26" s="1310" t="s">
        <v>1554</v>
      </c>
      <c r="T26" s="1310" t="s">
        <v>1555</v>
      </c>
      <c r="U26" s="1310" t="s">
        <v>1556</v>
      </c>
      <c r="V26" s="1310" t="s">
        <v>1557</v>
      </c>
      <c r="W26" s="1310" t="s">
        <v>1558</v>
      </c>
      <c r="X26" s="1310" t="s">
        <v>1559</v>
      </c>
      <c r="Y26" s="1310" t="s">
        <v>1560</v>
      </c>
      <c r="Z26" s="1310" t="s">
        <v>1561</v>
      </c>
      <c r="AA26" s="1310" t="s">
        <v>1562</v>
      </c>
      <c r="AB26" s="1310" t="s">
        <v>1470</v>
      </c>
      <c r="AC26" s="1310" t="s">
        <v>1485</v>
      </c>
      <c r="AD26" s="1310" t="s">
        <v>1563</v>
      </c>
      <c r="AE26" s="1310" t="s">
        <v>1488</v>
      </c>
      <c r="AF26" s="1310" t="s">
        <v>1564</v>
      </c>
    </row>
    <row r="27" spans="1:32" x14ac:dyDescent="0.3">
      <c r="A27" s="1310" t="s">
        <v>1489</v>
      </c>
      <c r="B27" s="1310" t="s">
        <v>1464</v>
      </c>
      <c r="C27" s="1310" t="s">
        <v>1565</v>
      </c>
      <c r="D27" s="1310" t="s">
        <v>1566</v>
      </c>
      <c r="E27" s="1310" t="s">
        <v>1567</v>
      </c>
      <c r="F27" s="1310" t="s">
        <v>1568</v>
      </c>
      <c r="G27" s="1310" t="s">
        <v>1443</v>
      </c>
      <c r="H27" s="1310" t="s">
        <v>1572</v>
      </c>
      <c r="I27" s="1310" t="s">
        <v>1450</v>
      </c>
      <c r="J27" s="1310" t="s">
        <v>1500</v>
      </c>
      <c r="K27" s="1310" t="s">
        <v>264</v>
      </c>
      <c r="L27" s="1310" t="s">
        <v>262</v>
      </c>
      <c r="M27" s="1310" t="s">
        <v>1450</v>
      </c>
      <c r="N27" s="1310" t="s">
        <v>263</v>
      </c>
      <c r="O27" s="1310" t="s">
        <v>1507</v>
      </c>
      <c r="P27" s="1310" t="s">
        <v>264</v>
      </c>
      <c r="Q27" s="1310" t="s">
        <v>1507</v>
      </c>
      <c r="R27" s="1310" t="s">
        <v>1450</v>
      </c>
      <c r="S27" s="1310" t="s">
        <v>1517</v>
      </c>
      <c r="T27" s="1310" t="s">
        <v>1450</v>
      </c>
      <c r="U27" s="1310" t="s">
        <v>1552</v>
      </c>
      <c r="V27" s="1310" t="s">
        <v>1538</v>
      </c>
      <c r="W27" s="1310" t="s">
        <v>1529</v>
      </c>
      <c r="X27" s="1310" t="s">
        <v>1573</v>
      </c>
      <c r="Y27" s="1310" t="s">
        <v>1528</v>
      </c>
      <c r="Z27" s="1310" t="s">
        <v>1574</v>
      </c>
      <c r="AA27" s="1310" t="s">
        <v>1575</v>
      </c>
      <c r="AB27" s="1310" t="s">
        <v>1576</v>
      </c>
      <c r="AC27" s="1310" t="s">
        <v>1577</v>
      </c>
      <c r="AD27" s="1310" t="s">
        <v>1578</v>
      </c>
      <c r="AE27" s="1310" t="s">
        <v>1579</v>
      </c>
      <c r="AF27" s="1310" t="s">
        <v>1580</v>
      </c>
    </row>
    <row r="28" spans="1:32" x14ac:dyDescent="0.3">
      <c r="A28" s="1310" t="s">
        <v>1541</v>
      </c>
      <c r="B28" s="1310" t="s">
        <v>1581</v>
      </c>
      <c r="C28" s="1310" t="s">
        <v>1556</v>
      </c>
      <c r="D28" s="1310" t="s">
        <v>1582</v>
      </c>
      <c r="E28" s="1310" t="s">
        <v>1528</v>
      </c>
      <c r="F28" s="1310" t="s">
        <v>1583</v>
      </c>
      <c r="G28" s="1310" t="s">
        <v>1462</v>
      </c>
      <c r="H28" s="1310" t="s">
        <v>1491</v>
      </c>
      <c r="I28" s="1310" t="s">
        <v>1581</v>
      </c>
      <c r="J28" s="1310" t="s">
        <v>1584</v>
      </c>
      <c r="K28" s="1310" t="s">
        <v>1585</v>
      </c>
      <c r="L28" s="1310" t="s">
        <v>1533</v>
      </c>
      <c r="M28" s="1310" t="s">
        <v>1586</v>
      </c>
      <c r="N28" s="1310" t="s">
        <v>1577</v>
      </c>
      <c r="O28" s="1310" t="s">
        <v>1587</v>
      </c>
      <c r="P28" s="1310" t="s">
        <v>265</v>
      </c>
      <c r="Q28" s="1310" t="s">
        <v>1580</v>
      </c>
      <c r="R28" s="1310" t="s">
        <v>1553</v>
      </c>
      <c r="S28" s="1310" t="s">
        <v>1505</v>
      </c>
      <c r="T28" s="1310" t="s">
        <v>1588</v>
      </c>
      <c r="U28" s="1310" t="s">
        <v>1589</v>
      </c>
      <c r="V28" s="1310" t="s">
        <v>1590</v>
      </c>
      <c r="W28" s="1310" t="s">
        <v>1591</v>
      </c>
      <c r="X28" s="1310" t="s">
        <v>1447</v>
      </c>
      <c r="Y28" s="1310" t="s">
        <v>1535</v>
      </c>
      <c r="Z28" s="1310" t="s">
        <v>1592</v>
      </c>
      <c r="AA28" s="1310" t="s">
        <v>1593</v>
      </c>
      <c r="AB28" s="1310" t="s">
        <v>1571</v>
      </c>
      <c r="AC28" s="1310" t="s">
        <v>1594</v>
      </c>
      <c r="AD28" s="1310" t="s">
        <v>1499</v>
      </c>
      <c r="AE28" s="1310" t="s">
        <v>1570</v>
      </c>
      <c r="AF28" s="1310" t="s">
        <v>128</v>
      </c>
    </row>
    <row r="29" spans="1:32" x14ac:dyDescent="0.3">
      <c r="A29" s="1310" t="s">
        <v>1027</v>
      </c>
      <c r="B29" s="1310" t="s">
        <v>1443</v>
      </c>
      <c r="C29" s="1310" t="s">
        <v>1450</v>
      </c>
      <c r="D29" s="1310" t="s">
        <v>1595</v>
      </c>
      <c r="E29" s="1310" t="s">
        <v>1504</v>
      </c>
      <c r="F29" s="1310" t="s">
        <v>1566</v>
      </c>
      <c r="G29" s="1310" t="s">
        <v>1562</v>
      </c>
      <c r="H29" s="1310" t="s">
        <v>1503</v>
      </c>
      <c r="I29" s="1310" t="s">
        <v>110</v>
      </c>
      <c r="J29" s="1310" t="s">
        <v>1522</v>
      </c>
      <c r="K29" s="1310" t="s">
        <v>1552</v>
      </c>
      <c r="L29" s="1310" t="s">
        <v>1596</v>
      </c>
      <c r="M29" s="1310" t="s">
        <v>1597</v>
      </c>
      <c r="N29" s="1310" t="s">
        <v>1505</v>
      </c>
      <c r="O29" s="1310" t="s">
        <v>1558</v>
      </c>
      <c r="P29" s="1310" t="s">
        <v>1574</v>
      </c>
      <c r="Q29" s="1310" t="s">
        <v>1475</v>
      </c>
      <c r="R29" s="1310" t="s">
        <v>1561</v>
      </c>
      <c r="S29" s="1310" t="s">
        <v>262</v>
      </c>
      <c r="T29" s="1310" t="s">
        <v>1027</v>
      </c>
      <c r="U29" s="1310" t="s">
        <v>1598</v>
      </c>
      <c r="V29" s="1310" t="s">
        <v>1599</v>
      </c>
      <c r="W29" s="1310" t="s">
        <v>1584</v>
      </c>
      <c r="X29" s="1310" t="s">
        <v>1530</v>
      </c>
      <c r="Y29" s="1310" t="s">
        <v>1558</v>
      </c>
      <c r="Z29" s="1310" t="s">
        <v>1600</v>
      </c>
      <c r="AA29" s="1310" t="s">
        <v>1601</v>
      </c>
      <c r="AB29" s="1310" t="s">
        <v>1505</v>
      </c>
      <c r="AC29" s="1310" t="s">
        <v>1602</v>
      </c>
      <c r="AD29" s="1310" t="s">
        <v>1586</v>
      </c>
      <c r="AE29" s="1310" t="s">
        <v>1505</v>
      </c>
      <c r="AF29" s="1310" t="s">
        <v>1443</v>
      </c>
    </row>
    <row r="30" spans="1:32" x14ac:dyDescent="0.3">
      <c r="A30" s="1310" t="s">
        <v>1450</v>
      </c>
      <c r="B30" s="1310" t="s">
        <v>1521</v>
      </c>
      <c r="C30" s="1310" t="s">
        <v>6</v>
      </c>
      <c r="D30" s="1310" t="s">
        <v>1558</v>
      </c>
      <c r="E30" s="1310" t="s">
        <v>1487</v>
      </c>
      <c r="F30" s="1310" t="s">
        <v>1531</v>
      </c>
      <c r="G30" s="1310" t="s">
        <v>1559</v>
      </c>
      <c r="H30" s="1310" t="s">
        <v>1603</v>
      </c>
      <c r="I30" s="1310" t="s">
        <v>1446</v>
      </c>
      <c r="J30" s="1310" t="s">
        <v>133</v>
      </c>
      <c r="K30" s="1310" t="s">
        <v>1469</v>
      </c>
      <c r="L30" s="1310" t="s">
        <v>1534</v>
      </c>
      <c r="M30" s="1310" t="s">
        <v>116</v>
      </c>
      <c r="N30" s="1310" t="s">
        <v>1501</v>
      </c>
      <c r="O30" s="1310" t="s">
        <v>1604</v>
      </c>
      <c r="P30" s="1310" t="s">
        <v>1520</v>
      </c>
      <c r="Q30" s="1310" t="s">
        <v>1605</v>
      </c>
      <c r="R30" s="1310" t="s">
        <v>1580</v>
      </c>
      <c r="S30" s="1310" t="s">
        <v>1606</v>
      </c>
      <c r="T30" s="1310" t="s">
        <v>1507</v>
      </c>
      <c r="U30" s="1310" t="s">
        <v>1568</v>
      </c>
      <c r="V30" s="1310" t="s">
        <v>1590</v>
      </c>
      <c r="W30" s="1310" t="s">
        <v>269</v>
      </c>
      <c r="X30" s="1310" t="s">
        <v>1491</v>
      </c>
      <c r="Y30" s="1310" t="s">
        <v>1601</v>
      </c>
      <c r="Z30" s="1310" t="s">
        <v>1497</v>
      </c>
      <c r="AA30" s="1310" t="s">
        <v>1602</v>
      </c>
      <c r="AB30" s="1310" t="s">
        <v>1535</v>
      </c>
      <c r="AC30" s="1310" t="s">
        <v>1605</v>
      </c>
      <c r="AD30" s="1310" t="s">
        <v>1507</v>
      </c>
      <c r="AE30" s="1310" t="s">
        <v>124</v>
      </c>
      <c r="AF30" s="1310" t="s">
        <v>1594</v>
      </c>
    </row>
    <row r="31" spans="1:32" x14ac:dyDescent="0.3">
      <c r="A31" s="1310" t="s">
        <v>1607</v>
      </c>
      <c r="B31" s="1310" t="s">
        <v>1529</v>
      </c>
      <c r="C31" s="1310" t="s">
        <v>1564</v>
      </c>
      <c r="D31" s="1310" t="s">
        <v>1539</v>
      </c>
      <c r="E31" s="1310" t="s">
        <v>1567</v>
      </c>
      <c r="F31" s="1310" t="s">
        <v>1542</v>
      </c>
      <c r="G31" s="1310" t="s">
        <v>1567</v>
      </c>
      <c r="H31" s="1310" t="s">
        <v>1508</v>
      </c>
      <c r="I31" s="1310" t="s">
        <v>1608</v>
      </c>
      <c r="J31" s="1310" t="s">
        <v>1609</v>
      </c>
      <c r="K31" s="1310" t="s">
        <v>1554</v>
      </c>
      <c r="L31" s="1310" t="s">
        <v>1575</v>
      </c>
      <c r="M31" s="1310" t="s">
        <v>1610</v>
      </c>
      <c r="N31" s="1310" t="s">
        <v>123</v>
      </c>
      <c r="O31" s="1310" t="s">
        <v>1577</v>
      </c>
      <c r="P31" s="1310" t="s">
        <v>118</v>
      </c>
      <c r="Q31" s="1310" t="s">
        <v>1464</v>
      </c>
      <c r="R31" s="1310" t="s">
        <v>122</v>
      </c>
      <c r="S31" s="1310" t="s">
        <v>1490</v>
      </c>
      <c r="T31" s="1310" t="s">
        <v>118</v>
      </c>
      <c r="U31" s="1310" t="s">
        <v>1611</v>
      </c>
      <c r="V31" s="1310" t="s">
        <v>1612</v>
      </c>
      <c r="W31" s="1310" t="s">
        <v>129</v>
      </c>
      <c r="X31" s="1310" t="s">
        <v>1610</v>
      </c>
      <c r="Y31" s="1310" t="s">
        <v>1506</v>
      </c>
      <c r="Z31" s="1310" t="s">
        <v>1596</v>
      </c>
      <c r="AA31" s="1310" t="s">
        <v>1508</v>
      </c>
      <c r="AB31" s="1310" t="s">
        <v>1456</v>
      </c>
      <c r="AC31" s="1310" t="s">
        <v>1027</v>
      </c>
      <c r="AD31" s="1310" t="s">
        <v>267</v>
      </c>
      <c r="AE31" s="1310" t="s">
        <v>1613</v>
      </c>
      <c r="AF31" s="1310" t="s">
        <v>1591</v>
      </c>
    </row>
    <row r="32" spans="1:32" x14ac:dyDescent="0.3">
      <c r="A32" s="1310" t="s">
        <v>1582</v>
      </c>
      <c r="B32" s="1310" t="s">
        <v>1474</v>
      </c>
      <c r="C32" s="1310" t="s">
        <v>122</v>
      </c>
      <c r="D32" s="1310" t="s">
        <v>1466</v>
      </c>
      <c r="E32" s="1310" t="s">
        <v>1532</v>
      </c>
      <c r="F32" s="1310" t="s">
        <v>1614</v>
      </c>
      <c r="G32" s="1310" t="s">
        <v>1477</v>
      </c>
      <c r="H32" s="1310" t="s">
        <v>1615</v>
      </c>
      <c r="I32" s="1310" t="s">
        <v>119</v>
      </c>
      <c r="J32" s="1310" t="s">
        <v>1601</v>
      </c>
      <c r="K32" s="1310" t="s">
        <v>1616</v>
      </c>
      <c r="L32" s="1310" t="s">
        <v>1556</v>
      </c>
      <c r="M32" s="1310" t="s">
        <v>1617</v>
      </c>
      <c r="N32" s="1310" t="s">
        <v>1447</v>
      </c>
      <c r="O32" s="1310" t="s">
        <v>1618</v>
      </c>
      <c r="P32" s="1310" t="s">
        <v>1510</v>
      </c>
      <c r="Q32" s="1310" t="s">
        <v>1453</v>
      </c>
      <c r="R32" s="1310" t="s">
        <v>1558</v>
      </c>
      <c r="S32" s="1310" t="s">
        <v>1481</v>
      </c>
      <c r="T32" s="1310" t="s">
        <v>1443</v>
      </c>
      <c r="U32" s="1310" t="s">
        <v>1450</v>
      </c>
      <c r="V32" s="1310" t="s">
        <v>1492</v>
      </c>
      <c r="W32" s="1310" t="s">
        <v>1510</v>
      </c>
      <c r="X32" s="1310" t="s">
        <v>1503</v>
      </c>
      <c r="Y32" s="1310" t="s">
        <v>1555</v>
      </c>
      <c r="Z32" s="1310" t="s">
        <v>1597</v>
      </c>
      <c r="AA32" s="1310" t="s">
        <v>1484</v>
      </c>
      <c r="AB32" s="1310" t="s">
        <v>1586</v>
      </c>
      <c r="AC32" s="1310" t="s">
        <v>1602</v>
      </c>
      <c r="AD32" s="1310" t="s">
        <v>1553</v>
      </c>
      <c r="AE32" s="1310" t="s">
        <v>1619</v>
      </c>
      <c r="AF32" s="1310" t="s">
        <v>1596</v>
      </c>
    </row>
    <row r="33" spans="1:32" x14ac:dyDescent="0.3">
      <c r="A33" s="1310" t="s">
        <v>1615</v>
      </c>
      <c r="B33" s="1310" t="s">
        <v>1486</v>
      </c>
      <c r="C33" s="1310" t="s">
        <v>1508</v>
      </c>
      <c r="D33" s="1310" t="s">
        <v>1620</v>
      </c>
      <c r="E33" s="1310" t="s">
        <v>1621</v>
      </c>
      <c r="F33" s="1310" t="s">
        <v>1622</v>
      </c>
      <c r="G33" s="1310" t="s">
        <v>1597</v>
      </c>
      <c r="H33" s="1310" t="s">
        <v>1585</v>
      </c>
      <c r="I33" s="1310" t="s">
        <v>267</v>
      </c>
      <c r="J33" s="1310" t="s">
        <v>1532</v>
      </c>
      <c r="K33" s="1310" t="s">
        <v>1573</v>
      </c>
      <c r="L33" s="1310" t="s">
        <v>1528</v>
      </c>
      <c r="M33" s="1310" t="s">
        <v>1473</v>
      </c>
      <c r="N33" s="1310" t="s">
        <v>1623</v>
      </c>
      <c r="O33" s="1310" t="s">
        <v>1624</v>
      </c>
      <c r="P33" s="1310" t="s">
        <v>1591</v>
      </c>
      <c r="Q33" s="1310" t="s">
        <v>1567</v>
      </c>
      <c r="R33" s="1310" t="s">
        <v>1542</v>
      </c>
      <c r="S33" s="1310" t="s">
        <v>1535</v>
      </c>
      <c r="T33" s="1310" t="s">
        <v>1560</v>
      </c>
      <c r="U33" s="1310" t="s">
        <v>1503</v>
      </c>
      <c r="V33" s="1310" t="s">
        <v>270</v>
      </c>
      <c r="W33" s="1310" t="s">
        <v>1619</v>
      </c>
      <c r="X33" s="1310" t="s">
        <v>1548</v>
      </c>
      <c r="Y33" s="1310" t="s">
        <v>1609</v>
      </c>
      <c r="Z33" s="1310" t="s">
        <v>122</v>
      </c>
      <c r="AA33" s="1310" t="s">
        <v>130</v>
      </c>
      <c r="AB33" s="1310" t="s">
        <v>1521</v>
      </c>
      <c r="AC33" s="1310" t="s">
        <v>1514</v>
      </c>
      <c r="AD33" s="1310" t="s">
        <v>1625</v>
      </c>
      <c r="AE33" s="1310" t="s">
        <v>1582</v>
      </c>
      <c r="AF33" s="1310" t="s">
        <v>1529</v>
      </c>
    </row>
    <row r="34" spans="1:32" x14ac:dyDescent="0.3">
      <c r="A34" s="1310" t="s">
        <v>1533</v>
      </c>
      <c r="B34" s="1310" t="s">
        <v>1489</v>
      </c>
      <c r="C34" s="1310" t="s">
        <v>129</v>
      </c>
      <c r="D34" s="1310" t="s">
        <v>1608</v>
      </c>
      <c r="E34" s="1310" t="s">
        <v>1528</v>
      </c>
      <c r="F34" s="1310" t="s">
        <v>1464</v>
      </c>
      <c r="G34" s="1310" t="s">
        <v>1544</v>
      </c>
      <c r="H34" s="1310" t="s">
        <v>1523</v>
      </c>
      <c r="I34" s="1310" t="s">
        <v>265</v>
      </c>
      <c r="J34" s="1310" t="s">
        <v>1597</v>
      </c>
      <c r="K34" s="1310" t="s">
        <v>1473</v>
      </c>
      <c r="L34" s="1310" t="s">
        <v>1525</v>
      </c>
      <c r="M34" s="1310" t="s">
        <v>1497</v>
      </c>
      <c r="N34" s="1310" t="s">
        <v>118</v>
      </c>
      <c r="O34" s="1310" t="s">
        <v>1565</v>
      </c>
      <c r="P34" s="1310" t="s">
        <v>1529</v>
      </c>
      <c r="Q34" s="1310" t="s">
        <v>1602</v>
      </c>
      <c r="R34" s="1310" t="s">
        <v>1494</v>
      </c>
      <c r="S34" s="1310" t="s">
        <v>1458</v>
      </c>
      <c r="T34" s="1310" t="s">
        <v>1626</v>
      </c>
      <c r="U34" s="1310" t="s">
        <v>1477</v>
      </c>
      <c r="V34" s="1310" t="s">
        <v>1592</v>
      </c>
      <c r="W34" s="1310" t="s">
        <v>1614</v>
      </c>
      <c r="X34" s="1310" t="s">
        <v>1509</v>
      </c>
      <c r="Y34" s="1310" t="s">
        <v>1489</v>
      </c>
      <c r="Z34" s="1310" t="s">
        <v>1524</v>
      </c>
      <c r="AA34" s="1310" t="s">
        <v>1567</v>
      </c>
      <c r="AB34" s="1310" t="s">
        <v>1454</v>
      </c>
      <c r="AC34" s="1310" t="s">
        <v>1463</v>
      </c>
      <c r="AD34" s="1310" t="s">
        <v>1602</v>
      </c>
      <c r="AE34" s="1310" t="s">
        <v>1520</v>
      </c>
      <c r="AF34" s="1310" t="s">
        <v>1509</v>
      </c>
    </row>
    <row r="35" spans="1:32" x14ac:dyDescent="0.3">
      <c r="A35" s="1310" t="s">
        <v>1581</v>
      </c>
      <c r="B35" s="1310" t="s">
        <v>1626</v>
      </c>
      <c r="C35" s="1310" t="s">
        <v>1457</v>
      </c>
      <c r="D35" s="1310" t="s">
        <v>113</v>
      </c>
      <c r="E35" s="1310" t="s">
        <v>1627</v>
      </c>
      <c r="F35" s="1310" t="s">
        <v>1572</v>
      </c>
      <c r="G35" s="1310" t="s">
        <v>1555</v>
      </c>
      <c r="H35" s="1310" t="s">
        <v>1610</v>
      </c>
      <c r="I35" s="1310" t="s">
        <v>1558</v>
      </c>
      <c r="J35" s="1310" t="s">
        <v>1461</v>
      </c>
      <c r="K35" s="1310" t="s">
        <v>1590</v>
      </c>
      <c r="L35" s="1310" t="s">
        <v>1541</v>
      </c>
      <c r="M35" s="1310" t="s">
        <v>1030</v>
      </c>
      <c r="N35" s="1310" t="s">
        <v>130</v>
      </c>
      <c r="O35" s="1310" t="s">
        <v>1619</v>
      </c>
      <c r="P35" s="1310" t="s">
        <v>1566</v>
      </c>
      <c r="Q35" s="1310" t="s">
        <v>1628</v>
      </c>
      <c r="R35" s="1310" t="s">
        <v>1602</v>
      </c>
      <c r="S35" s="1310" t="s">
        <v>1508</v>
      </c>
      <c r="T35" s="1310" t="s">
        <v>1557</v>
      </c>
      <c r="U35" s="1310" t="s">
        <v>133</v>
      </c>
      <c r="V35" s="1310" t="s">
        <v>1561</v>
      </c>
      <c r="W35" s="1310" t="s">
        <v>126</v>
      </c>
      <c r="X35" s="1310" t="s">
        <v>1473</v>
      </c>
      <c r="Y35" s="1310" t="s">
        <v>1629</v>
      </c>
      <c r="Z35" s="1310" t="s">
        <v>1576</v>
      </c>
      <c r="AA35" s="1310" t="s">
        <v>1629</v>
      </c>
      <c r="AB35" s="1310" t="s">
        <v>1600</v>
      </c>
      <c r="AC35" s="1310" t="s">
        <v>1630</v>
      </c>
      <c r="AD35" s="1310" t="s">
        <v>1619</v>
      </c>
      <c r="AE35" s="1310" t="s">
        <v>1502</v>
      </c>
      <c r="AF35" s="1310" t="s">
        <v>1458</v>
      </c>
    </row>
    <row r="36" spans="1:32" x14ac:dyDescent="0.3">
      <c r="A36" s="1310" t="s">
        <v>1631</v>
      </c>
      <c r="B36" s="1310" t="s">
        <v>1541</v>
      </c>
      <c r="C36" s="1310" t="s">
        <v>1551</v>
      </c>
      <c r="D36" s="1310" t="s">
        <v>1488</v>
      </c>
      <c r="E36" s="1310" t="s">
        <v>1448</v>
      </c>
      <c r="F36" s="1310" t="s">
        <v>1568</v>
      </c>
      <c r="G36" s="1310" t="s">
        <v>1520</v>
      </c>
      <c r="H36" s="1310" t="s">
        <v>1554</v>
      </c>
      <c r="I36" s="1310" t="s">
        <v>1498</v>
      </c>
      <c r="J36" s="1310" t="s">
        <v>1554</v>
      </c>
      <c r="K36" s="1310" t="s">
        <v>1619</v>
      </c>
      <c r="L36" s="1310" t="s">
        <v>1543</v>
      </c>
      <c r="M36" s="1310" t="s">
        <v>1509</v>
      </c>
      <c r="N36" s="1310" t="s">
        <v>1445</v>
      </c>
      <c r="O36" s="1310" t="s">
        <v>1583</v>
      </c>
      <c r="P36" s="1310" t="s">
        <v>1543</v>
      </c>
      <c r="Q36" s="1310" t="s">
        <v>1602</v>
      </c>
      <c r="R36" s="1310" t="s">
        <v>1624</v>
      </c>
      <c r="S36" s="1310" t="s">
        <v>1632</v>
      </c>
      <c r="T36" s="1310" t="s">
        <v>1623</v>
      </c>
      <c r="U36" s="1310" t="s">
        <v>1610</v>
      </c>
      <c r="V36" s="1310" t="s">
        <v>116</v>
      </c>
      <c r="W36" s="1310" t="s">
        <v>1517</v>
      </c>
      <c r="X36" s="1310" t="s">
        <v>1608</v>
      </c>
      <c r="Y36" s="1310" t="s">
        <v>1614</v>
      </c>
      <c r="Z36" s="1310" t="s">
        <v>1633</v>
      </c>
      <c r="AA36" s="1310" t="s">
        <v>1533</v>
      </c>
      <c r="AB36" s="1310" t="s">
        <v>1607</v>
      </c>
      <c r="AC36" s="1310" t="s">
        <v>1634</v>
      </c>
      <c r="AD36" s="1310" t="s">
        <v>1635</v>
      </c>
      <c r="AE36" s="1310" t="s">
        <v>1565</v>
      </c>
      <c r="AF36" s="1310" t="s">
        <v>1626</v>
      </c>
    </row>
    <row r="37" spans="1:32" x14ac:dyDescent="0.3">
      <c r="A37" s="1310" t="s">
        <v>1608</v>
      </c>
      <c r="B37" s="1310" t="s">
        <v>1494</v>
      </c>
      <c r="C37" s="1310" t="s">
        <v>115</v>
      </c>
      <c r="D37" s="1310" t="s">
        <v>465</v>
      </c>
      <c r="E37" s="1310" t="s">
        <v>129</v>
      </c>
      <c r="F37" s="1310" t="s">
        <v>119</v>
      </c>
      <c r="G37" s="1310" t="s">
        <v>1027</v>
      </c>
      <c r="H37" s="1310" t="s">
        <v>1620</v>
      </c>
      <c r="I37" s="1310" t="s">
        <v>131</v>
      </c>
      <c r="J37" s="1310" t="s">
        <v>115</v>
      </c>
      <c r="K37" s="1310" t="s">
        <v>1452</v>
      </c>
      <c r="L37" s="1310" t="s">
        <v>1591</v>
      </c>
      <c r="M37" s="1310" t="s">
        <v>114</v>
      </c>
      <c r="N37" s="1310" t="s">
        <v>1444</v>
      </c>
      <c r="O37" s="1310" t="s">
        <v>267</v>
      </c>
      <c r="P37" s="1310" t="s">
        <v>1610</v>
      </c>
      <c r="Q37" s="1310" t="s">
        <v>1569</v>
      </c>
      <c r="R37" s="1310" t="s">
        <v>1575</v>
      </c>
      <c r="S37" s="1310" t="s">
        <v>1636</v>
      </c>
      <c r="T37" s="1310" t="s">
        <v>1548</v>
      </c>
      <c r="U37" s="1310" t="s">
        <v>1595</v>
      </c>
      <c r="V37" s="1310" t="s">
        <v>1451</v>
      </c>
      <c r="W37" s="1310" t="s">
        <v>1571</v>
      </c>
      <c r="X37" s="1310" t="s">
        <v>1580</v>
      </c>
      <c r="Y37" s="1310" t="s">
        <v>1560</v>
      </c>
      <c r="Z37" s="1310" t="s">
        <v>1569</v>
      </c>
      <c r="AA37" s="1310" t="s">
        <v>1510</v>
      </c>
      <c r="AB37" s="1310" t="s">
        <v>121</v>
      </c>
      <c r="AC37" s="1310" t="s">
        <v>1567</v>
      </c>
      <c r="AD37" s="1310" t="s">
        <v>1516</v>
      </c>
      <c r="AE37" s="1310" t="s">
        <v>1545</v>
      </c>
      <c r="AF37" s="1310" t="s">
        <v>1569</v>
      </c>
    </row>
    <row r="38" spans="1:32" x14ac:dyDescent="0.3">
      <c r="A38" s="1310" t="s">
        <v>1596</v>
      </c>
      <c r="B38" s="1310" t="s">
        <v>1582</v>
      </c>
      <c r="C38" s="1310" t="s">
        <v>1484</v>
      </c>
      <c r="D38" s="1310" t="s">
        <v>1466</v>
      </c>
      <c r="E38" s="1310" t="s">
        <v>1637</v>
      </c>
      <c r="F38" s="1310" t="s">
        <v>1459</v>
      </c>
      <c r="G38" s="1310" t="s">
        <v>1617</v>
      </c>
      <c r="H38" s="1310" t="s">
        <v>1496</v>
      </c>
      <c r="I38" s="1310" t="s">
        <v>1627</v>
      </c>
      <c r="J38" s="1310" t="s">
        <v>1592</v>
      </c>
      <c r="K38" s="1310" t="s">
        <v>1620</v>
      </c>
      <c r="L38" s="1310" t="s">
        <v>1583</v>
      </c>
      <c r="M38" s="1310" t="s">
        <v>114</v>
      </c>
      <c r="N38" s="1310" t="s">
        <v>1614</v>
      </c>
      <c r="O38" s="1310" t="s">
        <v>1615</v>
      </c>
      <c r="P38" s="1310" t="s">
        <v>1623</v>
      </c>
      <c r="Q38" s="1310" t="s">
        <v>1493</v>
      </c>
      <c r="R38" s="1310" t="s">
        <v>1550</v>
      </c>
      <c r="S38" s="1310" t="s">
        <v>1579</v>
      </c>
      <c r="T38" s="1310" t="s">
        <v>1558</v>
      </c>
      <c r="U38" s="1310" t="s">
        <v>1587</v>
      </c>
      <c r="V38" s="1310" t="s">
        <v>1600</v>
      </c>
      <c r="W38" s="1310" t="s">
        <v>1558</v>
      </c>
      <c r="X38" s="1310" t="s">
        <v>1575</v>
      </c>
      <c r="Y38" s="1310" t="s">
        <v>132</v>
      </c>
      <c r="Z38" s="1310" t="s">
        <v>1460</v>
      </c>
      <c r="AA38" s="1310" t="s">
        <v>1627</v>
      </c>
      <c r="AB38" s="1310" t="s">
        <v>1633</v>
      </c>
      <c r="AC38" s="1310" t="s">
        <v>110</v>
      </c>
      <c r="AD38" s="1310" t="s">
        <v>1562</v>
      </c>
      <c r="AE38" s="1310" t="s">
        <v>1546</v>
      </c>
      <c r="AF38" s="1310" t="s">
        <v>1603</v>
      </c>
    </row>
    <row r="39" spans="1:32" x14ac:dyDescent="0.3">
      <c r="A39" s="1310" t="s">
        <v>120</v>
      </c>
      <c r="B39" s="1310" t="s">
        <v>1622</v>
      </c>
      <c r="C39" s="1310" t="s">
        <v>1468</v>
      </c>
      <c r="D39" s="1310" t="s">
        <v>1629</v>
      </c>
      <c r="E39" s="1310" t="s">
        <v>1559</v>
      </c>
      <c r="F39" s="1310" t="s">
        <v>1631</v>
      </c>
      <c r="G39" s="1310" t="s">
        <v>1473</v>
      </c>
      <c r="H39" s="1310" t="s">
        <v>1476</v>
      </c>
      <c r="I39" s="1310" t="s">
        <v>1501</v>
      </c>
      <c r="J39" s="1310" t="s">
        <v>1462</v>
      </c>
      <c r="K39" s="1310" t="s">
        <v>1627</v>
      </c>
      <c r="L39" s="1310" t="s">
        <v>1613</v>
      </c>
      <c r="M39" s="1310" t="s">
        <v>1628</v>
      </c>
      <c r="N39" s="1310" t="s">
        <v>1531</v>
      </c>
      <c r="O39" s="1310" t="s">
        <v>119</v>
      </c>
      <c r="P39" s="1310" t="s">
        <v>1585</v>
      </c>
      <c r="Q39" s="1310" t="s">
        <v>1447</v>
      </c>
      <c r="R39" s="1310" t="s">
        <v>1574</v>
      </c>
      <c r="S39" s="1310" t="s">
        <v>1575</v>
      </c>
      <c r="T39" s="1310" t="s">
        <v>1488</v>
      </c>
      <c r="U39" s="1310" t="s">
        <v>1638</v>
      </c>
      <c r="V39" s="1310" t="s">
        <v>1639</v>
      </c>
      <c r="W39" s="1310" t="s">
        <v>1443</v>
      </c>
      <c r="X39" s="1310" t="s">
        <v>1450</v>
      </c>
      <c r="Y39" s="1310" t="s">
        <v>1638</v>
      </c>
      <c r="Z39" s="1310" t="s">
        <v>1610</v>
      </c>
      <c r="AA39" s="1310" t="s">
        <v>1517</v>
      </c>
      <c r="AB39" s="1310" t="s">
        <v>1640</v>
      </c>
      <c r="AC39" s="1310" t="s">
        <v>1641</v>
      </c>
      <c r="AD39" s="1310" t="s">
        <v>1642</v>
      </c>
      <c r="AE39" s="1310" t="s">
        <v>1602</v>
      </c>
      <c r="AF39" s="1310" t="s">
        <v>1542</v>
      </c>
    </row>
    <row r="40" spans="1:32" x14ac:dyDescent="0.3">
      <c r="A40" s="1310" t="s">
        <v>1549</v>
      </c>
      <c r="B40" s="1310" t="s">
        <v>1637</v>
      </c>
      <c r="C40" s="1310" t="s">
        <v>129</v>
      </c>
      <c r="D40" s="1310" t="s">
        <v>1522</v>
      </c>
      <c r="E40" s="1310" t="s">
        <v>1456</v>
      </c>
      <c r="F40" s="1310" t="s">
        <v>122</v>
      </c>
      <c r="G40" s="1310" t="s">
        <v>1643</v>
      </c>
      <c r="H40" s="1310" t="s">
        <v>133</v>
      </c>
      <c r="I40" s="1310" t="s">
        <v>1030</v>
      </c>
      <c r="J40" s="1310" t="s">
        <v>1468</v>
      </c>
      <c r="K40" s="1310" t="s">
        <v>1562</v>
      </c>
      <c r="L40" s="1310" t="s">
        <v>6</v>
      </c>
      <c r="M40" s="1310" t="s">
        <v>1484</v>
      </c>
      <c r="N40" s="1310" t="s">
        <v>1510</v>
      </c>
      <c r="O40" s="1310" t="s">
        <v>1624</v>
      </c>
      <c r="P40" s="1310" t="s">
        <v>1484</v>
      </c>
      <c r="Q40" s="1310" t="s">
        <v>1509</v>
      </c>
      <c r="R40" s="1310" t="s">
        <v>1533</v>
      </c>
      <c r="S40" s="1310" t="s">
        <v>1449</v>
      </c>
      <c r="T40" s="1310" t="s">
        <v>1629</v>
      </c>
      <c r="U40" s="1310" t="s">
        <v>1615</v>
      </c>
      <c r="V40" s="1310" t="s">
        <v>1511</v>
      </c>
      <c r="W40" s="1310" t="s">
        <v>1570</v>
      </c>
      <c r="X40" s="1310" t="s">
        <v>120</v>
      </c>
      <c r="Y40" s="1310" t="s">
        <v>131</v>
      </c>
      <c r="Z40" s="1310" t="s">
        <v>1499</v>
      </c>
      <c r="AA40" s="1310" t="s">
        <v>1615</v>
      </c>
      <c r="AB40" s="1310" t="s">
        <v>1616</v>
      </c>
      <c r="AC40" s="1310" t="s">
        <v>1602</v>
      </c>
      <c r="AD40" s="1310" t="s">
        <v>1644</v>
      </c>
      <c r="AE40" s="1310" t="s">
        <v>1592</v>
      </c>
      <c r="AF40" s="1310" t="s">
        <v>133</v>
      </c>
    </row>
    <row r="41" spans="1:32" x14ac:dyDescent="0.3">
      <c r="A41" s="1310" t="s">
        <v>1639</v>
      </c>
      <c r="B41" s="1310" t="s">
        <v>1501</v>
      </c>
      <c r="C41" s="1310" t="s">
        <v>1633</v>
      </c>
      <c r="D41" s="1310" t="s">
        <v>1533</v>
      </c>
      <c r="E41" s="1310" t="s">
        <v>1556</v>
      </c>
      <c r="F41" s="1310" t="s">
        <v>1473</v>
      </c>
      <c r="G41" s="1310" t="s">
        <v>1610</v>
      </c>
      <c r="H41" s="1310" t="s">
        <v>1556</v>
      </c>
      <c r="I41" s="1310" t="s">
        <v>126</v>
      </c>
      <c r="J41" s="1310" t="s">
        <v>1491</v>
      </c>
      <c r="K41" s="1310" t="s">
        <v>1030</v>
      </c>
      <c r="L41" s="1310" t="s">
        <v>1449</v>
      </c>
      <c r="M41" s="1310" t="s">
        <v>1608</v>
      </c>
      <c r="N41" s="1310" t="s">
        <v>1645</v>
      </c>
      <c r="O41" s="1310" t="s">
        <v>132</v>
      </c>
      <c r="P41" s="1310" t="s">
        <v>471</v>
      </c>
      <c r="Q41" s="1310" t="s">
        <v>1546</v>
      </c>
      <c r="R41" s="1310" t="s">
        <v>471</v>
      </c>
      <c r="S41" s="1310" t="s">
        <v>1547</v>
      </c>
      <c r="T41" s="1310" t="s">
        <v>1615</v>
      </c>
      <c r="U41" s="1310" t="s">
        <v>1607</v>
      </c>
      <c r="V41" s="1310" t="s">
        <v>1633</v>
      </c>
      <c r="W41" s="1310" t="s">
        <v>1579</v>
      </c>
      <c r="X41" s="1310" t="s">
        <v>1489</v>
      </c>
      <c r="Y41" s="1310" t="s">
        <v>1456</v>
      </c>
      <c r="Z41" s="1310" t="s">
        <v>1503</v>
      </c>
      <c r="AA41" s="1310" t="s">
        <v>1514</v>
      </c>
      <c r="AB41" s="1310" t="s">
        <v>1532</v>
      </c>
      <c r="AC41" s="1310" t="s">
        <v>1567</v>
      </c>
      <c r="AD41" s="1310" t="s">
        <v>1550</v>
      </c>
      <c r="AE41" s="1310" t="s">
        <v>1590</v>
      </c>
      <c r="AF41" s="1310" t="s">
        <v>1542</v>
      </c>
    </row>
    <row r="42" spans="1:32" x14ac:dyDescent="0.3">
      <c r="A42" s="1310" t="s">
        <v>1544</v>
      </c>
      <c r="B42" s="1310" t="s">
        <v>1646</v>
      </c>
      <c r="C42" s="1310" t="s">
        <v>1455</v>
      </c>
      <c r="D42" s="1310" t="s">
        <v>264</v>
      </c>
      <c r="E42" s="1310" t="s">
        <v>1545</v>
      </c>
      <c r="F42" s="1310" t="s">
        <v>1474</v>
      </c>
      <c r="G42" s="1310" t="s">
        <v>1542</v>
      </c>
      <c r="H42" s="1310" t="s">
        <v>1586</v>
      </c>
      <c r="I42" s="1310" t="s">
        <v>1443</v>
      </c>
      <c r="J42" s="1310" t="s">
        <v>1450</v>
      </c>
      <c r="K42" s="1310" t="s">
        <v>1496</v>
      </c>
      <c r="L42" s="1310" t="s">
        <v>1647</v>
      </c>
      <c r="M42" s="1310" t="s">
        <v>1537</v>
      </c>
      <c r="N42" s="1310" t="s">
        <v>1636</v>
      </c>
      <c r="O42" s="1310" t="s">
        <v>1507</v>
      </c>
      <c r="P42" s="1310" t="s">
        <v>1519</v>
      </c>
      <c r="Q42" s="1310" t="s">
        <v>1638</v>
      </c>
      <c r="R42" s="1310" t="s">
        <v>1612</v>
      </c>
      <c r="S42" s="1310" t="s">
        <v>1546</v>
      </c>
      <c r="T42" s="1310" t="s">
        <v>1519</v>
      </c>
      <c r="U42" s="1310" t="s">
        <v>123</v>
      </c>
      <c r="V42" s="1310" t="s">
        <v>1531</v>
      </c>
      <c r="W42" s="1310" t="s">
        <v>1459</v>
      </c>
      <c r="X42" s="1310" t="s">
        <v>1503</v>
      </c>
      <c r="Y42" s="1310" t="s">
        <v>268</v>
      </c>
      <c r="Z42" s="1310" t="s">
        <v>1615</v>
      </c>
      <c r="AA42" s="1310" t="s">
        <v>1610</v>
      </c>
      <c r="AB42" s="1310" t="s">
        <v>1623</v>
      </c>
      <c r="AC42" s="1310" t="s">
        <v>1562</v>
      </c>
      <c r="AD42" s="1310" t="s">
        <v>1541</v>
      </c>
      <c r="AE42" s="1310" t="s">
        <v>1584</v>
      </c>
      <c r="AF42" s="1310" t="s">
        <v>1609</v>
      </c>
    </row>
    <row r="43" spans="1:32" x14ac:dyDescent="0.3">
      <c r="A43" s="1310" t="s">
        <v>1588</v>
      </c>
      <c r="B43" s="1310" t="s">
        <v>1448</v>
      </c>
      <c r="C43" s="1310" t="s">
        <v>1552</v>
      </c>
      <c r="D43" s="1310" t="s">
        <v>1645</v>
      </c>
      <c r="E43" s="1310" t="s">
        <v>1542</v>
      </c>
      <c r="F43" s="1310" t="s">
        <v>1592</v>
      </c>
      <c r="G43" s="1310" t="s">
        <v>1623</v>
      </c>
      <c r="H43" s="1310" t="s">
        <v>1648</v>
      </c>
      <c r="I43" s="1310" t="s">
        <v>1557</v>
      </c>
      <c r="J43" s="1310" t="s">
        <v>1559</v>
      </c>
      <c r="K43" s="1310" t="s">
        <v>1627</v>
      </c>
      <c r="L43" s="1310" t="s">
        <v>1601</v>
      </c>
      <c r="M43" s="1310" t="s">
        <v>1604</v>
      </c>
      <c r="N43" s="1310" t="s">
        <v>1642</v>
      </c>
      <c r="O43" s="1310" t="s">
        <v>1623</v>
      </c>
      <c r="P43" s="1310" t="s">
        <v>1642</v>
      </c>
      <c r="Q43" s="1310" t="s">
        <v>465</v>
      </c>
      <c r="R43" s="1310" t="s">
        <v>1489</v>
      </c>
      <c r="S43" s="1310" t="s">
        <v>132</v>
      </c>
      <c r="T43" s="1310" t="s">
        <v>1608</v>
      </c>
      <c r="U43" s="1310" t="s">
        <v>1611</v>
      </c>
      <c r="V43" s="1310" t="s">
        <v>1645</v>
      </c>
      <c r="W43" s="1310" t="s">
        <v>1639</v>
      </c>
      <c r="X43" s="1310" t="s">
        <v>1637</v>
      </c>
      <c r="Y43" s="1310" t="s">
        <v>1540</v>
      </c>
      <c r="Z43" s="1310" t="s">
        <v>1472</v>
      </c>
      <c r="AA43" s="1310" t="s">
        <v>1624</v>
      </c>
      <c r="AB43" s="1310" t="s">
        <v>1586</v>
      </c>
      <c r="AC43" s="1310" t="s">
        <v>1610</v>
      </c>
      <c r="AD43" s="1310" t="s">
        <v>1530</v>
      </c>
      <c r="AE43" s="1310" t="s">
        <v>1480</v>
      </c>
      <c r="AF43" s="1310" t="s">
        <v>114</v>
      </c>
    </row>
    <row r="44" spans="1:32" x14ac:dyDescent="0.3">
      <c r="A44" s="1310" t="s">
        <v>1483</v>
      </c>
      <c r="B44" s="1310" t="s">
        <v>1507</v>
      </c>
      <c r="C44" s="1310" t="s">
        <v>1523</v>
      </c>
      <c r="D44" s="1310" t="s">
        <v>1446</v>
      </c>
      <c r="E44" s="1310" t="s">
        <v>1560</v>
      </c>
      <c r="F44" s="1310" t="s">
        <v>263</v>
      </c>
      <c r="G44" s="1310" t="s">
        <v>127</v>
      </c>
      <c r="H44" s="1310" t="s">
        <v>1453</v>
      </c>
      <c r="I44" s="1310" t="s">
        <v>1561</v>
      </c>
      <c r="J44" s="1310" t="s">
        <v>1444</v>
      </c>
      <c r="K44" s="1310" t="s">
        <v>127</v>
      </c>
      <c r="L44" s="1310" t="s">
        <v>1523</v>
      </c>
      <c r="M44" s="1310" t="s">
        <v>1446</v>
      </c>
      <c r="N44" s="1310" t="s">
        <v>1581</v>
      </c>
      <c r="O44" s="1310" t="s">
        <v>1580</v>
      </c>
      <c r="P44" s="1310" t="s">
        <v>1547</v>
      </c>
      <c r="Q44" s="1310" t="s">
        <v>111</v>
      </c>
      <c r="R44" s="1310" t="s">
        <v>1638</v>
      </c>
      <c r="S44" s="1310" t="s">
        <v>1443</v>
      </c>
      <c r="T44" s="1310" t="s">
        <v>1450</v>
      </c>
      <c r="U44" s="1310" t="s">
        <v>1626</v>
      </c>
      <c r="V44" s="1310" t="s">
        <v>1594</v>
      </c>
      <c r="W44" s="1310" t="s">
        <v>111</v>
      </c>
      <c r="X44" s="1310" t="s">
        <v>1548</v>
      </c>
      <c r="Y44" s="1310" t="s">
        <v>1602</v>
      </c>
      <c r="Z44" s="1310" t="s">
        <v>1486</v>
      </c>
      <c r="AA44" s="1310" t="s">
        <v>1498</v>
      </c>
      <c r="AB44" s="1310" t="s">
        <v>1531</v>
      </c>
      <c r="AC44" s="1310" t="s">
        <v>1559</v>
      </c>
      <c r="AD44" s="1310" t="s">
        <v>1476</v>
      </c>
      <c r="AE44" s="1310" t="s">
        <v>1597</v>
      </c>
      <c r="AF44" s="1310" t="s">
        <v>1637</v>
      </c>
    </row>
    <row r="45" spans="1:32" x14ac:dyDescent="0.3">
      <c r="A45" s="1310" t="s">
        <v>1466</v>
      </c>
      <c r="B45" s="1310" t="s">
        <v>125</v>
      </c>
      <c r="C45" s="1310" t="s">
        <v>1595</v>
      </c>
      <c r="D45" s="1310" t="s">
        <v>1649</v>
      </c>
      <c r="E45" s="1310" t="s">
        <v>1496</v>
      </c>
      <c r="F45" s="1310" t="s">
        <v>1461</v>
      </c>
      <c r="G45" s="1310" t="s">
        <v>1543</v>
      </c>
      <c r="H45" s="1310" t="s">
        <v>115</v>
      </c>
      <c r="I45" s="1310" t="s">
        <v>1610</v>
      </c>
      <c r="J45" s="1310" t="s">
        <v>1443</v>
      </c>
      <c r="K45" s="1310" t="s">
        <v>1450</v>
      </c>
      <c r="L45" s="1310" t="s">
        <v>1460</v>
      </c>
      <c r="M45" s="1310" t="s">
        <v>1494</v>
      </c>
      <c r="N45" s="1310" t="s">
        <v>1443</v>
      </c>
      <c r="O45" s="1310" t="s">
        <v>1450</v>
      </c>
      <c r="P45" s="1310" t="s">
        <v>1568</v>
      </c>
      <c r="Q45" s="1310" t="s">
        <v>1511</v>
      </c>
      <c r="R45" s="1310" t="s">
        <v>1475</v>
      </c>
      <c r="S45" s="1310" t="s">
        <v>1499</v>
      </c>
      <c r="T45" s="1310" t="s">
        <v>1607</v>
      </c>
      <c r="U45" s="1310" t="s">
        <v>1597</v>
      </c>
      <c r="V45" s="1310" t="s">
        <v>1495</v>
      </c>
      <c r="W45" s="1310" t="s">
        <v>1521</v>
      </c>
      <c r="X45" s="1310" t="s">
        <v>127</v>
      </c>
      <c r="Y45" s="1310" t="s">
        <v>1522</v>
      </c>
      <c r="Z45" s="1310" t="s">
        <v>268</v>
      </c>
      <c r="AA45" s="1310" t="s">
        <v>1610</v>
      </c>
      <c r="AB45" s="1310" t="s">
        <v>269</v>
      </c>
      <c r="AC45" s="1310" t="s">
        <v>1619</v>
      </c>
      <c r="AD45" s="1310" t="s">
        <v>1529</v>
      </c>
      <c r="AE45" s="1310" t="s">
        <v>133</v>
      </c>
      <c r="AF45" s="1310" t="s">
        <v>1577</v>
      </c>
    </row>
    <row r="46" spans="1:32" x14ac:dyDescent="0.3">
      <c r="A46" s="1310" t="s">
        <v>1576</v>
      </c>
      <c r="B46" s="1310" t="s">
        <v>1592</v>
      </c>
      <c r="C46" s="1310" t="s">
        <v>1583</v>
      </c>
      <c r="D46" s="1310" t="s">
        <v>1545</v>
      </c>
      <c r="E46" s="1310" t="s">
        <v>1451</v>
      </c>
      <c r="F46" s="1310" t="s">
        <v>1631</v>
      </c>
      <c r="G46" s="1310" t="s">
        <v>1513</v>
      </c>
      <c r="H46" s="1310" t="s">
        <v>1568</v>
      </c>
      <c r="I46" s="1310" t="s">
        <v>112</v>
      </c>
      <c r="J46" s="1310" t="s">
        <v>1488</v>
      </c>
      <c r="K46" s="1310" t="s">
        <v>1481</v>
      </c>
      <c r="L46" s="1310" t="s">
        <v>1520</v>
      </c>
      <c r="M46" s="1310" t="s">
        <v>1477</v>
      </c>
      <c r="N46" s="1310" t="s">
        <v>1638</v>
      </c>
      <c r="O46" s="1310" t="s">
        <v>1516</v>
      </c>
      <c r="P46" s="1310" t="s">
        <v>1486</v>
      </c>
      <c r="Q46" s="1310" t="s">
        <v>1639</v>
      </c>
      <c r="R46" s="1310" t="s">
        <v>1546</v>
      </c>
      <c r="S46" s="1310" t="s">
        <v>1560</v>
      </c>
      <c r="T46" s="1310" t="s">
        <v>1536</v>
      </c>
      <c r="U46" s="1310" t="s">
        <v>1493</v>
      </c>
      <c r="V46" s="1310" t="s">
        <v>1638</v>
      </c>
      <c r="W46" s="1310" t="s">
        <v>1553</v>
      </c>
      <c r="X46" s="1310" t="s">
        <v>1567</v>
      </c>
      <c r="Y46" s="1310" t="s">
        <v>1633</v>
      </c>
      <c r="Z46" s="1310" t="s">
        <v>1625</v>
      </c>
      <c r="AA46" s="1310" t="s">
        <v>1567</v>
      </c>
      <c r="AB46" s="1310" t="s">
        <v>1518</v>
      </c>
      <c r="AC46" s="1310" t="s">
        <v>1617</v>
      </c>
      <c r="AD46" s="1310" t="s">
        <v>1649</v>
      </c>
      <c r="AE46" s="1310" t="s">
        <v>268</v>
      </c>
      <c r="AF46" s="1310" t="s">
        <v>1582</v>
      </c>
    </row>
    <row r="47" spans="1:32" x14ac:dyDescent="0.3">
      <c r="A47" s="1310" t="s">
        <v>1650</v>
      </c>
      <c r="B47" s="1310" t="s">
        <v>266</v>
      </c>
      <c r="C47" s="1310" t="s">
        <v>1633</v>
      </c>
      <c r="D47" s="1310" t="s">
        <v>1645</v>
      </c>
      <c r="E47" s="1310" t="s">
        <v>1525</v>
      </c>
      <c r="F47" s="1310" t="s">
        <v>1499</v>
      </c>
      <c r="G47" s="1310" t="s">
        <v>1565</v>
      </c>
      <c r="H47" s="1310" t="s">
        <v>1484</v>
      </c>
      <c r="I47" s="1310" t="s">
        <v>1481</v>
      </c>
      <c r="J47" s="1310" t="s">
        <v>1505</v>
      </c>
      <c r="K47" s="1310" t="s">
        <v>1530</v>
      </c>
      <c r="L47" s="1310" t="s">
        <v>1447</v>
      </c>
      <c r="M47" s="1310" t="s">
        <v>1527</v>
      </c>
      <c r="N47" s="1310" t="s">
        <v>129</v>
      </c>
      <c r="O47" s="1310" t="s">
        <v>128</v>
      </c>
      <c r="P47" s="1310" t="s">
        <v>1453</v>
      </c>
      <c r="Q47" s="1310" t="s">
        <v>1506</v>
      </c>
      <c r="R47" s="1310" t="s">
        <v>1489</v>
      </c>
      <c r="S47" s="1310" t="s">
        <v>110</v>
      </c>
      <c r="T47" s="1310" t="s">
        <v>1626</v>
      </c>
      <c r="U47" s="1310" t="s">
        <v>1537</v>
      </c>
      <c r="V47" s="1310" t="s">
        <v>1633</v>
      </c>
      <c r="W47" s="1310" t="s">
        <v>1507</v>
      </c>
      <c r="X47" s="1310" t="s">
        <v>1642</v>
      </c>
      <c r="Y47" s="1310" t="s">
        <v>1651</v>
      </c>
      <c r="Z47" s="1310" t="s">
        <v>115</v>
      </c>
      <c r="AA47" s="1310" t="s">
        <v>262</v>
      </c>
      <c r="AB47" s="1310" t="s">
        <v>1638</v>
      </c>
      <c r="AC47" s="1310" t="s">
        <v>1517</v>
      </c>
      <c r="AD47" s="1310" t="s">
        <v>1640</v>
      </c>
      <c r="AE47" s="1310" t="s">
        <v>1568</v>
      </c>
      <c r="AF47" s="1310" t="s">
        <v>1465</v>
      </c>
    </row>
    <row r="48" spans="1:32" x14ac:dyDescent="0.3">
      <c r="A48" s="1310" t="s">
        <v>1639</v>
      </c>
      <c r="B48" s="1310" t="s">
        <v>1570</v>
      </c>
      <c r="C48" s="1310" t="s">
        <v>1467</v>
      </c>
      <c r="D48" s="1310" t="s">
        <v>1616</v>
      </c>
      <c r="E48" s="1310" t="s">
        <v>1646</v>
      </c>
      <c r="F48" s="1310" t="s">
        <v>1609</v>
      </c>
      <c r="G48" s="1310" t="s">
        <v>1488</v>
      </c>
      <c r="H48" s="1310" t="s">
        <v>1566</v>
      </c>
      <c r="I48" s="1310" t="s">
        <v>1588</v>
      </c>
      <c r="J48" s="1310" t="s">
        <v>1590</v>
      </c>
      <c r="K48" s="1310" t="s">
        <v>1453</v>
      </c>
      <c r="L48" s="1310" t="s">
        <v>1566</v>
      </c>
      <c r="M48" s="1310" t="s">
        <v>1590</v>
      </c>
      <c r="N48" s="1310" t="s">
        <v>1588</v>
      </c>
      <c r="O48" s="1310" t="s">
        <v>1623</v>
      </c>
      <c r="P48" s="1310" t="s">
        <v>1595</v>
      </c>
      <c r="Q48" s="1310" t="s">
        <v>1645</v>
      </c>
      <c r="R48" s="1310" t="s">
        <v>121</v>
      </c>
      <c r="S48" s="1310" t="s">
        <v>116</v>
      </c>
      <c r="T48" s="1310" t="s">
        <v>1616</v>
      </c>
      <c r="U48" s="1310" t="s">
        <v>114</v>
      </c>
      <c r="V48" s="1310" t="s">
        <v>1606</v>
      </c>
      <c r="W48" s="1310" t="s">
        <v>1577</v>
      </c>
      <c r="X48" s="1310" t="s">
        <v>1621</v>
      </c>
      <c r="Y48" s="1310" t="s">
        <v>116</v>
      </c>
      <c r="Z48" s="1310" t="s">
        <v>1483</v>
      </c>
      <c r="AA48" s="1310" t="s">
        <v>1455</v>
      </c>
      <c r="AB48" s="1310" t="s">
        <v>1454</v>
      </c>
      <c r="AC48" s="1310" t="s">
        <v>6</v>
      </c>
      <c r="AD48" s="1310" t="s">
        <v>1652</v>
      </c>
      <c r="AE48" s="1310" t="s">
        <v>1559</v>
      </c>
      <c r="AF48" s="1310" t="s">
        <v>1640</v>
      </c>
    </row>
    <row r="49" spans="1:32" x14ac:dyDescent="0.3">
      <c r="A49" s="1310" t="s">
        <v>1638</v>
      </c>
      <c r="B49" s="1310" t="s">
        <v>1476</v>
      </c>
      <c r="C49" s="1310" t="s">
        <v>1473</v>
      </c>
      <c r="D49" s="1310" t="s">
        <v>1488</v>
      </c>
      <c r="E49" s="1310" t="s">
        <v>1446</v>
      </c>
      <c r="F49" s="1310" t="s">
        <v>1563</v>
      </c>
      <c r="G49" s="1310" t="s">
        <v>471</v>
      </c>
      <c r="H49" s="1310" t="s">
        <v>1616</v>
      </c>
      <c r="I49" s="1310" t="s">
        <v>1532</v>
      </c>
      <c r="J49" s="1310" t="s">
        <v>1479</v>
      </c>
      <c r="K49" s="1310" t="s">
        <v>1633</v>
      </c>
      <c r="L49" s="1310" t="s">
        <v>1445</v>
      </c>
      <c r="M49" s="1310" t="s">
        <v>1648</v>
      </c>
      <c r="N49" s="1310" t="s">
        <v>1588</v>
      </c>
      <c r="O49" s="1310" t="s">
        <v>1566</v>
      </c>
      <c r="P49" s="1310" t="s">
        <v>1648</v>
      </c>
      <c r="Q49" s="1310" t="s">
        <v>1475</v>
      </c>
      <c r="R49" s="1310" t="s">
        <v>1604</v>
      </c>
      <c r="S49" s="1310" t="s">
        <v>1456</v>
      </c>
      <c r="T49" s="1310" t="s">
        <v>1450</v>
      </c>
      <c r="U49" s="1310" t="s">
        <v>1638</v>
      </c>
      <c r="V49" s="1310" t="s">
        <v>1619</v>
      </c>
      <c r="W49" s="1310" t="s">
        <v>1443</v>
      </c>
      <c r="X49" s="1310" t="s">
        <v>1450</v>
      </c>
      <c r="Y49" s="1310" t="s">
        <v>1485</v>
      </c>
      <c r="Z49" s="1310" t="s">
        <v>263</v>
      </c>
      <c r="AA49" s="1310" t="s">
        <v>465</v>
      </c>
      <c r="AB49" s="1310" t="s">
        <v>1608</v>
      </c>
      <c r="AC49" s="1310" t="s">
        <v>1583</v>
      </c>
      <c r="AD49" s="1310" t="s">
        <v>1574</v>
      </c>
      <c r="AE49" s="1310" t="s">
        <v>1538</v>
      </c>
      <c r="AF49" s="1310" t="s">
        <v>1517</v>
      </c>
    </row>
    <row r="50" spans="1:32" x14ac:dyDescent="0.3">
      <c r="A50" s="1310" t="s">
        <v>1492</v>
      </c>
      <c r="B50" s="1310" t="s">
        <v>1599</v>
      </c>
      <c r="C50" s="1310" t="s">
        <v>1443</v>
      </c>
      <c r="D50" s="1310" t="s">
        <v>1450</v>
      </c>
      <c r="E50" s="1310" t="s">
        <v>1462</v>
      </c>
      <c r="F50" s="1310" t="s">
        <v>1617</v>
      </c>
      <c r="G50" s="1310" t="s">
        <v>1636</v>
      </c>
      <c r="H50" s="1310" t="s">
        <v>1583</v>
      </c>
      <c r="I50" s="1310" t="s">
        <v>1472</v>
      </c>
      <c r="J50" s="1310" t="s">
        <v>1650</v>
      </c>
      <c r="K50" s="1310" t="s">
        <v>1579</v>
      </c>
      <c r="L50" s="1310" t="s">
        <v>1583</v>
      </c>
      <c r="M50" s="1310" t="s">
        <v>1481</v>
      </c>
      <c r="N50" s="1310" t="s">
        <v>1552</v>
      </c>
      <c r="O50" s="1310" t="s">
        <v>1491</v>
      </c>
      <c r="P50" s="1310" t="s">
        <v>1554</v>
      </c>
      <c r="Q50" s="1310" t="s">
        <v>1653</v>
      </c>
      <c r="R50" s="1310" t="s">
        <v>1572</v>
      </c>
      <c r="S50" s="1310" t="s">
        <v>1511</v>
      </c>
      <c r="T50" s="1310" t="s">
        <v>1631</v>
      </c>
      <c r="U50" s="1310" t="s">
        <v>1509</v>
      </c>
      <c r="V50" s="1310" t="s">
        <v>1644</v>
      </c>
      <c r="W50" s="1310" t="s">
        <v>1577</v>
      </c>
      <c r="X50" s="1310" t="s">
        <v>1549</v>
      </c>
      <c r="Y50" s="1310" t="s">
        <v>1484</v>
      </c>
      <c r="Z50" s="1310" t="s">
        <v>1517</v>
      </c>
      <c r="AA50" s="1310" t="s">
        <v>1560</v>
      </c>
      <c r="AB50" s="1310" t="s">
        <v>1548</v>
      </c>
      <c r="AC50" s="1310" t="s">
        <v>1622</v>
      </c>
      <c r="AD50" s="1310" t="s">
        <v>1603</v>
      </c>
      <c r="AE50" s="1310" t="s">
        <v>1561</v>
      </c>
      <c r="AF50" s="1310" t="s">
        <v>1525</v>
      </c>
    </row>
    <row r="51" spans="1:32" x14ac:dyDescent="0.3">
      <c r="A51" s="1310" t="s">
        <v>133</v>
      </c>
      <c r="B51" s="1310" t="s">
        <v>1457</v>
      </c>
      <c r="C51" s="1310" t="s">
        <v>1549</v>
      </c>
      <c r="D51" s="1310" t="s">
        <v>1516</v>
      </c>
      <c r="E51" s="1310" t="s">
        <v>1509</v>
      </c>
      <c r="F51" s="1310" t="s">
        <v>1027</v>
      </c>
      <c r="G51" s="1310" t="s">
        <v>1554</v>
      </c>
      <c r="H51" s="1310" t="s">
        <v>1600</v>
      </c>
      <c r="I51" s="1310" t="s">
        <v>1646</v>
      </c>
      <c r="J51" s="1310" t="s">
        <v>1468</v>
      </c>
      <c r="K51" s="1310" t="s">
        <v>1540</v>
      </c>
      <c r="L51" s="1310" t="s">
        <v>1494</v>
      </c>
      <c r="M51" s="1310" t="s">
        <v>1552</v>
      </c>
      <c r="N51" s="1310" t="s">
        <v>1564</v>
      </c>
      <c r="O51" s="1310" t="s">
        <v>1654</v>
      </c>
      <c r="P51" s="1310" t="s">
        <v>1030</v>
      </c>
      <c r="Q51" s="1310" t="s">
        <v>1488</v>
      </c>
      <c r="R51" s="1310" t="s">
        <v>1647</v>
      </c>
      <c r="S51" s="1310" t="s">
        <v>1655</v>
      </c>
      <c r="T51" s="1310" t="s">
        <v>1639</v>
      </c>
      <c r="U51" s="1310" t="s">
        <v>1463</v>
      </c>
      <c r="V51" s="1310" t="s">
        <v>122</v>
      </c>
      <c r="W51" s="1310" t="s">
        <v>1586</v>
      </c>
      <c r="X51" s="1310" t="s">
        <v>1464</v>
      </c>
      <c r="Y51" s="1310" t="s">
        <v>1550</v>
      </c>
      <c r="Z51" s="1310" t="s">
        <v>1575</v>
      </c>
      <c r="AA51" s="1310" t="s">
        <v>1553</v>
      </c>
      <c r="AB51" s="1310" t="s">
        <v>1481</v>
      </c>
      <c r="AC51" s="1310" t="s">
        <v>1468</v>
      </c>
      <c r="AD51" s="1310" t="s">
        <v>121</v>
      </c>
      <c r="AE51" s="1310" t="s">
        <v>1482</v>
      </c>
      <c r="AF51" s="1310" t="s">
        <v>1503</v>
      </c>
    </row>
    <row r="52" spans="1:32" x14ac:dyDescent="0.3">
      <c r="A52" s="1310" t="s">
        <v>120</v>
      </c>
      <c r="B52" s="1310" t="s">
        <v>1605</v>
      </c>
      <c r="C52" s="1310" t="s">
        <v>1450</v>
      </c>
      <c r="D52" s="1310" t="s">
        <v>1623</v>
      </c>
      <c r="E52" s="1310" t="s">
        <v>6</v>
      </c>
      <c r="F52" s="1310" t="s">
        <v>110</v>
      </c>
      <c r="G52" s="1310" t="s">
        <v>1647</v>
      </c>
      <c r="H52" s="1310" t="s">
        <v>1485</v>
      </c>
      <c r="I52" s="1310" t="s">
        <v>1636</v>
      </c>
      <c r="J52" s="1310" t="s">
        <v>1506</v>
      </c>
      <c r="K52" s="1310" t="s">
        <v>1027</v>
      </c>
      <c r="L52" s="1310" t="s">
        <v>1633</v>
      </c>
      <c r="M52" s="1310" t="s">
        <v>1534</v>
      </c>
      <c r="N52" s="1310" t="s">
        <v>1480</v>
      </c>
      <c r="O52" s="1310" t="s">
        <v>1449</v>
      </c>
      <c r="P52" s="1310" t="s">
        <v>1576</v>
      </c>
      <c r="Q52" s="1310" t="s">
        <v>1568</v>
      </c>
      <c r="R52" s="1310" t="s">
        <v>1459</v>
      </c>
      <c r="S52" s="1310" t="s">
        <v>1632</v>
      </c>
      <c r="T52" s="1310" t="s">
        <v>1449</v>
      </c>
      <c r="U52" s="1310" t="s">
        <v>128</v>
      </c>
      <c r="V52" s="1310" t="s">
        <v>1473</v>
      </c>
      <c r="W52" s="1310" t="s">
        <v>1473</v>
      </c>
      <c r="X52" s="1310" t="s">
        <v>1598</v>
      </c>
      <c r="Y52" s="1310" t="s">
        <v>1466</v>
      </c>
      <c r="Z52" s="1310" t="s">
        <v>1606</v>
      </c>
      <c r="AA52" s="1310" t="s">
        <v>129</v>
      </c>
      <c r="AB52" s="1310" t="s">
        <v>1520</v>
      </c>
      <c r="AC52" s="1310" t="s">
        <v>1613</v>
      </c>
      <c r="AD52" s="1310" t="s">
        <v>1507</v>
      </c>
      <c r="AE52" s="1310" t="s">
        <v>1497</v>
      </c>
      <c r="AF52" s="1310" t="s">
        <v>1467</v>
      </c>
    </row>
    <row r="53" spans="1:32" x14ac:dyDescent="0.3">
      <c r="A53" s="1310" t="s">
        <v>1623</v>
      </c>
      <c r="B53" s="1310" t="s">
        <v>1644</v>
      </c>
      <c r="C53" s="1310" t="s">
        <v>1526</v>
      </c>
      <c r="D53" s="1310" t="s">
        <v>1529</v>
      </c>
      <c r="E53" s="1310" t="s">
        <v>1586</v>
      </c>
      <c r="F53" s="1310" t="s">
        <v>1621</v>
      </c>
      <c r="G53" s="1310" t="s">
        <v>1645</v>
      </c>
      <c r="H53" s="1310" t="s">
        <v>1443</v>
      </c>
      <c r="I53" s="1310" t="s">
        <v>1634</v>
      </c>
      <c r="J53" s="1310" t="s">
        <v>1552</v>
      </c>
      <c r="K53" s="1310" t="s">
        <v>1541</v>
      </c>
      <c r="L53" s="1310" t="s">
        <v>1646</v>
      </c>
      <c r="M53" s="1310" t="s">
        <v>1552</v>
      </c>
      <c r="N53" s="1310" t="s">
        <v>1464</v>
      </c>
      <c r="O53" s="1310" t="s">
        <v>1635</v>
      </c>
      <c r="P53" s="1310" t="s">
        <v>125</v>
      </c>
      <c r="Q53" s="1310" t="s">
        <v>133</v>
      </c>
      <c r="R53" s="1310" t="s">
        <v>1504</v>
      </c>
      <c r="S53" s="1310" t="s">
        <v>1537</v>
      </c>
      <c r="T53" s="1310" t="s">
        <v>1489</v>
      </c>
      <c r="U53" s="1310" t="s">
        <v>1527</v>
      </c>
      <c r="V53" s="1310" t="s">
        <v>1637</v>
      </c>
      <c r="W53" s="1310" t="s">
        <v>1476</v>
      </c>
      <c r="X53" s="1310" t="s">
        <v>1558</v>
      </c>
      <c r="Y53" s="1310" t="s">
        <v>114</v>
      </c>
      <c r="Z53" s="1310" t="s">
        <v>1509</v>
      </c>
      <c r="AA53" s="1310" t="s">
        <v>1541</v>
      </c>
      <c r="AB53" s="1310" t="s">
        <v>1487</v>
      </c>
      <c r="AC53" s="1310" t="s">
        <v>1626</v>
      </c>
      <c r="AD53" s="1310" t="s">
        <v>1483</v>
      </c>
      <c r="AE53" s="1310" t="s">
        <v>1517</v>
      </c>
      <c r="AF53" s="1310" t="s">
        <v>1640</v>
      </c>
    </row>
    <row r="54" spans="1:32" x14ac:dyDescent="0.3">
      <c r="A54" s="1310" t="s">
        <v>1532</v>
      </c>
      <c r="B54" s="1310" t="s">
        <v>1569</v>
      </c>
      <c r="C54" s="1310" t="s">
        <v>133</v>
      </c>
      <c r="D54" s="1310" t="s">
        <v>1587</v>
      </c>
      <c r="E54" s="1310" t="s">
        <v>1562</v>
      </c>
      <c r="F54" s="1310" t="s">
        <v>1618</v>
      </c>
      <c r="G54" s="1310" t="s">
        <v>1622</v>
      </c>
      <c r="H54" s="1310" t="s">
        <v>1608</v>
      </c>
      <c r="I54" s="1310" t="s">
        <v>1559</v>
      </c>
      <c r="J54" s="1310" t="s">
        <v>1647</v>
      </c>
      <c r="K54" s="1310" t="s">
        <v>1565</v>
      </c>
      <c r="L54" s="1310" t="s">
        <v>1496</v>
      </c>
      <c r="M54" s="1310" t="s">
        <v>1553</v>
      </c>
      <c r="N54" s="1310" t="s">
        <v>117</v>
      </c>
      <c r="O54" s="1310" t="s">
        <v>1565</v>
      </c>
      <c r="P54" s="1310" t="s">
        <v>1629</v>
      </c>
      <c r="Q54" s="1310" t="s">
        <v>1443</v>
      </c>
      <c r="R54" s="1310" t="s">
        <v>1450</v>
      </c>
      <c r="S54" s="1310" t="s">
        <v>1592</v>
      </c>
      <c r="T54" s="1310" t="s">
        <v>1517</v>
      </c>
      <c r="U54" s="1310" t="s">
        <v>1561</v>
      </c>
      <c r="V54" s="1310" t="s">
        <v>1610</v>
      </c>
      <c r="W54" s="1310" t="s">
        <v>1485</v>
      </c>
      <c r="X54" s="1310" t="s">
        <v>1517</v>
      </c>
      <c r="Y54" s="1310" t="s">
        <v>1607</v>
      </c>
      <c r="Z54" s="1310" t="s">
        <v>1505</v>
      </c>
      <c r="AA54" s="1310" t="s">
        <v>1639</v>
      </c>
      <c r="AB54" s="1310" t="s">
        <v>1501</v>
      </c>
      <c r="AC54" s="1310" t="s">
        <v>1495</v>
      </c>
      <c r="AD54" s="1310" t="s">
        <v>1030</v>
      </c>
      <c r="AE54" s="1310" t="s">
        <v>1547</v>
      </c>
      <c r="AF54" s="1310" t="s">
        <v>1468</v>
      </c>
    </row>
    <row r="55" spans="1:32" x14ac:dyDescent="0.3">
      <c r="A55" s="1310" t="s">
        <v>1583</v>
      </c>
      <c r="B55" s="1310" t="s">
        <v>1466</v>
      </c>
      <c r="C55" s="1310" t="s">
        <v>1573</v>
      </c>
      <c r="D55" s="1310" t="s">
        <v>1624</v>
      </c>
      <c r="E55" s="1310" t="s">
        <v>1564</v>
      </c>
      <c r="F55" s="1310" t="s">
        <v>1550</v>
      </c>
      <c r="G55" s="1310" t="s">
        <v>1613</v>
      </c>
      <c r="H55" s="1310" t="s">
        <v>1630</v>
      </c>
      <c r="I55" s="1310" t="s">
        <v>1649</v>
      </c>
      <c r="J55" s="1310" t="s">
        <v>1550</v>
      </c>
      <c r="K55" s="1310" t="s">
        <v>1491</v>
      </c>
      <c r="L55" s="1310" t="s">
        <v>1545</v>
      </c>
      <c r="M55" s="1310" t="s">
        <v>1639</v>
      </c>
      <c r="N55" s="1310" t="s">
        <v>1480</v>
      </c>
      <c r="O55" s="1310" t="s">
        <v>1591</v>
      </c>
      <c r="P55" s="1310" t="s">
        <v>1598</v>
      </c>
      <c r="Q55" s="1310" t="s">
        <v>1622</v>
      </c>
      <c r="R55" s="1310" t="s">
        <v>1597</v>
      </c>
      <c r="S55" s="1310" t="s">
        <v>1645</v>
      </c>
      <c r="T55" s="1310" t="s">
        <v>1539</v>
      </c>
      <c r="U55" s="1310" t="s">
        <v>1587</v>
      </c>
      <c r="V55" s="1310" t="s">
        <v>1559</v>
      </c>
      <c r="W55" s="1310" t="s">
        <v>1455</v>
      </c>
      <c r="X55" s="1310" t="s">
        <v>1633</v>
      </c>
      <c r="Y55" s="1310" t="s">
        <v>1500</v>
      </c>
      <c r="Z55" s="1310" t="s">
        <v>1449</v>
      </c>
      <c r="AA55" s="1310" t="s">
        <v>126</v>
      </c>
      <c r="AB55" s="1310" t="s">
        <v>1499</v>
      </c>
      <c r="AC55" s="1310" t="s">
        <v>1548</v>
      </c>
      <c r="AD55" s="1310" t="s">
        <v>1560</v>
      </c>
      <c r="AE55" s="1310" t="s">
        <v>1030</v>
      </c>
      <c r="AF55" s="1310" t="s">
        <v>121</v>
      </c>
    </row>
    <row r="56" spans="1:32" x14ac:dyDescent="0.3">
      <c r="A56" s="1310" t="s">
        <v>124</v>
      </c>
      <c r="B56" s="1310" t="s">
        <v>1607</v>
      </c>
      <c r="C56" s="1310" t="s">
        <v>1648</v>
      </c>
      <c r="D56" s="1310" t="s">
        <v>1611</v>
      </c>
      <c r="E56" s="1310" t="s">
        <v>1554</v>
      </c>
      <c r="F56" s="1310" t="s">
        <v>1622</v>
      </c>
      <c r="G56" s="1310" t="s">
        <v>1495</v>
      </c>
      <c r="H56" s="1310" t="s">
        <v>1500</v>
      </c>
      <c r="I56" s="1310" t="s">
        <v>1618</v>
      </c>
      <c r="J56" s="1310" t="s">
        <v>1450</v>
      </c>
      <c r="K56" s="1310" t="s">
        <v>1656</v>
      </c>
      <c r="L56" s="1310" t="s">
        <v>1492</v>
      </c>
      <c r="M56" s="1310" t="s">
        <v>1564</v>
      </c>
      <c r="N56" s="1310" t="s">
        <v>1623</v>
      </c>
      <c r="O56" s="1310" t="s">
        <v>1553</v>
      </c>
      <c r="P56" s="1310" t="s">
        <v>1443</v>
      </c>
      <c r="Q56" s="1310" t="s">
        <v>1450</v>
      </c>
      <c r="R56" s="1310" t="s">
        <v>1537</v>
      </c>
      <c r="S56" s="1310" t="s">
        <v>1657</v>
      </c>
      <c r="T56" s="1310" t="s">
        <v>1577</v>
      </c>
      <c r="U56" s="1310" t="s">
        <v>1658</v>
      </c>
      <c r="V56" s="1310" t="s">
        <v>1510</v>
      </c>
      <c r="W56" s="1310" t="s">
        <v>1495</v>
      </c>
      <c r="X56" s="1310" t="s">
        <v>117</v>
      </c>
      <c r="Y56" s="1310" t="s">
        <v>1480</v>
      </c>
      <c r="Z56" s="1310" t="s">
        <v>1575</v>
      </c>
      <c r="AA56" s="1310" t="s">
        <v>111</v>
      </c>
      <c r="AB56" s="1310" t="s">
        <v>1599</v>
      </c>
      <c r="AC56" s="1310" t="s">
        <v>1531</v>
      </c>
      <c r="AD56" s="1310" t="s">
        <v>1576</v>
      </c>
      <c r="AE56" s="1310" t="s">
        <v>1633</v>
      </c>
      <c r="AF56" s="1310" t="s">
        <v>1549</v>
      </c>
    </row>
    <row r="57" spans="1:32" x14ac:dyDescent="0.3">
      <c r="A57" s="1310" t="s">
        <v>1639</v>
      </c>
      <c r="B57" s="1310" t="s">
        <v>1443</v>
      </c>
      <c r="C57" s="1310" t="s">
        <v>1450</v>
      </c>
      <c r="D57" s="1310" t="s">
        <v>471</v>
      </c>
      <c r="E57" s="1310" t="s">
        <v>1636</v>
      </c>
      <c r="F57" s="1310" t="s">
        <v>1600</v>
      </c>
      <c r="G57" s="1310" t="s">
        <v>1589</v>
      </c>
      <c r="H57" s="1310" t="s">
        <v>1656</v>
      </c>
      <c r="I57" s="1310" t="s">
        <v>1583</v>
      </c>
      <c r="J57" s="1310" t="s">
        <v>1565</v>
      </c>
      <c r="K57" s="1310" t="s">
        <v>1545</v>
      </c>
      <c r="L57" s="1310" t="s">
        <v>1604</v>
      </c>
      <c r="M57" s="1310" t="s">
        <v>1584</v>
      </c>
      <c r="N57" s="1310" t="s">
        <v>1464</v>
      </c>
      <c r="O57" s="1310" t="s">
        <v>1534</v>
      </c>
      <c r="P57" s="1310" t="s">
        <v>1563</v>
      </c>
      <c r="Q57" s="1310" t="s">
        <v>129</v>
      </c>
      <c r="R57" s="1310" t="s">
        <v>1577</v>
      </c>
      <c r="S57" s="1310" t="s">
        <v>1547</v>
      </c>
      <c r="T57" s="1310" t="s">
        <v>1594</v>
      </c>
      <c r="U57" s="1310" t="s">
        <v>1565</v>
      </c>
      <c r="V57" s="1310" t="s">
        <v>1488</v>
      </c>
      <c r="W57" s="1310" t="s">
        <v>115</v>
      </c>
      <c r="X57" s="1310" t="s">
        <v>1650</v>
      </c>
      <c r="Y57" s="1310" t="s">
        <v>1630</v>
      </c>
      <c r="Z57" s="1310" t="s">
        <v>1635</v>
      </c>
      <c r="AA57" s="1310" t="s">
        <v>1602</v>
      </c>
      <c r="AB57" s="1310" t="s">
        <v>1549</v>
      </c>
      <c r="AC57" s="1310" t="s">
        <v>1659</v>
      </c>
      <c r="AD57" s="1310" t="s">
        <v>1638</v>
      </c>
      <c r="AE57" s="1310" t="s">
        <v>1602</v>
      </c>
      <c r="AF57" s="1310" t="s">
        <v>1588</v>
      </c>
    </row>
    <row r="58" spans="1:32" x14ac:dyDescent="0.3">
      <c r="A58" s="1310" t="s">
        <v>1456</v>
      </c>
      <c r="B58" s="1310" t="s">
        <v>1630</v>
      </c>
      <c r="C58" s="1310" t="s">
        <v>1555</v>
      </c>
      <c r="D58" s="1310" t="s">
        <v>1648</v>
      </c>
      <c r="E58" s="1310" t="s">
        <v>1623</v>
      </c>
      <c r="F58" s="1310" t="s">
        <v>1522</v>
      </c>
      <c r="G58" s="1310" t="s">
        <v>1547</v>
      </c>
      <c r="H58" s="1310" t="s">
        <v>111</v>
      </c>
      <c r="I58" s="1310" t="s">
        <v>1528</v>
      </c>
      <c r="J58" s="1310" t="s">
        <v>1519</v>
      </c>
      <c r="K58" s="1310" t="s">
        <v>1626</v>
      </c>
      <c r="L58" s="1310" t="s">
        <v>1501</v>
      </c>
      <c r="M58" s="1310" t="s">
        <v>131</v>
      </c>
      <c r="N58" s="1310" t="s">
        <v>1595</v>
      </c>
      <c r="O58" s="1310" t="s">
        <v>1575</v>
      </c>
      <c r="P58" s="1310" t="s">
        <v>1512</v>
      </c>
      <c r="Q58" s="1310" t="s">
        <v>1622</v>
      </c>
      <c r="R58" s="1310" t="s">
        <v>1541</v>
      </c>
      <c r="S58" s="1310" t="s">
        <v>1509</v>
      </c>
      <c r="T58" s="1310" t="s">
        <v>1617</v>
      </c>
      <c r="U58" s="1310" t="s">
        <v>1520</v>
      </c>
      <c r="V58" s="1310" t="s">
        <v>1636</v>
      </c>
      <c r="W58" s="1310" t="s">
        <v>1457</v>
      </c>
      <c r="X58" s="1310" t="s">
        <v>1603</v>
      </c>
      <c r="Y58" s="1310" t="s">
        <v>1516</v>
      </c>
      <c r="Z58" s="1310" t="s">
        <v>1513</v>
      </c>
      <c r="AA58" s="1310" t="s">
        <v>1573</v>
      </c>
      <c r="AB58" s="1310" t="s">
        <v>1484</v>
      </c>
      <c r="AC58" s="1310" t="s">
        <v>1619</v>
      </c>
      <c r="AD58" s="1310" t="s">
        <v>1584</v>
      </c>
      <c r="AE58" s="1310" t="s">
        <v>1638</v>
      </c>
      <c r="AF58" s="1310" t="s">
        <v>1563</v>
      </c>
    </row>
    <row r="59" spans="1:32" x14ac:dyDescent="0.3">
      <c r="A59" s="1310" t="s">
        <v>1468</v>
      </c>
      <c r="B59" s="1310" t="s">
        <v>1027</v>
      </c>
      <c r="C59" s="1310" t="s">
        <v>1607</v>
      </c>
      <c r="D59" s="1310" t="s">
        <v>1632</v>
      </c>
      <c r="E59" s="1310" t="s">
        <v>1552</v>
      </c>
      <c r="F59" s="1310" t="s">
        <v>1027</v>
      </c>
      <c r="G59" s="1310" t="s">
        <v>1655</v>
      </c>
      <c r="H59" s="1310" t="s">
        <v>1638</v>
      </c>
      <c r="I59" s="1310" t="s">
        <v>1481</v>
      </c>
      <c r="J59" s="1310" t="s">
        <v>114</v>
      </c>
      <c r="K59" s="1310" t="s">
        <v>1639</v>
      </c>
      <c r="L59" s="1310" t="s">
        <v>1586</v>
      </c>
      <c r="M59" s="1310" t="s">
        <v>1651</v>
      </c>
      <c r="N59" s="1310" t="s">
        <v>1450</v>
      </c>
      <c r="O59" s="1310" t="s">
        <v>1540</v>
      </c>
      <c r="P59" s="1310" t="s">
        <v>1529</v>
      </c>
      <c r="Q59" s="1310" t="s">
        <v>1639</v>
      </c>
      <c r="R59" s="1310" t="s">
        <v>1498</v>
      </c>
      <c r="S59" s="1310" t="s">
        <v>1443</v>
      </c>
      <c r="T59" s="1310" t="s">
        <v>1450</v>
      </c>
      <c r="U59" s="1310" t="s">
        <v>1546</v>
      </c>
      <c r="V59" s="1310" t="s">
        <v>1649</v>
      </c>
      <c r="W59" s="1310" t="s">
        <v>130</v>
      </c>
      <c r="X59" s="1310" t="s">
        <v>1644</v>
      </c>
      <c r="Y59" s="1310" t="s">
        <v>1607</v>
      </c>
      <c r="Z59" s="1310" t="s">
        <v>1569</v>
      </c>
      <c r="AA59" s="1310" t="s">
        <v>1633</v>
      </c>
      <c r="AB59" s="1310" t="s">
        <v>1496</v>
      </c>
      <c r="AC59" s="1310" t="s">
        <v>1027</v>
      </c>
      <c r="AD59" s="1310" t="s">
        <v>1577</v>
      </c>
      <c r="AE59" s="1310" t="s">
        <v>1576</v>
      </c>
      <c r="AF59" s="1310" t="s">
        <v>1504</v>
      </c>
    </row>
    <row r="60" spans="1:32" x14ac:dyDescent="0.3">
      <c r="A60" s="1310" t="s">
        <v>1574</v>
      </c>
      <c r="B60" s="1310" t="s">
        <v>1576</v>
      </c>
      <c r="C60" s="1310" t="s">
        <v>1569</v>
      </c>
      <c r="D60" s="1310" t="s">
        <v>1559</v>
      </c>
      <c r="E60" s="1310" t="s">
        <v>1639</v>
      </c>
      <c r="F60" s="1310" t="s">
        <v>1602</v>
      </c>
      <c r="G60" s="1310" t="s">
        <v>1575</v>
      </c>
      <c r="H60" s="1310" t="s">
        <v>1532</v>
      </c>
      <c r="I60" s="1310" t="s">
        <v>1571</v>
      </c>
      <c r="J60" s="1310" t="s">
        <v>1648</v>
      </c>
      <c r="K60" s="1310" t="s">
        <v>1555</v>
      </c>
      <c r="L60" s="1310" t="s">
        <v>1608</v>
      </c>
      <c r="M60" s="1310" t="s">
        <v>1598</v>
      </c>
      <c r="N60" s="1310" t="s">
        <v>1447</v>
      </c>
      <c r="O60" s="1310" t="s">
        <v>266</v>
      </c>
      <c r="P60" s="1310" t="s">
        <v>1556</v>
      </c>
      <c r="Q60" s="1310" t="s">
        <v>1559</v>
      </c>
      <c r="R60" s="1310" t="s">
        <v>1456</v>
      </c>
      <c r="S60" s="1310" t="s">
        <v>1656</v>
      </c>
      <c r="T60" s="1310" t="s">
        <v>1492</v>
      </c>
      <c r="U60" s="1310" t="s">
        <v>1600</v>
      </c>
      <c r="V60" s="1310" t="s">
        <v>1488</v>
      </c>
      <c r="W60" s="1310" t="s">
        <v>1591</v>
      </c>
      <c r="X60" s="1310" t="s">
        <v>1623</v>
      </c>
      <c r="Y60" s="1310" t="s">
        <v>1532</v>
      </c>
      <c r="Z60" s="1310" t="s">
        <v>1641</v>
      </c>
      <c r="AA60" s="1310" t="s">
        <v>1477</v>
      </c>
      <c r="AB60" s="1310" t="s">
        <v>1596</v>
      </c>
      <c r="AC60" s="1310" t="s">
        <v>1606</v>
      </c>
      <c r="AD60" s="1310" t="s">
        <v>1653</v>
      </c>
      <c r="AE60" s="1310" t="s">
        <v>1513</v>
      </c>
      <c r="AF60" s="1310" t="s">
        <v>1539</v>
      </c>
    </row>
    <row r="61" spans="1:32" x14ac:dyDescent="0.3">
      <c r="A61" s="1310" t="s">
        <v>1539</v>
      </c>
      <c r="B61" s="1310" t="s">
        <v>1572</v>
      </c>
      <c r="C61" s="1310" t="s">
        <v>1482</v>
      </c>
      <c r="D61" s="1310" t="s">
        <v>1658</v>
      </c>
      <c r="E61" s="1310" t="s">
        <v>1548</v>
      </c>
      <c r="F61" s="1310" t="s">
        <v>1621</v>
      </c>
      <c r="G61" s="1310" t="s">
        <v>1618</v>
      </c>
      <c r="H61" s="1310" t="s">
        <v>1606</v>
      </c>
      <c r="I61" s="1310" t="s">
        <v>1614</v>
      </c>
      <c r="J61" s="1310" t="s">
        <v>1551</v>
      </c>
      <c r="K61" s="1310" t="s">
        <v>1485</v>
      </c>
      <c r="L61" s="1310" t="s">
        <v>1468</v>
      </c>
      <c r="M61" s="1310" t="s">
        <v>1598</v>
      </c>
      <c r="N61" s="1310" t="s">
        <v>1027</v>
      </c>
      <c r="O61" s="1310" t="s">
        <v>1443</v>
      </c>
      <c r="P61" s="1310" t="s">
        <v>1450</v>
      </c>
      <c r="Q61" s="1310" t="s">
        <v>1508</v>
      </c>
      <c r="R61" s="1310" t="s">
        <v>1451</v>
      </c>
      <c r="S61" s="1310" t="s">
        <v>1556</v>
      </c>
      <c r="T61" s="1310" t="s">
        <v>1550</v>
      </c>
      <c r="U61" s="1310" t="s">
        <v>1622</v>
      </c>
      <c r="V61" s="1310" t="s">
        <v>1626</v>
      </c>
      <c r="W61" s="1310" t="s">
        <v>264</v>
      </c>
      <c r="X61" s="1310" t="s">
        <v>1638</v>
      </c>
      <c r="Y61" s="1310" t="s">
        <v>1551</v>
      </c>
      <c r="Z61" s="1310" t="s">
        <v>1606</v>
      </c>
      <c r="AA61" s="1310" t="s">
        <v>1587</v>
      </c>
      <c r="AB61" s="1310" t="s">
        <v>1494</v>
      </c>
      <c r="AC61" s="1310" t="s">
        <v>1456</v>
      </c>
      <c r="AD61" s="1310" t="s">
        <v>1583</v>
      </c>
      <c r="AE61" s="1310" t="s">
        <v>1618</v>
      </c>
      <c r="AF61" s="1310" t="s">
        <v>1616</v>
      </c>
    </row>
    <row r="62" spans="1:32" x14ac:dyDescent="0.3">
      <c r="A62" s="1310" t="s">
        <v>128</v>
      </c>
      <c r="B62" s="1310" t="s">
        <v>1575</v>
      </c>
      <c r="C62" s="1310" t="s">
        <v>1533</v>
      </c>
      <c r="D62" s="1310" t="s">
        <v>1027</v>
      </c>
      <c r="E62" s="1310" t="s">
        <v>1463</v>
      </c>
      <c r="F62" s="1310" t="s">
        <v>1566</v>
      </c>
      <c r="G62" s="1310" t="s">
        <v>1658</v>
      </c>
      <c r="H62" s="1310" t="s">
        <v>127</v>
      </c>
      <c r="I62" s="1310" t="s">
        <v>1459</v>
      </c>
      <c r="J62" s="1310" t="s">
        <v>1635</v>
      </c>
      <c r="K62" s="1310" t="s">
        <v>1528</v>
      </c>
      <c r="L62" s="1310" t="s">
        <v>1503</v>
      </c>
      <c r="M62" s="1310" t="s">
        <v>1645</v>
      </c>
      <c r="N62" s="1310" t="s">
        <v>1583</v>
      </c>
      <c r="O62" s="1310" t="s">
        <v>1569</v>
      </c>
      <c r="P62" s="1310" t="s">
        <v>1559</v>
      </c>
      <c r="Q62" s="1310" t="s">
        <v>116</v>
      </c>
      <c r="R62" s="1310" t="s">
        <v>1518</v>
      </c>
      <c r="S62" s="1310" t="s">
        <v>1640</v>
      </c>
      <c r="T62" s="1310" t="s">
        <v>133</v>
      </c>
      <c r="U62" s="1310" t="s">
        <v>131</v>
      </c>
      <c r="V62" s="1310" t="s">
        <v>1459</v>
      </c>
      <c r="W62" s="1310" t="s">
        <v>1626</v>
      </c>
      <c r="X62" s="1310" t="s">
        <v>471</v>
      </c>
      <c r="Y62" s="1310" t="s">
        <v>1615</v>
      </c>
      <c r="Z62" s="1310" t="s">
        <v>1586</v>
      </c>
      <c r="AA62" s="1310" t="s">
        <v>1590</v>
      </c>
      <c r="AB62" s="1310" t="s">
        <v>1626</v>
      </c>
      <c r="AC62" s="1310" t="s">
        <v>1541</v>
      </c>
      <c r="AD62" s="1310" t="s">
        <v>1623</v>
      </c>
      <c r="AE62" s="1310" t="s">
        <v>117</v>
      </c>
      <c r="AF62" s="1310" t="s">
        <v>1475</v>
      </c>
    </row>
    <row r="63" spans="1:32" x14ac:dyDescent="0.3">
      <c r="A63" s="1310" t="s">
        <v>1501</v>
      </c>
      <c r="B63" s="1310" t="s">
        <v>1636</v>
      </c>
      <c r="C63" s="1310" t="s">
        <v>1590</v>
      </c>
      <c r="D63" s="1310" t="s">
        <v>124</v>
      </c>
      <c r="E63" s="1310" t="s">
        <v>1635</v>
      </c>
      <c r="F63" s="1310" t="s">
        <v>1486</v>
      </c>
      <c r="G63" s="1310" t="s">
        <v>1636</v>
      </c>
      <c r="H63" s="1310" t="s">
        <v>1475</v>
      </c>
      <c r="I63" s="1310" t="s">
        <v>1575</v>
      </c>
      <c r="J63" s="1310" t="s">
        <v>118</v>
      </c>
      <c r="K63" s="1310" t="s">
        <v>1457</v>
      </c>
      <c r="L63" s="1310" t="s">
        <v>133</v>
      </c>
      <c r="M63" s="1310" t="s">
        <v>1645</v>
      </c>
      <c r="N63" s="1310" t="s">
        <v>1496</v>
      </c>
      <c r="O63" s="1310" t="s">
        <v>1622</v>
      </c>
      <c r="P63" s="1310" t="s">
        <v>1602</v>
      </c>
      <c r="Q63" s="1310" t="s">
        <v>121</v>
      </c>
      <c r="R63" s="1310" t="s">
        <v>1443</v>
      </c>
      <c r="S63" s="1310" t="s">
        <v>1450</v>
      </c>
      <c r="T63" s="1310" t="s">
        <v>1606</v>
      </c>
      <c r="U63" s="1310" t="s">
        <v>116</v>
      </c>
      <c r="V63" s="1310" t="s">
        <v>1577</v>
      </c>
      <c r="W63" s="1310" t="s">
        <v>1488</v>
      </c>
      <c r="X63" s="1310" t="s">
        <v>132</v>
      </c>
      <c r="Y63" s="1310" t="s">
        <v>1603</v>
      </c>
      <c r="Z63" s="1310" t="s">
        <v>1536</v>
      </c>
      <c r="AA63" s="1310" t="s">
        <v>1443</v>
      </c>
      <c r="AB63" s="1310" t="s">
        <v>1450</v>
      </c>
      <c r="AC63" s="1310" t="s">
        <v>1653</v>
      </c>
      <c r="AD63" s="1310" t="s">
        <v>1443</v>
      </c>
      <c r="AE63" s="1310" t="s">
        <v>1450</v>
      </c>
      <c r="AF63" s="1310" t="s">
        <v>1581</v>
      </c>
    </row>
    <row r="64" spans="1:32" x14ac:dyDescent="0.3">
      <c r="A64" s="1310" t="s">
        <v>1443</v>
      </c>
      <c r="B64" s="1310" t="s">
        <v>1450</v>
      </c>
      <c r="C64" s="1310" t="s">
        <v>471</v>
      </c>
      <c r="D64" s="1310" t="s">
        <v>1558</v>
      </c>
      <c r="E64" s="1310" t="s">
        <v>1604</v>
      </c>
      <c r="F64" s="1310" t="s">
        <v>1645</v>
      </c>
      <c r="G64" s="1310" t="s">
        <v>1600</v>
      </c>
      <c r="H64" s="1310" t="s">
        <v>1620</v>
      </c>
      <c r="I64" s="1310" t="s">
        <v>1532</v>
      </c>
      <c r="J64" s="1310" t="s">
        <v>1503</v>
      </c>
      <c r="K64" s="1310" t="s">
        <v>1548</v>
      </c>
      <c r="L64" s="1310" t="s">
        <v>1541</v>
      </c>
      <c r="M64" s="1310" t="s">
        <v>1456</v>
      </c>
      <c r="N64" s="1310" t="s">
        <v>1583</v>
      </c>
      <c r="O64" s="1310" t="s">
        <v>1646</v>
      </c>
      <c r="P64" s="1310" t="s">
        <v>1464</v>
      </c>
      <c r="Q64" s="1310" t="s">
        <v>1584</v>
      </c>
      <c r="R64" s="1310" t="s">
        <v>133</v>
      </c>
      <c r="S64" s="1310" t="s">
        <v>1575</v>
      </c>
      <c r="T64" s="1310" t="s">
        <v>1570</v>
      </c>
      <c r="U64" s="1310" t="s">
        <v>117</v>
      </c>
      <c r="V64" s="1310" t="s">
        <v>1475</v>
      </c>
      <c r="W64" s="1310" t="s">
        <v>1571</v>
      </c>
      <c r="X64" s="1310" t="s">
        <v>1583</v>
      </c>
      <c r="Y64" s="1310" t="s">
        <v>1605</v>
      </c>
      <c r="Z64" s="1310" t="s">
        <v>130</v>
      </c>
      <c r="AA64" s="1310" t="s">
        <v>1531</v>
      </c>
      <c r="AB64" s="1310" t="s">
        <v>1641</v>
      </c>
      <c r="AC64" s="1310" t="s">
        <v>1647</v>
      </c>
      <c r="AD64" s="1310" t="s">
        <v>1517</v>
      </c>
      <c r="AE64" s="1310" t="s">
        <v>1571</v>
      </c>
      <c r="AF64" s="1310" t="s">
        <v>1603</v>
      </c>
    </row>
    <row r="65" spans="1:32" x14ac:dyDescent="0.3">
      <c r="A65" s="1310" t="s">
        <v>1560</v>
      </c>
      <c r="B65" s="1310" t="s">
        <v>1520</v>
      </c>
      <c r="C65" s="1310" t="s">
        <v>1560</v>
      </c>
      <c r="D65" s="1310" t="s">
        <v>1481</v>
      </c>
      <c r="E65" s="1310" t="s">
        <v>115</v>
      </c>
      <c r="F65" s="1310" t="s">
        <v>1491</v>
      </c>
      <c r="G65" s="1310" t="s">
        <v>1575</v>
      </c>
      <c r="H65" s="1310" t="s">
        <v>1451</v>
      </c>
      <c r="I65" s="1310" t="s">
        <v>1579</v>
      </c>
      <c r="J65" s="1310" t="s">
        <v>1588</v>
      </c>
      <c r="K65" s="1310" t="s">
        <v>1627</v>
      </c>
      <c r="L65" s="1310" t="s">
        <v>264</v>
      </c>
      <c r="M65" s="1310" t="s">
        <v>1492</v>
      </c>
      <c r="N65" s="1310" t="s">
        <v>1649</v>
      </c>
      <c r="O65" s="1310" t="s">
        <v>1516</v>
      </c>
      <c r="P65" s="1310" t="s">
        <v>1618</v>
      </c>
      <c r="Q65" s="1310" t="s">
        <v>1453</v>
      </c>
      <c r="R65" s="1310" t="s">
        <v>1595</v>
      </c>
      <c r="S65" s="1310" t="s">
        <v>1604</v>
      </c>
      <c r="T65" s="1310" t="s">
        <v>1627</v>
      </c>
      <c r="U65" s="1310" t="s">
        <v>1624</v>
      </c>
      <c r="V65" s="1310" t="s">
        <v>1560</v>
      </c>
      <c r="W65" s="1310" t="s">
        <v>1581</v>
      </c>
      <c r="X65" s="1310" t="s">
        <v>1566</v>
      </c>
      <c r="Y65" s="1310" t="s">
        <v>1598</v>
      </c>
      <c r="Z65" s="1310" t="s">
        <v>1601</v>
      </c>
      <c r="AA65" s="1310" t="s">
        <v>1480</v>
      </c>
      <c r="AB65" s="1310" t="s">
        <v>1503</v>
      </c>
      <c r="AC65" s="1310" t="s">
        <v>465</v>
      </c>
      <c r="AD65" s="1310" t="s">
        <v>1535</v>
      </c>
      <c r="AE65" s="1310" t="s">
        <v>1634</v>
      </c>
      <c r="AF65" s="1310" t="s">
        <v>1597</v>
      </c>
    </row>
    <row r="66" spans="1:32" x14ac:dyDescent="0.3">
      <c r="A66" s="1310" t="s">
        <v>1558</v>
      </c>
      <c r="B66" s="1310" t="s">
        <v>1602</v>
      </c>
      <c r="C66" s="1310" t="s">
        <v>1495</v>
      </c>
      <c r="D66" s="1310" t="s">
        <v>1615</v>
      </c>
      <c r="E66" s="1310" t="s">
        <v>1491</v>
      </c>
      <c r="F66" s="1310" t="s">
        <v>1483</v>
      </c>
      <c r="G66" s="1310" t="s">
        <v>1619</v>
      </c>
      <c r="H66" s="1310" t="s">
        <v>1557</v>
      </c>
      <c r="I66" s="1310" t="s">
        <v>1564</v>
      </c>
      <c r="J66" s="1310" t="s">
        <v>1639</v>
      </c>
      <c r="K66" s="1310" t="s">
        <v>1650</v>
      </c>
      <c r="L66" s="1310" t="s">
        <v>1639</v>
      </c>
      <c r="M66" s="1310" t="s">
        <v>1603</v>
      </c>
      <c r="N66" s="1310" t="s">
        <v>1547</v>
      </c>
      <c r="O66" s="1310" t="s">
        <v>1542</v>
      </c>
      <c r="P66" s="1310" t="s">
        <v>1550</v>
      </c>
      <c r="Q66" s="1310" t="s">
        <v>1581</v>
      </c>
      <c r="R66" s="1310" t="s">
        <v>1557</v>
      </c>
      <c r="S66" s="1310" t="s">
        <v>1573</v>
      </c>
      <c r="T66" s="1310" t="s">
        <v>1567</v>
      </c>
      <c r="U66" s="1310" t="s">
        <v>1535</v>
      </c>
      <c r="V66" s="1310" t="s">
        <v>1569</v>
      </c>
      <c r="W66" s="1310" t="s">
        <v>1474</v>
      </c>
      <c r="X66" s="1310" t="s">
        <v>1539</v>
      </c>
      <c r="Y66" s="1310" t="s">
        <v>471</v>
      </c>
      <c r="Z66" s="1310" t="s">
        <v>1569</v>
      </c>
      <c r="AA66" s="1310" t="s">
        <v>1646</v>
      </c>
      <c r="AB66" s="1310" t="s">
        <v>1654</v>
      </c>
      <c r="AC66" s="1310" t="s">
        <v>1465</v>
      </c>
      <c r="AD66" s="1310" t="s">
        <v>1579</v>
      </c>
      <c r="AE66" s="1310" t="s">
        <v>1604</v>
      </c>
      <c r="AF66" s="1310" t="s">
        <v>1559</v>
      </c>
    </row>
    <row r="67" spans="1:32" x14ac:dyDescent="0.3">
      <c r="A67" s="1310" t="s">
        <v>1456</v>
      </c>
      <c r="B67" s="1310" t="s">
        <v>112</v>
      </c>
      <c r="C67" s="1310" t="s">
        <v>1475</v>
      </c>
      <c r="D67" s="1310" t="s">
        <v>1505</v>
      </c>
      <c r="E67" s="1310" t="s">
        <v>1657</v>
      </c>
      <c r="F67" s="1310" t="s">
        <v>1532</v>
      </c>
      <c r="G67" s="1310" t="s">
        <v>1511</v>
      </c>
      <c r="H67" s="1310" t="s">
        <v>1615</v>
      </c>
      <c r="I67" s="1310" t="s">
        <v>1591</v>
      </c>
      <c r="J67" s="1310" t="s">
        <v>1583</v>
      </c>
      <c r="K67" s="1310" t="s">
        <v>1489</v>
      </c>
      <c r="L67" s="1310" t="s">
        <v>1496</v>
      </c>
      <c r="M67" s="1310" t="s">
        <v>1579</v>
      </c>
      <c r="N67" s="1310" t="s">
        <v>1635</v>
      </c>
      <c r="O67" s="1310" t="s">
        <v>1575</v>
      </c>
      <c r="P67" s="1310" t="s">
        <v>1566</v>
      </c>
      <c r="Q67" s="1310" t="s">
        <v>1468</v>
      </c>
      <c r="R67" s="1310" t="s">
        <v>126</v>
      </c>
      <c r="S67" s="1310" t="s">
        <v>1626</v>
      </c>
      <c r="T67" s="1310" t="s">
        <v>1480</v>
      </c>
      <c r="U67" s="1310" t="s">
        <v>1443</v>
      </c>
      <c r="V67" s="1310" t="s">
        <v>1450</v>
      </c>
      <c r="W67" s="1310" t="s">
        <v>130</v>
      </c>
      <c r="X67" s="1310" t="s">
        <v>1492</v>
      </c>
      <c r="Y67" s="1310" t="s">
        <v>1545</v>
      </c>
      <c r="Z67" s="1310" t="s">
        <v>1468</v>
      </c>
      <c r="AA67" s="1310" t="s">
        <v>1569</v>
      </c>
      <c r="AB67" s="1310" t="s">
        <v>133</v>
      </c>
      <c r="AC67" s="1310" t="s">
        <v>1554</v>
      </c>
      <c r="AD67" s="1310" t="s">
        <v>1580</v>
      </c>
      <c r="AE67" s="1310" t="s">
        <v>1502</v>
      </c>
      <c r="AF67" s="1310" t="s">
        <v>1636</v>
      </c>
    </row>
    <row r="68" spans="1:32" x14ac:dyDescent="0.3">
      <c r="A68" s="1310" t="s">
        <v>1590</v>
      </c>
      <c r="B68" s="1310" t="s">
        <v>133</v>
      </c>
      <c r="C68" s="1310" t="s">
        <v>1563</v>
      </c>
      <c r="D68" s="1310" t="s">
        <v>133</v>
      </c>
      <c r="E68" s="1310" t="s">
        <v>1633</v>
      </c>
      <c r="F68" s="1310" t="s">
        <v>1612</v>
      </c>
      <c r="G68" s="1310" t="s">
        <v>1528</v>
      </c>
      <c r="H68" s="1310" t="s">
        <v>120</v>
      </c>
      <c r="I68" s="1310" t="s">
        <v>1590</v>
      </c>
      <c r="J68" s="1310" t="s">
        <v>1570</v>
      </c>
      <c r="K68" s="1310" t="s">
        <v>1464</v>
      </c>
      <c r="L68" s="1310" t="s">
        <v>1568</v>
      </c>
      <c r="M68" s="1310" t="s">
        <v>1581</v>
      </c>
      <c r="N68" s="1310" t="s">
        <v>115</v>
      </c>
      <c r="O68" s="1310" t="s">
        <v>1447</v>
      </c>
      <c r="P68" s="1310" t="s">
        <v>1447</v>
      </c>
      <c r="Q68" s="1310" t="s">
        <v>1545</v>
      </c>
      <c r="R68" s="1310" t="s">
        <v>1569</v>
      </c>
      <c r="S68" s="1310" t="s">
        <v>1598</v>
      </c>
      <c r="T68" s="1310" t="s">
        <v>1653</v>
      </c>
      <c r="U68" s="1310" t="s">
        <v>1555</v>
      </c>
      <c r="V68" s="1310" t="s">
        <v>1626</v>
      </c>
      <c r="W68" s="1310" t="s">
        <v>1584</v>
      </c>
      <c r="X68" s="1310" t="s">
        <v>1505</v>
      </c>
      <c r="Y68" s="1310" t="s">
        <v>1589</v>
      </c>
      <c r="Z68" s="1310" t="s">
        <v>1521</v>
      </c>
      <c r="AA68" s="1310" t="s">
        <v>1481</v>
      </c>
      <c r="AB68" s="1310" t="s">
        <v>1443</v>
      </c>
      <c r="AC68" s="1310" t="s">
        <v>1450</v>
      </c>
      <c r="AD68" s="1310" t="s">
        <v>1530</v>
      </c>
      <c r="AE68" s="1310" t="s">
        <v>1622</v>
      </c>
      <c r="AF68" s="1310" t="s">
        <v>1557</v>
      </c>
    </row>
    <row r="69" spans="1:32" x14ac:dyDescent="0.3">
      <c r="A69" s="1310" t="s">
        <v>1583</v>
      </c>
      <c r="B69" s="1310" t="s">
        <v>1627</v>
      </c>
      <c r="C69" s="1310" t="s">
        <v>1568</v>
      </c>
      <c r="D69" s="1310" t="s">
        <v>118</v>
      </c>
      <c r="E69" s="1310" t="s">
        <v>1496</v>
      </c>
      <c r="F69" s="1310" t="s">
        <v>1583</v>
      </c>
      <c r="G69" s="1310" t="s">
        <v>1457</v>
      </c>
      <c r="H69" s="1310" t="s">
        <v>1568</v>
      </c>
      <c r="I69" s="1310" t="s">
        <v>1540</v>
      </c>
      <c r="J69" s="1310" t="s">
        <v>1510</v>
      </c>
      <c r="K69" s="1310" t="s">
        <v>1614</v>
      </c>
      <c r="L69" s="1310" t="s">
        <v>1647</v>
      </c>
      <c r="M69" s="1310" t="s">
        <v>1590</v>
      </c>
      <c r="N69" s="1310" t="s">
        <v>1512</v>
      </c>
      <c r="O69" s="1310" t="s">
        <v>1604</v>
      </c>
      <c r="P69" s="1310" t="s">
        <v>1634</v>
      </c>
      <c r="Q69" s="1310" t="s">
        <v>1610</v>
      </c>
      <c r="R69" s="1310" t="s">
        <v>1475</v>
      </c>
      <c r="S69" s="1310" t="s">
        <v>1604</v>
      </c>
      <c r="T69" s="1310" t="s">
        <v>1484</v>
      </c>
      <c r="U69" s="1310" t="s">
        <v>268</v>
      </c>
      <c r="V69" s="1310" t="s">
        <v>120</v>
      </c>
      <c r="W69" s="1310" t="s">
        <v>1509</v>
      </c>
      <c r="X69" s="1310" t="s">
        <v>1595</v>
      </c>
      <c r="Y69" s="1310" t="s">
        <v>1520</v>
      </c>
      <c r="Z69" s="1310" t="s">
        <v>1633</v>
      </c>
      <c r="AA69" s="1310" t="s">
        <v>1626</v>
      </c>
      <c r="AB69" s="1310" t="s">
        <v>1508</v>
      </c>
      <c r="AC69" s="1310" t="s">
        <v>1628</v>
      </c>
      <c r="AD69" s="1310" t="s">
        <v>110</v>
      </c>
      <c r="AE69" s="1310" t="s">
        <v>120</v>
      </c>
      <c r="AF69" s="1310" t="s">
        <v>1613</v>
      </c>
    </row>
    <row r="70" spans="1:32" x14ac:dyDescent="0.3">
      <c r="A70" s="1310" t="s">
        <v>1592</v>
      </c>
      <c r="B70" s="1310" t="s">
        <v>1543</v>
      </c>
      <c r="C70" s="1310" t="s">
        <v>1555</v>
      </c>
      <c r="D70" s="1310" t="s">
        <v>1533</v>
      </c>
      <c r="E70" s="1310" t="s">
        <v>1575</v>
      </c>
      <c r="F70" s="1310" t="s">
        <v>1563</v>
      </c>
      <c r="G70" s="1310" t="s">
        <v>1636</v>
      </c>
      <c r="H70" s="1310" t="s">
        <v>1592</v>
      </c>
      <c r="I70" s="1310" t="s">
        <v>1574</v>
      </c>
      <c r="J70" s="1310" t="s">
        <v>127</v>
      </c>
      <c r="K70" s="1310" t="s">
        <v>132</v>
      </c>
      <c r="L70" s="1310" t="s">
        <v>1540</v>
      </c>
      <c r="M70" s="1310" t="s">
        <v>1494</v>
      </c>
      <c r="N70" s="1310" t="s">
        <v>1550</v>
      </c>
      <c r="O70" s="1310" t="s">
        <v>1443</v>
      </c>
      <c r="P70" s="1310" t="s">
        <v>1450</v>
      </c>
      <c r="Q70" s="1310" t="s">
        <v>1551</v>
      </c>
      <c r="R70" s="1310" t="s">
        <v>1540</v>
      </c>
      <c r="S70" s="1310" t="s">
        <v>1480</v>
      </c>
      <c r="T70" s="1310" t="s">
        <v>1607</v>
      </c>
      <c r="U70" s="1310" t="s">
        <v>1570</v>
      </c>
      <c r="V70" s="1310" t="s">
        <v>1452</v>
      </c>
      <c r="W70" s="1310" t="s">
        <v>1568</v>
      </c>
      <c r="X70" s="1310" t="s">
        <v>1590</v>
      </c>
      <c r="Y70" s="1310" t="s">
        <v>1614</v>
      </c>
      <c r="Z70" s="1310" t="s">
        <v>1502</v>
      </c>
      <c r="AA70" s="1310" t="s">
        <v>1593</v>
      </c>
      <c r="AB70" s="1310" t="s">
        <v>1637</v>
      </c>
      <c r="AC70" s="1310" t="s">
        <v>1534</v>
      </c>
      <c r="AD70" s="1310" t="s">
        <v>1464</v>
      </c>
      <c r="AE70" s="1310" t="s">
        <v>121</v>
      </c>
      <c r="AF70" s="1310" t="s">
        <v>1501</v>
      </c>
    </row>
    <row r="71" spans="1:32" x14ac:dyDescent="0.3">
      <c r="A71" s="1310" t="s">
        <v>1654</v>
      </c>
      <c r="B71" s="1310" t="s">
        <v>1443</v>
      </c>
      <c r="C71" s="1310" t="s">
        <v>1450</v>
      </c>
      <c r="D71" s="1310" t="s">
        <v>1599</v>
      </c>
      <c r="E71" s="1310" t="s">
        <v>1642</v>
      </c>
      <c r="F71" s="1310" t="s">
        <v>1481</v>
      </c>
      <c r="G71" s="1310" t="s">
        <v>1639</v>
      </c>
      <c r="H71" s="1310" t="s">
        <v>1444</v>
      </c>
      <c r="I71" s="1310" t="s">
        <v>1641</v>
      </c>
      <c r="J71" s="1310" t="s">
        <v>1580</v>
      </c>
      <c r="K71" s="1310" t="s">
        <v>1517</v>
      </c>
      <c r="L71" s="1310" t="s">
        <v>1579</v>
      </c>
      <c r="M71" s="1310" t="s">
        <v>1030</v>
      </c>
      <c r="N71" s="1310" t="s">
        <v>1607</v>
      </c>
      <c r="O71" s="1310" t="s">
        <v>120</v>
      </c>
      <c r="P71" s="1310" t="s">
        <v>1639</v>
      </c>
      <c r="Q71" s="1310" t="s">
        <v>1488</v>
      </c>
      <c r="R71" s="1310" t="s">
        <v>1456</v>
      </c>
      <c r="S71" s="1310" t="s">
        <v>1616</v>
      </c>
      <c r="T71" s="1310" t="s">
        <v>1449</v>
      </c>
      <c r="U71" s="1310" t="s">
        <v>1500</v>
      </c>
      <c r="V71" s="1310" t="s">
        <v>1659</v>
      </c>
      <c r="W71" s="1310" t="s">
        <v>1653</v>
      </c>
      <c r="X71" s="1310" t="s">
        <v>1454</v>
      </c>
      <c r="Y71" s="1310" t="s">
        <v>1623</v>
      </c>
      <c r="Z71" s="1310" t="s">
        <v>1503</v>
      </c>
      <c r="AA71" s="1310" t="s">
        <v>1588</v>
      </c>
      <c r="AB71" s="1310" t="s">
        <v>1574</v>
      </c>
      <c r="AC71" s="1310" t="s">
        <v>1600</v>
      </c>
      <c r="AD71" s="1310" t="s">
        <v>1499</v>
      </c>
      <c r="AE71" s="1310" t="s">
        <v>1637</v>
      </c>
      <c r="AF71" s="1310" t="s">
        <v>1520</v>
      </c>
    </row>
    <row r="72" spans="1:32" x14ac:dyDescent="0.3">
      <c r="A72" s="1310" t="s">
        <v>1551</v>
      </c>
      <c r="B72" s="1310" t="s">
        <v>1549</v>
      </c>
      <c r="C72" s="1310" t="s">
        <v>1615</v>
      </c>
      <c r="D72" s="1310" t="s">
        <v>1570</v>
      </c>
      <c r="E72" s="1310" t="s">
        <v>1644</v>
      </c>
      <c r="F72" s="1310" t="s">
        <v>1636</v>
      </c>
      <c r="G72" s="1310" t="s">
        <v>1537</v>
      </c>
      <c r="H72" s="1310" t="s">
        <v>1030</v>
      </c>
      <c r="I72" s="1310" t="s">
        <v>1570</v>
      </c>
      <c r="J72" s="1310" t="s">
        <v>119</v>
      </c>
      <c r="K72" s="1310" t="s">
        <v>1484</v>
      </c>
      <c r="L72" s="1310" t="s">
        <v>1522</v>
      </c>
      <c r="M72" s="1310" t="s">
        <v>1639</v>
      </c>
      <c r="N72" s="1310" t="s">
        <v>1631</v>
      </c>
      <c r="O72" s="1310" t="s">
        <v>1602</v>
      </c>
      <c r="P72" s="1310" t="s">
        <v>1563</v>
      </c>
      <c r="Q72" s="1310" t="s">
        <v>1602</v>
      </c>
      <c r="R72" s="1310" t="s">
        <v>1601</v>
      </c>
      <c r="S72" s="1310" t="s">
        <v>1488</v>
      </c>
      <c r="T72" s="1310" t="s">
        <v>1451</v>
      </c>
      <c r="U72" s="1310" t="s">
        <v>1481</v>
      </c>
      <c r="V72" s="1310" t="s">
        <v>1602</v>
      </c>
      <c r="W72" s="1310" t="s">
        <v>1535</v>
      </c>
      <c r="X72" s="1310" t="s">
        <v>1030</v>
      </c>
      <c r="Y72" s="1310" t="s">
        <v>1490</v>
      </c>
      <c r="Z72" s="1310" t="s">
        <v>118</v>
      </c>
      <c r="AA72" s="1310" t="s">
        <v>1499</v>
      </c>
      <c r="AB72" s="1310" t="s">
        <v>1504</v>
      </c>
      <c r="AC72" s="1310" t="s">
        <v>1510</v>
      </c>
      <c r="AD72" s="1310" t="s">
        <v>1583</v>
      </c>
      <c r="AE72" s="1310" t="s">
        <v>1646</v>
      </c>
      <c r="AF72" s="1310" t="s">
        <v>1621</v>
      </c>
    </row>
    <row r="73" spans="1:32" x14ac:dyDescent="0.3">
      <c r="A73" s="1310" t="s">
        <v>1501</v>
      </c>
      <c r="B73" s="1310" t="s">
        <v>1488</v>
      </c>
      <c r="C73" s="1310" t="s">
        <v>1572</v>
      </c>
      <c r="D73" s="1310" t="s">
        <v>1586</v>
      </c>
      <c r="E73" s="1310" t="s">
        <v>123</v>
      </c>
      <c r="F73" s="1310" t="s">
        <v>1452</v>
      </c>
      <c r="G73" s="1310" t="s">
        <v>267</v>
      </c>
      <c r="H73" s="1310" t="s">
        <v>1630</v>
      </c>
      <c r="I73" s="1310" t="s">
        <v>110</v>
      </c>
      <c r="J73" s="1310" t="s">
        <v>1582</v>
      </c>
      <c r="K73" s="1310" t="s">
        <v>1623</v>
      </c>
      <c r="L73" s="1310" t="s">
        <v>1620</v>
      </c>
      <c r="M73" s="1310" t="s">
        <v>1496</v>
      </c>
      <c r="N73" s="1310" t="s">
        <v>1517</v>
      </c>
      <c r="O73" s="1310" t="s">
        <v>1596</v>
      </c>
      <c r="P73" s="1310" t="s">
        <v>1559</v>
      </c>
      <c r="Q73" s="1310" t="s">
        <v>1631</v>
      </c>
      <c r="R73" s="1310" t="s">
        <v>1509</v>
      </c>
      <c r="S73" s="1310" t="s">
        <v>1510</v>
      </c>
      <c r="T73" s="1310" t="s">
        <v>1620</v>
      </c>
      <c r="U73" s="1310" t="s">
        <v>1542</v>
      </c>
      <c r="V73" s="1310" t="s">
        <v>1523</v>
      </c>
      <c r="W73" s="1310" t="s">
        <v>1601</v>
      </c>
      <c r="X73" s="1310" t="s">
        <v>1630</v>
      </c>
      <c r="Y73" s="1310" t="s">
        <v>1569</v>
      </c>
      <c r="Z73" s="1310" t="s">
        <v>1653</v>
      </c>
      <c r="AA73" s="1310" t="s">
        <v>122</v>
      </c>
      <c r="AB73" s="1310" t="s">
        <v>1575</v>
      </c>
      <c r="AC73" s="1310" t="s">
        <v>110</v>
      </c>
      <c r="AD73" s="1310" t="s">
        <v>1494</v>
      </c>
      <c r="AE73" s="1310" t="s">
        <v>1656</v>
      </c>
      <c r="AF73" s="1310" t="s">
        <v>1512</v>
      </c>
    </row>
    <row r="74" spans="1:32" x14ac:dyDescent="0.3">
      <c r="A74" s="1310" t="s">
        <v>1552</v>
      </c>
      <c r="B74" s="1310" t="s">
        <v>1633</v>
      </c>
      <c r="C74" s="1310" t="s">
        <v>1496</v>
      </c>
      <c r="D74" s="1310" t="s">
        <v>1553</v>
      </c>
      <c r="E74" s="1310" t="s">
        <v>1623</v>
      </c>
      <c r="F74" s="1310" t="s">
        <v>1613</v>
      </c>
      <c r="G74" s="1310" t="s">
        <v>1510</v>
      </c>
      <c r="H74" s="1310" t="s">
        <v>122</v>
      </c>
      <c r="I74" s="1310" t="s">
        <v>125</v>
      </c>
      <c r="J74" s="1310" t="s">
        <v>1521</v>
      </c>
      <c r="K74" s="1310" t="s">
        <v>1576</v>
      </c>
      <c r="L74" s="1310" t="s">
        <v>1567</v>
      </c>
      <c r="M74" s="1310" t="s">
        <v>1600</v>
      </c>
      <c r="N74" s="1310" t="s">
        <v>1636</v>
      </c>
      <c r="O74" s="1310" t="s">
        <v>1523</v>
      </c>
      <c r="P74" s="1310" t="s">
        <v>1636</v>
      </c>
      <c r="Q74" s="1310" t="s">
        <v>1590</v>
      </c>
      <c r="R74" s="1310" t="s">
        <v>132</v>
      </c>
      <c r="S74" s="1310" t="s">
        <v>1521</v>
      </c>
      <c r="T74" s="1310" t="s">
        <v>1630</v>
      </c>
      <c r="U74" s="1310" t="s">
        <v>1641</v>
      </c>
      <c r="V74" s="1310" t="s">
        <v>1580</v>
      </c>
      <c r="W74" s="1310" t="s">
        <v>1599</v>
      </c>
      <c r="X74" s="1310" t="s">
        <v>124</v>
      </c>
      <c r="Y74" s="1310" t="s">
        <v>1546</v>
      </c>
      <c r="Z74" s="1310" t="s">
        <v>1620</v>
      </c>
      <c r="AA74" s="1310" t="s">
        <v>1647</v>
      </c>
      <c r="AB74" s="1310" t="s">
        <v>1635</v>
      </c>
      <c r="AC74" s="1310" t="s">
        <v>1637</v>
      </c>
      <c r="AD74" s="1310" t="s">
        <v>1639</v>
      </c>
      <c r="AE74" s="1310" t="s">
        <v>1536</v>
      </c>
      <c r="AF74" s="1310" t="s">
        <v>1577</v>
      </c>
    </row>
    <row r="75" spans="1:32" x14ac:dyDescent="0.3">
      <c r="A75" s="1310" t="s">
        <v>1607</v>
      </c>
      <c r="B75" s="1310" t="s">
        <v>1443</v>
      </c>
      <c r="C75" s="1310" t="s">
        <v>1450</v>
      </c>
      <c r="D75" s="1310" t="s">
        <v>1574</v>
      </c>
      <c r="E75" s="1310" t="s">
        <v>1491</v>
      </c>
      <c r="F75" s="1310" t="s">
        <v>1574</v>
      </c>
      <c r="G75" s="1310" t="s">
        <v>1641</v>
      </c>
      <c r="H75" s="1310" t="s">
        <v>1472</v>
      </c>
      <c r="I75" s="1310" t="s">
        <v>1443</v>
      </c>
      <c r="J75" s="1310" t="s">
        <v>1450</v>
      </c>
      <c r="K75" s="1310" t="s">
        <v>1490</v>
      </c>
      <c r="L75" s="1310" t="s">
        <v>125</v>
      </c>
      <c r="M75" s="1310" t="s">
        <v>1446</v>
      </c>
      <c r="N75" s="1310" t="s">
        <v>1631</v>
      </c>
      <c r="O75" s="1310" t="s">
        <v>1640</v>
      </c>
      <c r="P75" s="1310" t="s">
        <v>1634</v>
      </c>
      <c r="Q75" s="1310" t="s">
        <v>1453</v>
      </c>
      <c r="R75" s="1310" t="s">
        <v>1496</v>
      </c>
      <c r="S75" s="1310" t="s">
        <v>1639</v>
      </c>
      <c r="T75" s="1310" t="s">
        <v>1613</v>
      </c>
      <c r="U75" s="1310" t="s">
        <v>1498</v>
      </c>
      <c r="V75" s="1310" t="s">
        <v>1596</v>
      </c>
      <c r="W75" s="1310" t="s">
        <v>1580</v>
      </c>
      <c r="X75" s="1310" t="s">
        <v>1494</v>
      </c>
      <c r="Y75" s="1310" t="s">
        <v>1528</v>
      </c>
      <c r="Z75" s="1310" t="s">
        <v>1611</v>
      </c>
      <c r="AA75" s="1310" t="s">
        <v>1030</v>
      </c>
      <c r="AB75" s="1310" t="s">
        <v>133</v>
      </c>
      <c r="AC75" s="1310" t="s">
        <v>1580</v>
      </c>
      <c r="AD75" s="1310" t="s">
        <v>1630</v>
      </c>
      <c r="AE75" s="1310" t="s">
        <v>1552</v>
      </c>
      <c r="AF75" s="1310" t="s">
        <v>465</v>
      </c>
    </row>
    <row r="76" spans="1:32" x14ac:dyDescent="0.3">
      <c r="A76" s="1310" t="s">
        <v>1443</v>
      </c>
      <c r="B76" s="1310" t="s">
        <v>1450</v>
      </c>
      <c r="C76" s="1310" t="s">
        <v>268</v>
      </c>
      <c r="D76" s="1310" t="s">
        <v>1581</v>
      </c>
      <c r="E76" s="1310" t="s">
        <v>1446</v>
      </c>
      <c r="F76" s="1310" t="s">
        <v>128</v>
      </c>
      <c r="G76" s="1310" t="s">
        <v>1602</v>
      </c>
      <c r="H76" s="1310" t="s">
        <v>126</v>
      </c>
      <c r="I76" s="1310" t="s">
        <v>123</v>
      </c>
      <c r="J76" s="1310" t="s">
        <v>1443</v>
      </c>
      <c r="K76" s="1310" t="s">
        <v>1450</v>
      </c>
      <c r="L76" s="1310" t="s">
        <v>1540</v>
      </c>
      <c r="M76" s="1310" t="s">
        <v>1599</v>
      </c>
      <c r="N76" s="1310" t="s">
        <v>1602</v>
      </c>
      <c r="O76" s="1310" t="s">
        <v>1612</v>
      </c>
      <c r="P76" s="1310" t="s">
        <v>1652</v>
      </c>
      <c r="Q76" s="1310" t="s">
        <v>1030</v>
      </c>
      <c r="R76" s="1310" t="s">
        <v>110</v>
      </c>
      <c r="S76" s="1310" t="s">
        <v>1568</v>
      </c>
      <c r="T76" s="1310" t="s">
        <v>132</v>
      </c>
      <c r="U76" s="1310" t="s">
        <v>1589</v>
      </c>
      <c r="V76" s="1310" t="s">
        <v>1443</v>
      </c>
      <c r="W76" s="1310" t="s">
        <v>1450</v>
      </c>
      <c r="X76" s="1310" t="s">
        <v>1633</v>
      </c>
      <c r="Y76" s="1310" t="s">
        <v>1622</v>
      </c>
      <c r="Z76" s="1310" t="s">
        <v>1657</v>
      </c>
      <c r="AA76" s="1310" t="s">
        <v>1560</v>
      </c>
      <c r="AB76" s="1310" t="s">
        <v>1569</v>
      </c>
      <c r="AC76" s="1310" t="s">
        <v>1482</v>
      </c>
      <c r="AD76" s="1310" t="s">
        <v>1486</v>
      </c>
      <c r="AE76" s="1310" t="s">
        <v>1545</v>
      </c>
      <c r="AF76" s="1310" t="s">
        <v>1614</v>
      </c>
    </row>
    <row r="77" spans="1:32" x14ac:dyDescent="0.3">
      <c r="A77" s="1310" t="s">
        <v>1550</v>
      </c>
      <c r="B77" s="1310" t="s">
        <v>1557</v>
      </c>
      <c r="C77" s="1310" t="s">
        <v>1443</v>
      </c>
      <c r="D77" s="1310" t="s">
        <v>1450</v>
      </c>
      <c r="E77" s="1310" t="s">
        <v>1443</v>
      </c>
      <c r="F77" s="1310" t="s">
        <v>1617</v>
      </c>
      <c r="G77" s="1310" t="s">
        <v>1443</v>
      </c>
      <c r="H77" s="1310" t="s">
        <v>1499</v>
      </c>
      <c r="I77" s="1310" t="s">
        <v>1507</v>
      </c>
      <c r="J77" s="1310" t="s">
        <v>1629</v>
      </c>
      <c r="K77" s="1310" t="s">
        <v>1477</v>
      </c>
      <c r="L77" s="1310" t="s">
        <v>1478</v>
      </c>
      <c r="M77" s="1310" t="s">
        <v>1474</v>
      </c>
      <c r="N77" s="1310" t="s">
        <v>1479</v>
      </c>
      <c r="O77" s="1310" t="s">
        <v>1474</v>
      </c>
      <c r="P77" s="1310" t="s">
        <v>1480</v>
      </c>
      <c r="Q77" s="1310" t="s">
        <v>1478</v>
      </c>
      <c r="R77" s="1310" t="s">
        <v>1474</v>
      </c>
      <c r="S77" s="1310" t="s">
        <v>1481</v>
      </c>
      <c r="T77" s="1310" t="s">
        <v>1476</v>
      </c>
      <c r="U77" s="1310" t="s">
        <v>1494</v>
      </c>
      <c r="V77" s="1310" t="s">
        <v>1486</v>
      </c>
      <c r="W77" s="1310" t="s">
        <v>1487</v>
      </c>
      <c r="X77" s="1310" t="s">
        <v>1450</v>
      </c>
      <c r="Y77" s="1310" t="s">
        <v>1574</v>
      </c>
      <c r="Z77" s="1310" t="s">
        <v>1524</v>
      </c>
      <c r="AA77" s="1310" t="s">
        <v>1573</v>
      </c>
      <c r="AB77" s="1310" t="s">
        <v>1451</v>
      </c>
      <c r="AC77" s="1310" t="s">
        <v>265</v>
      </c>
      <c r="AD77" s="1310" t="s">
        <v>1528</v>
      </c>
      <c r="AE77" s="1310" t="s">
        <v>1450</v>
      </c>
      <c r="AF77" s="1310" t="s">
        <v>1450</v>
      </c>
    </row>
    <row r="78" spans="1:32" x14ac:dyDescent="0.3">
      <c r="A78" s="1310" t="s">
        <v>1450</v>
      </c>
      <c r="B78" s="1310" t="s">
        <v>1450</v>
      </c>
      <c r="C78" s="1310" t="s">
        <v>1450</v>
      </c>
      <c r="D78" s="1310" t="s">
        <v>1471</v>
      </c>
      <c r="E78" s="1310" t="s">
        <v>1450</v>
      </c>
      <c r="F78" s="1310" t="s">
        <v>1450</v>
      </c>
      <c r="G78" s="1310" t="s">
        <v>1450</v>
      </c>
      <c r="H78" s="1310" t="s">
        <v>1450</v>
      </c>
      <c r="I78" s="1310" t="s">
        <v>1450</v>
      </c>
      <c r="J78" s="1310" t="s">
        <v>1450</v>
      </c>
      <c r="K78" s="1310" t="s">
        <v>1450</v>
      </c>
      <c r="L78" s="1310" t="s">
        <v>1450</v>
      </c>
      <c r="M78" s="1310" t="s">
        <v>1450</v>
      </c>
      <c r="N78" s="1310" t="s">
        <v>1450</v>
      </c>
      <c r="O78" s="1310" t="s">
        <v>1450</v>
      </c>
      <c r="P78" s="1310" t="s">
        <v>1450</v>
      </c>
      <c r="Q78" s="1310" t="s">
        <v>1450</v>
      </c>
      <c r="R78" s="1310" t="s">
        <v>1450</v>
      </c>
      <c r="S78" s="1310" t="s">
        <v>1450</v>
      </c>
      <c r="T78" s="1310" t="s">
        <v>1450</v>
      </c>
      <c r="U78" s="1310" t="s">
        <v>1574</v>
      </c>
      <c r="V78" s="1310" t="s">
        <v>1524</v>
      </c>
      <c r="W78" s="1310" t="s">
        <v>1573</v>
      </c>
      <c r="X78" s="1310" t="s">
        <v>1451</v>
      </c>
      <c r="Y78" s="1310" t="s">
        <v>265</v>
      </c>
      <c r="Z78" s="1310" t="s">
        <v>1491</v>
      </c>
      <c r="AA78" s="1310" t="s">
        <v>1450</v>
      </c>
      <c r="AB78" s="1310" t="s">
        <v>1450</v>
      </c>
      <c r="AC78" s="1310" t="s">
        <v>1450</v>
      </c>
      <c r="AD78" s="1310" t="s">
        <v>1450</v>
      </c>
      <c r="AE78" s="1310" t="s">
        <v>1450</v>
      </c>
      <c r="AF78" s="1310" t="s">
        <v>1499</v>
      </c>
    </row>
    <row r="79" spans="1:32" x14ac:dyDescent="0.3">
      <c r="A79" s="1310" t="s">
        <v>1450</v>
      </c>
      <c r="B79" s="1310" t="s">
        <v>1450</v>
      </c>
      <c r="C79" s="1310" t="s">
        <v>1450</v>
      </c>
      <c r="D79" s="1310" t="s">
        <v>1471</v>
      </c>
      <c r="E79" s="1310" t="s">
        <v>1450</v>
      </c>
      <c r="F79" s="1310" t="s">
        <v>1450</v>
      </c>
      <c r="G79" s="1310" t="s">
        <v>1450</v>
      </c>
      <c r="H79" s="1310" t="s">
        <v>262</v>
      </c>
      <c r="I79" s="1310" t="s">
        <v>1450</v>
      </c>
      <c r="J79" s="1310" t="s">
        <v>1450</v>
      </c>
      <c r="K79" s="1310" t="s">
        <v>1450</v>
      </c>
      <c r="L79" s="1310" t="s">
        <v>1450</v>
      </c>
      <c r="M79" s="1310" t="s">
        <v>1450</v>
      </c>
      <c r="N79" s="1310" t="s">
        <v>1508</v>
      </c>
      <c r="O79" s="1310" t="s">
        <v>1481</v>
      </c>
      <c r="P79" s="1310" t="s">
        <v>1460</v>
      </c>
      <c r="Q79" s="1310" t="s">
        <v>1448</v>
      </c>
      <c r="R79" s="1310" t="s">
        <v>1484</v>
      </c>
      <c r="S79" s="1310" t="s">
        <v>1479</v>
      </c>
      <c r="T79" s="1310" t="s">
        <v>1633</v>
      </c>
      <c r="U79" s="1310" t="s">
        <v>1542</v>
      </c>
      <c r="V79" s="1310" t="s">
        <v>1479</v>
      </c>
      <c r="W79" s="1310" t="s">
        <v>1481</v>
      </c>
      <c r="X79" s="1310" t="s">
        <v>1542</v>
      </c>
      <c r="Y79" s="1310" t="s">
        <v>1479</v>
      </c>
      <c r="Z79" s="1310" t="s">
        <v>1450</v>
      </c>
      <c r="AA79" s="1310" t="s">
        <v>1450</v>
      </c>
      <c r="AB79" s="1310" t="s">
        <v>1450</v>
      </c>
      <c r="AC79" s="1310" t="s">
        <v>266</v>
      </c>
      <c r="AD79" s="1310" t="s">
        <v>1450</v>
      </c>
      <c r="AE79" s="1310" t="s">
        <v>1450</v>
      </c>
      <c r="AF79" s="1310" t="s">
        <v>1450</v>
      </c>
    </row>
    <row r="80" spans="1:32" x14ac:dyDescent="0.3">
      <c r="A80" s="1310" t="s">
        <v>1450</v>
      </c>
      <c r="B80" s="1310" t="s">
        <v>1477</v>
      </c>
      <c r="C80" s="1310" t="s">
        <v>1480</v>
      </c>
      <c r="D80" s="1310" t="s">
        <v>1479</v>
      </c>
      <c r="E80" s="1310" t="s">
        <v>1530</v>
      </c>
      <c r="F80" s="1310" t="s">
        <v>1455</v>
      </c>
      <c r="G80" s="1310" t="s">
        <v>1474</v>
      </c>
      <c r="H80" s="1310" t="s">
        <v>1474</v>
      </c>
      <c r="I80" s="1310" t="s">
        <v>1482</v>
      </c>
      <c r="J80" s="1310" t="s">
        <v>262</v>
      </c>
      <c r="K80" s="1310" t="s">
        <v>1450</v>
      </c>
      <c r="L80" s="1310" t="s">
        <v>1450</v>
      </c>
      <c r="M80" s="1310" t="s">
        <v>1450</v>
      </c>
      <c r="N80" s="1310" t="s">
        <v>1450</v>
      </c>
      <c r="O80" s="1310" t="s">
        <v>1573</v>
      </c>
      <c r="P80" s="1310" t="s">
        <v>1484</v>
      </c>
      <c r="Q80" s="1310" t="s">
        <v>1479</v>
      </c>
      <c r="R80" s="1310" t="s">
        <v>1475</v>
      </c>
      <c r="S80" s="1310" t="s">
        <v>1475</v>
      </c>
      <c r="T80" s="1310" t="s">
        <v>1484</v>
      </c>
      <c r="U80" s="1310" t="s">
        <v>1542</v>
      </c>
      <c r="V80" s="1310" t="s">
        <v>1483</v>
      </c>
      <c r="W80" s="1310" t="s">
        <v>1450</v>
      </c>
      <c r="X80" s="1310" t="s">
        <v>1450</v>
      </c>
      <c r="Y80" s="1310" t="s">
        <v>1450</v>
      </c>
      <c r="Z80" s="1310" t="s">
        <v>1450</v>
      </c>
      <c r="AA80" s="1310" t="s">
        <v>1573</v>
      </c>
      <c r="AB80" s="1310" t="s">
        <v>1484</v>
      </c>
      <c r="AC80" s="1310" t="s">
        <v>1479</v>
      </c>
      <c r="AD80" s="1310" t="s">
        <v>1475</v>
      </c>
      <c r="AE80" s="1310" t="s">
        <v>1450</v>
      </c>
      <c r="AF80" s="1310" t="s">
        <v>1450</v>
      </c>
    </row>
    <row r="81" spans="1:32" x14ac:dyDescent="0.3">
      <c r="A81" s="1310" t="s">
        <v>1450</v>
      </c>
      <c r="B81" s="1310" t="s">
        <v>1450</v>
      </c>
      <c r="C81" s="1310" t="s">
        <v>1502</v>
      </c>
      <c r="D81" s="1310" t="s">
        <v>1482</v>
      </c>
      <c r="E81" s="1310" t="s">
        <v>1460</v>
      </c>
      <c r="F81" s="1310" t="s">
        <v>1483</v>
      </c>
      <c r="G81" s="1310" t="s">
        <v>1450</v>
      </c>
      <c r="H81" s="1310" t="s">
        <v>1450</v>
      </c>
      <c r="I81" s="1310" t="s">
        <v>1450</v>
      </c>
      <c r="J81" s="1310" t="s">
        <v>1510</v>
      </c>
      <c r="K81" s="1310" t="s">
        <v>1481</v>
      </c>
      <c r="L81" s="1310" t="s">
        <v>1460</v>
      </c>
      <c r="M81" s="1310" t="s">
        <v>1448</v>
      </c>
      <c r="N81" s="1310" t="s">
        <v>1484</v>
      </c>
      <c r="O81" s="1310" t="s">
        <v>1479</v>
      </c>
      <c r="P81" s="1310" t="s">
        <v>1530</v>
      </c>
      <c r="Q81" s="1310" t="s">
        <v>1448</v>
      </c>
      <c r="R81" s="1310" t="s">
        <v>1447</v>
      </c>
      <c r="S81" s="1310" t="s">
        <v>1479</v>
      </c>
      <c r="T81" s="1310" t="s">
        <v>1475</v>
      </c>
      <c r="U81" s="1310" t="s">
        <v>1475</v>
      </c>
      <c r="V81" s="1310" t="s">
        <v>1484</v>
      </c>
      <c r="W81" s="1310" t="s">
        <v>1524</v>
      </c>
      <c r="X81" s="1310" t="s">
        <v>1448</v>
      </c>
      <c r="Y81" s="1310" t="s">
        <v>1479</v>
      </c>
      <c r="Z81" s="1310" t="s">
        <v>1455</v>
      </c>
      <c r="AA81" s="1310" t="s">
        <v>1474</v>
      </c>
      <c r="AB81" s="1310" t="s">
        <v>1474</v>
      </c>
      <c r="AC81" s="1310" t="s">
        <v>1482</v>
      </c>
      <c r="AD81" s="1310" t="s">
        <v>1450</v>
      </c>
      <c r="AE81" s="1310" t="s">
        <v>1450</v>
      </c>
      <c r="AF81" s="1310" t="s">
        <v>1450</v>
      </c>
    </row>
    <row r="82" spans="1:32" x14ac:dyDescent="0.3">
      <c r="A82" s="1310" t="s">
        <v>1450</v>
      </c>
      <c r="B82" s="1310" t="s">
        <v>1508</v>
      </c>
      <c r="C82" s="1310" t="s">
        <v>1481</v>
      </c>
      <c r="D82" s="1310" t="s">
        <v>1460</v>
      </c>
      <c r="E82" s="1310" t="s">
        <v>1448</v>
      </c>
      <c r="F82" s="1310" t="s">
        <v>1484</v>
      </c>
      <c r="G82" s="1310" t="s">
        <v>1479</v>
      </c>
      <c r="H82" s="1310" t="s">
        <v>1475</v>
      </c>
      <c r="I82" s="1310" t="s">
        <v>1460</v>
      </c>
      <c r="J82" s="1310" t="s">
        <v>1624</v>
      </c>
      <c r="K82" s="1310" t="s">
        <v>1520</v>
      </c>
      <c r="L82" s="1310" t="s">
        <v>1483</v>
      </c>
      <c r="M82" s="1310" t="s">
        <v>1475</v>
      </c>
      <c r="N82" s="1310" t="s">
        <v>1538</v>
      </c>
      <c r="O82" s="1310" t="s">
        <v>1446</v>
      </c>
      <c r="P82" s="1310" t="s">
        <v>1588</v>
      </c>
      <c r="Q82" s="1310" t="s">
        <v>1538</v>
      </c>
      <c r="R82" s="1310" t="s">
        <v>1450</v>
      </c>
      <c r="S82" s="1310" t="s">
        <v>1450</v>
      </c>
      <c r="T82" s="1310" t="s">
        <v>1450</v>
      </c>
      <c r="U82" s="1310" t="s">
        <v>262</v>
      </c>
      <c r="V82" s="1310" t="s">
        <v>1450</v>
      </c>
      <c r="W82" s="1310" t="s">
        <v>1450</v>
      </c>
      <c r="X82" s="1310" t="s">
        <v>1450</v>
      </c>
      <c r="Y82" s="1310" t="s">
        <v>1450</v>
      </c>
      <c r="Z82" s="1310" t="s">
        <v>1450</v>
      </c>
      <c r="AA82" s="1310" t="s">
        <v>1510</v>
      </c>
      <c r="AB82" s="1310" t="s">
        <v>1481</v>
      </c>
      <c r="AC82" s="1310" t="s">
        <v>1460</v>
      </c>
      <c r="AD82" s="1310" t="s">
        <v>1448</v>
      </c>
      <c r="AE82" s="1310" t="s">
        <v>1484</v>
      </c>
      <c r="AF82" s="1310" t="s">
        <v>1479</v>
      </c>
    </row>
    <row r="83" spans="1:32" x14ac:dyDescent="0.3">
      <c r="A83" s="1310" t="s">
        <v>1477</v>
      </c>
      <c r="B83" s="1310" t="s">
        <v>1460</v>
      </c>
      <c r="C83" s="1310" t="s">
        <v>1474</v>
      </c>
      <c r="D83" s="1310" t="s">
        <v>1474</v>
      </c>
      <c r="E83" s="1310" t="s">
        <v>1449</v>
      </c>
      <c r="F83" s="1310" t="s">
        <v>1530</v>
      </c>
      <c r="G83" s="1310" t="s">
        <v>1475</v>
      </c>
      <c r="H83" s="1310" t="s">
        <v>1479</v>
      </c>
      <c r="I83" s="1310" t="s">
        <v>1542</v>
      </c>
      <c r="J83" s="1310" t="s">
        <v>1481</v>
      </c>
      <c r="K83" s="1310" t="s">
        <v>1633</v>
      </c>
      <c r="L83" s="1310" t="s">
        <v>1455</v>
      </c>
      <c r="M83" s="1310" t="s">
        <v>1457</v>
      </c>
      <c r="N83" s="1310" t="s">
        <v>1532</v>
      </c>
      <c r="O83" s="1310" t="s">
        <v>1450</v>
      </c>
      <c r="P83" s="1310" t="s">
        <v>1450</v>
      </c>
      <c r="Q83" s="1310" t="s">
        <v>1450</v>
      </c>
      <c r="R83" s="1310" t="s">
        <v>1471</v>
      </c>
      <c r="S83" s="1310" t="s">
        <v>1450</v>
      </c>
      <c r="T83" s="1310" t="s">
        <v>1573</v>
      </c>
      <c r="U83" s="1310" t="s">
        <v>1450</v>
      </c>
      <c r="V83" s="1310" t="s">
        <v>1484</v>
      </c>
      <c r="W83" s="1310" t="s">
        <v>1450</v>
      </c>
      <c r="X83" s="1310" t="s">
        <v>1480</v>
      </c>
      <c r="Y83" s="1310" t="s">
        <v>1450</v>
      </c>
      <c r="Z83" s="1310" t="s">
        <v>1479</v>
      </c>
      <c r="AA83" s="1310" t="s">
        <v>1450</v>
      </c>
      <c r="AB83" s="1310" t="s">
        <v>1475</v>
      </c>
      <c r="AC83" s="1310" t="s">
        <v>1450</v>
      </c>
      <c r="AD83" s="1310" t="s">
        <v>1482</v>
      </c>
      <c r="AE83" s="1310" t="s">
        <v>1450</v>
      </c>
      <c r="AF83" s="1310" t="s">
        <v>1482</v>
      </c>
    </row>
    <row r="84" spans="1:32" x14ac:dyDescent="0.3">
      <c r="A84" s="1310" t="s">
        <v>1450</v>
      </c>
      <c r="B84" s="1310" t="s">
        <v>1475</v>
      </c>
      <c r="C84" s="1310" t="s">
        <v>1450</v>
      </c>
      <c r="D84" s="1310" t="s">
        <v>1484</v>
      </c>
      <c r="E84" s="1310" t="s">
        <v>1450</v>
      </c>
      <c r="F84" s="1310" t="s">
        <v>1476</v>
      </c>
      <c r="G84" s="1310" t="s">
        <v>1450</v>
      </c>
      <c r="H84" s="1310" t="s">
        <v>1481</v>
      </c>
      <c r="I84" s="1310" t="s">
        <v>1450</v>
      </c>
      <c r="J84" s="1310" t="s">
        <v>1460</v>
      </c>
      <c r="K84" s="1310" t="s">
        <v>1450</v>
      </c>
      <c r="L84" s="1310" t="s">
        <v>1474</v>
      </c>
      <c r="M84" s="1310" t="s">
        <v>1450</v>
      </c>
      <c r="N84" s="1310" t="s">
        <v>1475</v>
      </c>
      <c r="O84" s="1310" t="s">
        <v>1450</v>
      </c>
      <c r="P84" s="1310" t="s">
        <v>1449</v>
      </c>
      <c r="Q84" s="1310" t="s">
        <v>1450</v>
      </c>
      <c r="R84" s="1310" t="s">
        <v>1450</v>
      </c>
      <c r="S84" s="1310" t="s">
        <v>1450</v>
      </c>
      <c r="T84" s="1310" t="s">
        <v>1450</v>
      </c>
      <c r="U84" s="1310" t="s">
        <v>1450</v>
      </c>
      <c r="V84" s="1310" t="s">
        <v>1467</v>
      </c>
      <c r="W84" s="1310" t="s">
        <v>1481</v>
      </c>
      <c r="X84" s="1310" t="s">
        <v>1460</v>
      </c>
      <c r="Y84" s="1310" t="s">
        <v>1474</v>
      </c>
      <c r="Z84" s="1310" t="s">
        <v>1474</v>
      </c>
      <c r="AA84" s="1310" t="s">
        <v>1449</v>
      </c>
      <c r="AB84" s="1310" t="s">
        <v>1530</v>
      </c>
      <c r="AC84" s="1310" t="s">
        <v>1475</v>
      </c>
      <c r="AD84" s="1310" t="s">
        <v>1479</v>
      </c>
      <c r="AE84" s="1310" t="s">
        <v>1542</v>
      </c>
      <c r="AF84" s="1310" t="s">
        <v>1481</v>
      </c>
    </row>
    <row r="85" spans="1:32" x14ac:dyDescent="0.3">
      <c r="A85" s="1310" t="s">
        <v>1450</v>
      </c>
      <c r="B85" s="1310" t="s">
        <v>1450</v>
      </c>
      <c r="C85" s="1310" t="s">
        <v>1450</v>
      </c>
      <c r="D85" s="1310" t="s">
        <v>262</v>
      </c>
      <c r="E85" s="1310" t="s">
        <v>1450</v>
      </c>
      <c r="F85" s="1310" t="s">
        <v>1450</v>
      </c>
      <c r="G85" s="1310" t="s">
        <v>1450</v>
      </c>
      <c r="H85" s="1310" t="s">
        <v>1450</v>
      </c>
      <c r="I85" s="1310" t="s">
        <v>1524</v>
      </c>
      <c r="J85" s="1310" t="s">
        <v>1482</v>
      </c>
      <c r="K85" s="1310" t="s">
        <v>1479</v>
      </c>
      <c r="L85" s="1310" t="s">
        <v>1484</v>
      </c>
      <c r="M85" s="1310" t="s">
        <v>1475</v>
      </c>
      <c r="N85" s="1310" t="s">
        <v>1484</v>
      </c>
      <c r="O85" s="1310" t="s">
        <v>1542</v>
      </c>
      <c r="P85" s="1310" t="s">
        <v>1483</v>
      </c>
      <c r="Q85" s="1310" t="s">
        <v>1450</v>
      </c>
      <c r="R85" s="1310" t="s">
        <v>1450</v>
      </c>
      <c r="S85" s="1310" t="s">
        <v>1450</v>
      </c>
      <c r="T85" s="1310" t="s">
        <v>1500</v>
      </c>
      <c r="U85" s="1310" t="s">
        <v>1455</v>
      </c>
      <c r="V85" s="1310" t="s">
        <v>1542</v>
      </c>
      <c r="W85" s="1310" t="s">
        <v>1448</v>
      </c>
      <c r="X85" s="1310" t="s">
        <v>1482</v>
      </c>
      <c r="Y85" s="1310" t="s">
        <v>1479</v>
      </c>
      <c r="Z85" s="1310" t="s">
        <v>1448</v>
      </c>
      <c r="AA85" s="1310" t="s">
        <v>1484</v>
      </c>
      <c r="AB85" s="1310" t="s">
        <v>1477</v>
      </c>
      <c r="AC85" s="1310" t="s">
        <v>1460</v>
      </c>
      <c r="AD85" s="1310" t="s">
        <v>1474</v>
      </c>
      <c r="AE85" s="1310" t="s">
        <v>1474</v>
      </c>
      <c r="AF85" s="1310" t="s">
        <v>1449</v>
      </c>
    </row>
    <row r="86" spans="1:32" x14ac:dyDescent="0.3">
      <c r="A86" s="1310" t="s">
        <v>1450</v>
      </c>
      <c r="B86" s="1310" t="s">
        <v>1450</v>
      </c>
      <c r="C86" s="1310" t="s">
        <v>1450</v>
      </c>
      <c r="D86" s="1310" t="s">
        <v>270</v>
      </c>
      <c r="E86" s="1310" t="s">
        <v>1481</v>
      </c>
      <c r="F86" s="1310" t="s">
        <v>1460</v>
      </c>
      <c r="G86" s="1310" t="s">
        <v>1474</v>
      </c>
      <c r="H86" s="1310" t="s">
        <v>1474</v>
      </c>
      <c r="I86" s="1310" t="s">
        <v>1449</v>
      </c>
      <c r="J86" s="1310" t="s">
        <v>1502</v>
      </c>
      <c r="K86" s="1310" t="s">
        <v>1451</v>
      </c>
      <c r="L86" s="1310" t="s">
        <v>1599</v>
      </c>
      <c r="M86" s="1310" t="s">
        <v>1653</v>
      </c>
      <c r="N86" s="1310" t="s">
        <v>1450</v>
      </c>
      <c r="O86" s="1310" t="s">
        <v>1574</v>
      </c>
      <c r="P86" s="1310" t="s">
        <v>1524</v>
      </c>
      <c r="Q86" s="1310" t="s">
        <v>1573</v>
      </c>
      <c r="R86" s="1310" t="s">
        <v>1451</v>
      </c>
      <c r="S86" s="1310" t="s">
        <v>265</v>
      </c>
      <c r="T86" s="1310" t="s">
        <v>1618</v>
      </c>
      <c r="U86" s="1310" t="s">
        <v>1450</v>
      </c>
      <c r="V86" s="1310" t="s">
        <v>1450</v>
      </c>
      <c r="W86" s="1310" t="s">
        <v>1450</v>
      </c>
      <c r="X86" s="1310" t="s">
        <v>1450</v>
      </c>
      <c r="Y86" s="1310" t="s">
        <v>263</v>
      </c>
      <c r="Z86" s="1310" t="s">
        <v>1654</v>
      </c>
      <c r="AA86" s="1310" t="s">
        <v>1450</v>
      </c>
      <c r="AB86" s="1310" t="s">
        <v>1450</v>
      </c>
      <c r="AC86" s="1310" t="s">
        <v>1450</v>
      </c>
      <c r="AD86" s="1310" t="s">
        <v>1471</v>
      </c>
      <c r="AE86" s="1310" t="s">
        <v>1450</v>
      </c>
      <c r="AF86" s="1310" t="s">
        <v>1450</v>
      </c>
    </row>
    <row r="87" spans="1:32" x14ac:dyDescent="0.3">
      <c r="A87" s="1310" t="s">
        <v>1450</v>
      </c>
      <c r="B87" s="1310" t="s">
        <v>262</v>
      </c>
      <c r="C87" s="1310" t="s">
        <v>1450</v>
      </c>
      <c r="D87" s="1310" t="s">
        <v>1450</v>
      </c>
      <c r="E87" s="1310" t="s">
        <v>1450</v>
      </c>
      <c r="F87" s="1310" t="s">
        <v>1450</v>
      </c>
      <c r="G87" s="1310" t="s">
        <v>1450</v>
      </c>
      <c r="H87" s="1310" t="s">
        <v>1453</v>
      </c>
      <c r="I87" s="1310" t="s">
        <v>1481</v>
      </c>
      <c r="J87" s="1310" t="s">
        <v>1460</v>
      </c>
      <c r="K87" s="1310" t="s">
        <v>1448</v>
      </c>
      <c r="L87" s="1310" t="s">
        <v>1484</v>
      </c>
      <c r="M87" s="1310" t="s">
        <v>1479</v>
      </c>
      <c r="N87" s="1310" t="s">
        <v>1633</v>
      </c>
      <c r="O87" s="1310" t="s">
        <v>1542</v>
      </c>
      <c r="P87" s="1310" t="s">
        <v>1479</v>
      </c>
      <c r="Q87" s="1310" t="s">
        <v>1481</v>
      </c>
      <c r="R87" s="1310" t="s">
        <v>1542</v>
      </c>
      <c r="S87" s="1310" t="s">
        <v>1479</v>
      </c>
      <c r="T87" s="1310" t="s">
        <v>1633</v>
      </c>
      <c r="U87" s="1310" t="s">
        <v>1481</v>
      </c>
      <c r="V87" s="1310" t="s">
        <v>1479</v>
      </c>
      <c r="W87" s="1310" t="s">
        <v>1448</v>
      </c>
      <c r="X87" s="1310" t="s">
        <v>1474</v>
      </c>
      <c r="Y87" s="1310" t="s">
        <v>1484</v>
      </c>
      <c r="Z87" s="1310" t="s">
        <v>1480</v>
      </c>
      <c r="AA87" s="1310" t="s">
        <v>1450</v>
      </c>
      <c r="AB87" s="1310" t="s">
        <v>1450</v>
      </c>
      <c r="AC87" s="1310" t="s">
        <v>1450</v>
      </c>
      <c r="AD87" s="1310" t="s">
        <v>1540</v>
      </c>
      <c r="AE87" s="1310" t="s">
        <v>1450</v>
      </c>
      <c r="AF87" s="1310" t="s">
        <v>1450</v>
      </c>
    </row>
    <row r="88" spans="1:32" x14ac:dyDescent="0.3">
      <c r="A88" s="1310" t="s">
        <v>1450</v>
      </c>
      <c r="B88" s="1310" t="s">
        <v>1450</v>
      </c>
      <c r="C88" s="1310" t="s">
        <v>1502</v>
      </c>
      <c r="D88" s="1310" t="s">
        <v>1481</v>
      </c>
      <c r="E88" s="1310" t="s">
        <v>1479</v>
      </c>
      <c r="F88" s="1310" t="s">
        <v>1484</v>
      </c>
      <c r="G88" s="1310" t="s">
        <v>1455</v>
      </c>
      <c r="H88" s="1310" t="s">
        <v>1474</v>
      </c>
      <c r="I88" s="1310" t="s">
        <v>1474</v>
      </c>
      <c r="J88" s="1310" t="s">
        <v>1482</v>
      </c>
      <c r="K88" s="1310" t="s">
        <v>1450</v>
      </c>
      <c r="L88" s="1310" t="s">
        <v>1450</v>
      </c>
      <c r="M88" s="1310" t="s">
        <v>1450</v>
      </c>
      <c r="N88" s="1310" t="s">
        <v>1450</v>
      </c>
      <c r="O88" s="1310" t="s">
        <v>1450</v>
      </c>
      <c r="P88" s="1310" t="s">
        <v>1502</v>
      </c>
      <c r="Q88" s="1310" t="s">
        <v>1482</v>
      </c>
      <c r="R88" s="1310" t="s">
        <v>1455</v>
      </c>
      <c r="S88" s="1310" t="s">
        <v>1460</v>
      </c>
      <c r="T88" s="1310" t="s">
        <v>1455</v>
      </c>
      <c r="U88" s="1310" t="s">
        <v>1474</v>
      </c>
      <c r="V88" s="1310" t="s">
        <v>1474</v>
      </c>
      <c r="W88" s="1310" t="s">
        <v>1482</v>
      </c>
      <c r="X88" s="1310" t="s">
        <v>1450</v>
      </c>
      <c r="Y88" s="1310" t="s">
        <v>1450</v>
      </c>
      <c r="Z88" s="1310" t="s">
        <v>1450</v>
      </c>
      <c r="AA88" s="1310" t="s">
        <v>1450</v>
      </c>
      <c r="AB88" s="1310" t="s">
        <v>1450</v>
      </c>
      <c r="AC88" s="1310" t="s">
        <v>1527</v>
      </c>
      <c r="AD88" s="1310" t="s">
        <v>1564</v>
      </c>
      <c r="AE88" s="1310" t="s">
        <v>1480</v>
      </c>
      <c r="AF88" s="1310" t="s">
        <v>1451</v>
      </c>
    </row>
    <row r="89" spans="1:32" x14ac:dyDescent="0.3">
      <c r="A89" s="1310" t="s">
        <v>1455</v>
      </c>
      <c r="B89" s="1310" t="s">
        <v>1474</v>
      </c>
      <c r="C89" s="1310" t="s">
        <v>1474</v>
      </c>
      <c r="D89" s="1310" t="s">
        <v>1482</v>
      </c>
      <c r="E89" s="1310" t="s">
        <v>1450</v>
      </c>
      <c r="F89" s="1310" t="s">
        <v>1450</v>
      </c>
      <c r="G89" s="1310" t="s">
        <v>1450</v>
      </c>
      <c r="H89" s="1310" t="s">
        <v>1450</v>
      </c>
      <c r="I89" s="1310" t="s">
        <v>1450</v>
      </c>
      <c r="J89" s="1310" t="s">
        <v>1502</v>
      </c>
      <c r="K89" s="1310" t="s">
        <v>1460</v>
      </c>
      <c r="L89" s="1310" t="s">
        <v>1484</v>
      </c>
      <c r="M89" s="1310" t="s">
        <v>1502</v>
      </c>
      <c r="N89" s="1310" t="s">
        <v>1455</v>
      </c>
      <c r="O89" s="1310" t="s">
        <v>1474</v>
      </c>
      <c r="P89" s="1310" t="s">
        <v>1474</v>
      </c>
      <c r="Q89" s="1310" t="s">
        <v>1482</v>
      </c>
      <c r="R89" s="1310" t="s">
        <v>1450</v>
      </c>
      <c r="S89" s="1310" t="s">
        <v>1450</v>
      </c>
      <c r="T89" s="1310" t="s">
        <v>1450</v>
      </c>
      <c r="U89" s="1310" t="s">
        <v>1450</v>
      </c>
      <c r="V89" s="1310" t="s">
        <v>1450</v>
      </c>
      <c r="W89" s="1310" t="s">
        <v>1502</v>
      </c>
      <c r="X89" s="1310" t="s">
        <v>1484</v>
      </c>
      <c r="Y89" s="1310" t="s">
        <v>1479</v>
      </c>
      <c r="Z89" s="1310" t="s">
        <v>1502</v>
      </c>
      <c r="AA89" s="1310" t="s">
        <v>1455</v>
      </c>
      <c r="AB89" s="1310" t="s">
        <v>1474</v>
      </c>
      <c r="AC89" s="1310" t="s">
        <v>1474</v>
      </c>
      <c r="AD89" s="1310" t="s">
        <v>1482</v>
      </c>
      <c r="AE89" s="1310" t="s">
        <v>1450</v>
      </c>
      <c r="AF89" s="1310" t="s">
        <v>1450</v>
      </c>
    </row>
    <row r="90" spans="1:32" x14ac:dyDescent="0.3">
      <c r="A90" s="1310" t="s">
        <v>1450</v>
      </c>
      <c r="B90" s="1310" t="s">
        <v>1450</v>
      </c>
      <c r="C90" s="1310" t="s">
        <v>1450</v>
      </c>
      <c r="D90" s="1310" t="s">
        <v>1651</v>
      </c>
      <c r="E90" s="1310" t="s">
        <v>1455</v>
      </c>
      <c r="F90" s="1310" t="s">
        <v>1482</v>
      </c>
      <c r="G90" s="1310" t="s">
        <v>1480</v>
      </c>
      <c r="H90" s="1310" t="s">
        <v>1455</v>
      </c>
      <c r="I90" s="1310" t="s">
        <v>1474</v>
      </c>
      <c r="J90" s="1310" t="s">
        <v>1474</v>
      </c>
      <c r="K90" s="1310" t="s">
        <v>1482</v>
      </c>
      <c r="L90" s="1310" t="s">
        <v>1450</v>
      </c>
      <c r="M90" s="1310" t="s">
        <v>1450</v>
      </c>
      <c r="N90" s="1310" t="s">
        <v>1450</v>
      </c>
      <c r="O90" s="1310" t="s">
        <v>1450</v>
      </c>
      <c r="P90" s="1310" t="s">
        <v>1450</v>
      </c>
      <c r="Q90" s="1310" t="s">
        <v>1624</v>
      </c>
      <c r="R90" s="1310" t="s">
        <v>1564</v>
      </c>
      <c r="S90" s="1310" t="s">
        <v>1479</v>
      </c>
      <c r="T90" s="1310" t="s">
        <v>1554</v>
      </c>
      <c r="U90" s="1310" t="s">
        <v>1455</v>
      </c>
      <c r="V90" s="1310" t="s">
        <v>1474</v>
      </c>
      <c r="W90" s="1310" t="s">
        <v>1474</v>
      </c>
      <c r="X90" s="1310" t="s">
        <v>1482</v>
      </c>
      <c r="Y90" s="1310" t="s">
        <v>1450</v>
      </c>
      <c r="Z90" s="1310" t="s">
        <v>1450</v>
      </c>
      <c r="AA90" s="1310" t="s">
        <v>1450</v>
      </c>
      <c r="AB90" s="1310" t="s">
        <v>1450</v>
      </c>
      <c r="AC90" s="1310" t="s">
        <v>1450</v>
      </c>
      <c r="AD90" s="1310" t="s">
        <v>1446</v>
      </c>
      <c r="AE90" s="1310" t="s">
        <v>1483</v>
      </c>
      <c r="AF90" s="1310" t="s">
        <v>1482</v>
      </c>
    </row>
    <row r="91" spans="1:32" x14ac:dyDescent="0.3">
      <c r="A91" s="1310" t="s">
        <v>1536</v>
      </c>
      <c r="B91" s="1310" t="s">
        <v>1455</v>
      </c>
      <c r="C91" s="1310" t="s">
        <v>1474</v>
      </c>
      <c r="D91" s="1310" t="s">
        <v>1474</v>
      </c>
      <c r="E91" s="1310" t="s">
        <v>1482</v>
      </c>
      <c r="F91" s="1310" t="s">
        <v>1450</v>
      </c>
      <c r="G91" s="1310" t="s">
        <v>1450</v>
      </c>
      <c r="H91" s="1310" t="s">
        <v>1450</v>
      </c>
      <c r="I91" s="1310" t="s">
        <v>1450</v>
      </c>
      <c r="J91" s="1310" t="s">
        <v>1450</v>
      </c>
      <c r="K91" s="1310" t="s">
        <v>1573</v>
      </c>
      <c r="L91" s="1310" t="s">
        <v>1484</v>
      </c>
      <c r="M91" s="1310" t="s">
        <v>1479</v>
      </c>
      <c r="N91" s="1310" t="s">
        <v>1460</v>
      </c>
      <c r="O91" s="1310" t="s">
        <v>1455</v>
      </c>
      <c r="P91" s="1310" t="s">
        <v>1474</v>
      </c>
      <c r="Q91" s="1310" t="s">
        <v>1474</v>
      </c>
      <c r="R91" s="1310" t="s">
        <v>1482</v>
      </c>
      <c r="S91" s="1310" t="s">
        <v>1450</v>
      </c>
      <c r="T91" s="1310" t="s">
        <v>1450</v>
      </c>
      <c r="U91" s="1310" t="s">
        <v>1450</v>
      </c>
      <c r="V91" s="1310" t="s">
        <v>1450</v>
      </c>
      <c r="W91" s="1310" t="s">
        <v>1450</v>
      </c>
      <c r="X91" s="1310" t="s">
        <v>1524</v>
      </c>
      <c r="Y91" s="1310" t="s">
        <v>1532</v>
      </c>
      <c r="Z91" s="1310" t="s">
        <v>1596</v>
      </c>
      <c r="AA91" s="1310" t="s">
        <v>1564</v>
      </c>
      <c r="AB91" s="1310" t="s">
        <v>1633</v>
      </c>
      <c r="AC91" s="1310" t="s">
        <v>1455</v>
      </c>
      <c r="AD91" s="1310" t="s">
        <v>1457</v>
      </c>
      <c r="AE91" s="1310" t="s">
        <v>1532</v>
      </c>
      <c r="AF91" s="1310" t="s">
        <v>1450</v>
      </c>
    </row>
    <row r="92" spans="1:32" x14ac:dyDescent="0.3">
      <c r="A92" s="1310" t="s">
        <v>1450</v>
      </c>
      <c r="B92" s="1310" t="s">
        <v>1450</v>
      </c>
      <c r="C92" s="1310" t="s">
        <v>262</v>
      </c>
      <c r="D92" s="1310" t="s">
        <v>1450</v>
      </c>
      <c r="E92" s="1310" t="s">
        <v>1450</v>
      </c>
      <c r="F92" s="1310" t="s">
        <v>1450</v>
      </c>
      <c r="G92" s="1310" t="s">
        <v>1450</v>
      </c>
      <c r="H92" s="1310" t="s">
        <v>1450</v>
      </c>
      <c r="I92" s="1310" t="s">
        <v>1450</v>
      </c>
      <c r="J92" s="1310" t="s">
        <v>1527</v>
      </c>
      <c r="K92" s="1310" t="s">
        <v>1563</v>
      </c>
      <c r="L92" s="1310" t="s">
        <v>1524</v>
      </c>
      <c r="M92" s="1310" t="s">
        <v>1502</v>
      </c>
      <c r="N92" s="1310" t="s">
        <v>1450</v>
      </c>
      <c r="O92" s="1310" t="s">
        <v>1450</v>
      </c>
      <c r="P92" s="1310" t="s">
        <v>1450</v>
      </c>
      <c r="Q92" s="1310" t="s">
        <v>264</v>
      </c>
      <c r="R92" s="1310" t="s">
        <v>1450</v>
      </c>
      <c r="S92" s="1310" t="s">
        <v>1450</v>
      </c>
      <c r="T92" s="1310" t="s">
        <v>1450</v>
      </c>
      <c r="U92" s="1310" t="s">
        <v>1450</v>
      </c>
      <c r="V92" s="1310" t="s">
        <v>1527</v>
      </c>
      <c r="W92" s="1310" t="s">
        <v>1473</v>
      </c>
      <c r="X92" s="1310" t="s">
        <v>1476</v>
      </c>
      <c r="Y92" s="1310" t="s">
        <v>1476</v>
      </c>
      <c r="Z92" s="1310" t="s">
        <v>1473</v>
      </c>
      <c r="AA92" s="1310" t="s">
        <v>1474</v>
      </c>
      <c r="AB92" s="1310" t="s">
        <v>1542</v>
      </c>
      <c r="AC92" s="1310" t="s">
        <v>1455</v>
      </c>
      <c r="AD92" s="1310" t="s">
        <v>1497</v>
      </c>
      <c r="AE92" s="1310" t="s">
        <v>1474</v>
      </c>
      <c r="AF92" s="1310" t="s">
        <v>1656</v>
      </c>
    </row>
    <row r="93" spans="1:32" x14ac:dyDescent="0.3">
      <c r="A93" s="1310" t="s">
        <v>1450</v>
      </c>
      <c r="B93" s="1310" t="s">
        <v>1450</v>
      </c>
      <c r="C93" s="1310" t="s">
        <v>1450</v>
      </c>
      <c r="D93" s="1310" t="s">
        <v>1450</v>
      </c>
      <c r="E93" s="1310" t="s">
        <v>1450</v>
      </c>
      <c r="F93" s="1310" t="s">
        <v>1450</v>
      </c>
      <c r="G93" s="1310" t="s">
        <v>1450</v>
      </c>
      <c r="H93" s="1310" t="s">
        <v>1450</v>
      </c>
      <c r="I93" s="1310" t="s">
        <v>1450</v>
      </c>
      <c r="J93" s="1310" t="s">
        <v>1563</v>
      </c>
      <c r="K93" s="1310" t="s">
        <v>1460</v>
      </c>
      <c r="L93" s="1310" t="s">
        <v>1484</v>
      </c>
      <c r="M93" s="1310" t="s">
        <v>1476</v>
      </c>
      <c r="N93" s="1310" t="s">
        <v>1473</v>
      </c>
      <c r="O93" s="1310" t="s">
        <v>1474</v>
      </c>
      <c r="P93" s="1310" t="s">
        <v>1542</v>
      </c>
      <c r="Q93" s="1310" t="s">
        <v>1455</v>
      </c>
      <c r="R93" s="1310" t="s">
        <v>1497</v>
      </c>
      <c r="S93" s="1310" t="s">
        <v>1474</v>
      </c>
      <c r="T93" s="1310" t="s">
        <v>1656</v>
      </c>
      <c r="U93" s="1310" t="s">
        <v>1450</v>
      </c>
      <c r="V93" s="1310" t="s">
        <v>1450</v>
      </c>
      <c r="W93" s="1310" t="s">
        <v>1450</v>
      </c>
      <c r="X93" s="1310" t="s">
        <v>1450</v>
      </c>
      <c r="Y93" s="1310" t="s">
        <v>1450</v>
      </c>
      <c r="Z93" s="1310" t="s">
        <v>1450</v>
      </c>
      <c r="AA93" s="1310" t="s">
        <v>1450</v>
      </c>
      <c r="AB93" s="1310" t="s">
        <v>1450</v>
      </c>
      <c r="AC93" s="1310" t="s">
        <v>1450</v>
      </c>
      <c r="AD93" s="1310" t="s">
        <v>1524</v>
      </c>
      <c r="AE93" s="1310" t="s">
        <v>1482</v>
      </c>
      <c r="AF93" s="1310" t="s">
        <v>1476</v>
      </c>
    </row>
    <row r="94" spans="1:32" x14ac:dyDescent="0.3">
      <c r="A94" s="1310" t="s">
        <v>1476</v>
      </c>
      <c r="B94" s="1310" t="s">
        <v>1473</v>
      </c>
      <c r="C94" s="1310" t="s">
        <v>1474</v>
      </c>
      <c r="D94" s="1310" t="s">
        <v>1542</v>
      </c>
      <c r="E94" s="1310" t="s">
        <v>1455</v>
      </c>
      <c r="F94" s="1310" t="s">
        <v>1497</v>
      </c>
      <c r="G94" s="1310" t="s">
        <v>1474</v>
      </c>
      <c r="H94" s="1310" t="s">
        <v>1656</v>
      </c>
      <c r="I94" s="1310" t="s">
        <v>1450</v>
      </c>
      <c r="J94" s="1310" t="s">
        <v>1450</v>
      </c>
      <c r="K94" s="1310" t="s">
        <v>1450</v>
      </c>
      <c r="L94" s="1310" t="s">
        <v>1450</v>
      </c>
      <c r="M94" s="1310" t="s">
        <v>1450</v>
      </c>
      <c r="N94" s="1310" t="s">
        <v>1450</v>
      </c>
      <c r="O94" s="1310" t="s">
        <v>1450</v>
      </c>
      <c r="P94" s="1310" t="s">
        <v>1450</v>
      </c>
      <c r="Q94" s="1310" t="s">
        <v>1450</v>
      </c>
      <c r="R94" s="1310" t="s">
        <v>1524</v>
      </c>
      <c r="S94" s="1310" t="s">
        <v>1460</v>
      </c>
      <c r="T94" s="1310" t="s">
        <v>1473</v>
      </c>
      <c r="U94" s="1310" t="s">
        <v>1538</v>
      </c>
      <c r="V94" s="1310" t="s">
        <v>1541</v>
      </c>
      <c r="W94" s="1310" t="s">
        <v>1484</v>
      </c>
      <c r="X94" s="1310" t="s">
        <v>1479</v>
      </c>
      <c r="Y94" s="1310" t="s">
        <v>1543</v>
      </c>
      <c r="Z94" s="1310" t="s">
        <v>1525</v>
      </c>
      <c r="AA94" s="1310" t="s">
        <v>1527</v>
      </c>
      <c r="AB94" s="1310" t="s">
        <v>1482</v>
      </c>
      <c r="AC94" s="1310" t="s">
        <v>1479</v>
      </c>
      <c r="AD94" s="1310" t="s">
        <v>1450</v>
      </c>
      <c r="AE94" s="1310" t="s">
        <v>1450</v>
      </c>
      <c r="AF94" s="1310" t="s">
        <v>1450</v>
      </c>
    </row>
    <row r="95" spans="1:32" x14ac:dyDescent="0.3">
      <c r="A95" s="1310" t="s">
        <v>1450</v>
      </c>
      <c r="B95" s="1310" t="s">
        <v>1450</v>
      </c>
      <c r="C95" s="1310" t="s">
        <v>1450</v>
      </c>
      <c r="D95" s="1310" t="s">
        <v>1450</v>
      </c>
      <c r="E95" s="1310" t="s">
        <v>1450</v>
      </c>
      <c r="F95" s="1310" t="s">
        <v>1450</v>
      </c>
      <c r="G95" s="1310" t="s">
        <v>1450</v>
      </c>
      <c r="H95" s="1310" t="s">
        <v>1450</v>
      </c>
      <c r="I95" s="1310" t="s">
        <v>1450</v>
      </c>
      <c r="J95" s="1310" t="s">
        <v>1524</v>
      </c>
      <c r="K95" s="1310" t="s">
        <v>1482</v>
      </c>
      <c r="L95" s="1310" t="s">
        <v>1473</v>
      </c>
      <c r="M95" s="1310" t="s">
        <v>1476</v>
      </c>
      <c r="N95" s="1310" t="s">
        <v>1541</v>
      </c>
      <c r="O95" s="1310" t="s">
        <v>1484</v>
      </c>
      <c r="P95" s="1310" t="s">
        <v>1479</v>
      </c>
      <c r="Q95" s="1310" t="s">
        <v>1543</v>
      </c>
      <c r="R95" s="1310" t="s">
        <v>1525</v>
      </c>
      <c r="S95" s="1310" t="s">
        <v>1527</v>
      </c>
      <c r="T95" s="1310" t="s">
        <v>1482</v>
      </c>
      <c r="U95" s="1310" t="s">
        <v>1479</v>
      </c>
      <c r="V95" s="1310" t="s">
        <v>1450</v>
      </c>
      <c r="W95" s="1310" t="s">
        <v>1450</v>
      </c>
      <c r="X95" s="1310" t="s">
        <v>1450</v>
      </c>
      <c r="Y95" s="1310" t="s">
        <v>1450</v>
      </c>
      <c r="Z95" s="1310" t="s">
        <v>1450</v>
      </c>
      <c r="AA95" s="1310" t="s">
        <v>1450</v>
      </c>
      <c r="AB95" s="1310" t="s">
        <v>1450</v>
      </c>
      <c r="AC95" s="1310" t="s">
        <v>1450</v>
      </c>
      <c r="AD95" s="1310" t="s">
        <v>1450</v>
      </c>
      <c r="AE95" s="1310" t="s">
        <v>1450</v>
      </c>
      <c r="AF95" s="1310" t="s">
        <v>1450</v>
      </c>
    </row>
    <row r="96" spans="1:32" x14ac:dyDescent="0.3">
      <c r="A96" s="1310" t="s">
        <v>1450</v>
      </c>
      <c r="B96" s="1310" t="s">
        <v>1527</v>
      </c>
      <c r="C96" s="1310" t="s">
        <v>1480</v>
      </c>
      <c r="D96" s="1310" t="s">
        <v>1482</v>
      </c>
      <c r="E96" s="1310" t="s">
        <v>1479</v>
      </c>
      <c r="F96" s="1310" t="s">
        <v>1541</v>
      </c>
      <c r="G96" s="1310" t="s">
        <v>1484</v>
      </c>
      <c r="H96" s="1310" t="s">
        <v>1479</v>
      </c>
      <c r="I96" s="1310" t="s">
        <v>1543</v>
      </c>
      <c r="J96" s="1310" t="s">
        <v>1525</v>
      </c>
      <c r="K96" s="1310" t="s">
        <v>1477</v>
      </c>
      <c r="L96" s="1310" t="s">
        <v>1447</v>
      </c>
      <c r="M96" s="1310" t="s">
        <v>1482</v>
      </c>
      <c r="N96" s="1310" t="s">
        <v>1497</v>
      </c>
      <c r="O96" s="1310" t="s">
        <v>1527</v>
      </c>
      <c r="P96" s="1310" t="s">
        <v>1450</v>
      </c>
      <c r="Q96" s="1310" t="s">
        <v>1450</v>
      </c>
      <c r="R96" s="1310" t="s">
        <v>1450</v>
      </c>
      <c r="S96" s="1310" t="s">
        <v>1450</v>
      </c>
      <c r="T96" s="1310" t="s">
        <v>1450</v>
      </c>
      <c r="U96" s="1310" t="s">
        <v>1450</v>
      </c>
      <c r="V96" s="1310" t="s">
        <v>1450</v>
      </c>
      <c r="W96" s="1310" t="s">
        <v>1450</v>
      </c>
      <c r="X96" s="1310" t="s">
        <v>1450</v>
      </c>
      <c r="Y96" s="1310" t="s">
        <v>1467</v>
      </c>
      <c r="Z96" s="1310" t="s">
        <v>1554</v>
      </c>
      <c r="AA96" s="1310" t="s">
        <v>1475</v>
      </c>
      <c r="AB96" s="1310" t="s">
        <v>1532</v>
      </c>
      <c r="AC96" s="1310" t="s">
        <v>1479</v>
      </c>
      <c r="AD96" s="1310" t="s">
        <v>1474</v>
      </c>
      <c r="AE96" s="1310" t="s">
        <v>1460</v>
      </c>
      <c r="AF96" s="1310" t="s">
        <v>1536</v>
      </c>
    </row>
    <row r="97" spans="1:32" x14ac:dyDescent="0.3">
      <c r="A97" s="1310" t="s">
        <v>1520</v>
      </c>
      <c r="B97" s="1310" t="s">
        <v>1479</v>
      </c>
      <c r="C97" s="1310" t="s">
        <v>1520</v>
      </c>
      <c r="D97" s="1310" t="s">
        <v>1455</v>
      </c>
      <c r="E97" s="1310" t="s">
        <v>1474</v>
      </c>
      <c r="F97" s="1310" t="s">
        <v>1474</v>
      </c>
      <c r="G97" s="1310" t="s">
        <v>1482</v>
      </c>
      <c r="H97" s="1310" t="s">
        <v>262</v>
      </c>
      <c r="I97" s="1310" t="s">
        <v>1450</v>
      </c>
      <c r="J97" s="1310" t="s">
        <v>1450</v>
      </c>
      <c r="K97" s="1310" t="s">
        <v>1450</v>
      </c>
      <c r="L97" s="1310" t="s">
        <v>1450</v>
      </c>
      <c r="M97" s="1310" t="s">
        <v>1477</v>
      </c>
      <c r="N97" s="1310" t="s">
        <v>1564</v>
      </c>
      <c r="O97" s="1310" t="s">
        <v>1477</v>
      </c>
      <c r="P97" s="1310" t="s">
        <v>1480</v>
      </c>
      <c r="Q97" s="1310" t="s">
        <v>1475</v>
      </c>
      <c r="R97" s="1310" t="s">
        <v>1484</v>
      </c>
      <c r="S97" s="1310" t="s">
        <v>1542</v>
      </c>
      <c r="T97" s="1310" t="s">
        <v>1483</v>
      </c>
      <c r="U97" s="1310" t="s">
        <v>1450</v>
      </c>
      <c r="V97" s="1310" t="s">
        <v>1450</v>
      </c>
      <c r="W97" s="1310" t="s">
        <v>1450</v>
      </c>
      <c r="X97" s="1310" t="s">
        <v>1450</v>
      </c>
      <c r="Y97" s="1310" t="s">
        <v>1477</v>
      </c>
      <c r="Z97" s="1310" t="s">
        <v>1564</v>
      </c>
      <c r="AA97" s="1310" t="s">
        <v>1477</v>
      </c>
      <c r="AB97" s="1310" t="s">
        <v>1480</v>
      </c>
      <c r="AC97" s="1310" t="s">
        <v>1450</v>
      </c>
      <c r="AD97" s="1310" t="s">
        <v>1450</v>
      </c>
      <c r="AE97" s="1310" t="s">
        <v>1450</v>
      </c>
      <c r="AF97" s="1310" t="s">
        <v>1450</v>
      </c>
    </row>
    <row r="98" spans="1:32" x14ac:dyDescent="0.3">
      <c r="A98" s="1310" t="s">
        <v>1477</v>
      </c>
      <c r="B98" s="1310" t="s">
        <v>1564</v>
      </c>
      <c r="C98" s="1310" t="s">
        <v>1477</v>
      </c>
      <c r="D98" s="1310" t="s">
        <v>1502</v>
      </c>
      <c r="E98" s="1310" t="s">
        <v>1450</v>
      </c>
      <c r="F98" s="1310" t="s">
        <v>1450</v>
      </c>
      <c r="G98" s="1310" t="s">
        <v>1450</v>
      </c>
      <c r="H98" s="1310" t="s">
        <v>1450</v>
      </c>
      <c r="I98" s="1310" t="s">
        <v>1651</v>
      </c>
      <c r="J98" s="1310" t="s">
        <v>1475</v>
      </c>
      <c r="K98" s="1310" t="s">
        <v>1449</v>
      </c>
      <c r="L98" s="1310" t="s">
        <v>1479</v>
      </c>
      <c r="M98" s="1310" t="s">
        <v>1541</v>
      </c>
      <c r="N98" s="1310" t="s">
        <v>1484</v>
      </c>
      <c r="O98" s="1310" t="s">
        <v>1479</v>
      </c>
      <c r="P98" s="1310" t="s">
        <v>1543</v>
      </c>
      <c r="Q98" s="1310" t="s">
        <v>1525</v>
      </c>
      <c r="R98" s="1310" t="s">
        <v>1527</v>
      </c>
      <c r="S98" s="1310" t="s">
        <v>1482</v>
      </c>
      <c r="T98" s="1310" t="s">
        <v>1479</v>
      </c>
      <c r="U98" s="1310" t="s">
        <v>1450</v>
      </c>
      <c r="V98" s="1310" t="s">
        <v>1450</v>
      </c>
      <c r="W98" s="1310" t="s">
        <v>1450</v>
      </c>
      <c r="X98" s="1310" t="s">
        <v>1450</v>
      </c>
      <c r="Y98" s="1310" t="s">
        <v>1450</v>
      </c>
      <c r="Z98" s="1310" t="s">
        <v>1450</v>
      </c>
      <c r="AA98" s="1310" t="s">
        <v>1450</v>
      </c>
      <c r="AB98" s="1310" t="s">
        <v>1450</v>
      </c>
      <c r="AC98" s="1310" t="s">
        <v>1450</v>
      </c>
      <c r="AD98" s="1310" t="s">
        <v>1450</v>
      </c>
      <c r="AE98" s="1310" t="s">
        <v>1450</v>
      </c>
      <c r="AF98" s="1310" t="s">
        <v>1450</v>
      </c>
    </row>
    <row r="99" spans="1:32" x14ac:dyDescent="0.3">
      <c r="A99" s="1310" t="s">
        <v>1538</v>
      </c>
      <c r="B99" s="1310" t="s">
        <v>1474</v>
      </c>
      <c r="C99" s="1310" t="s">
        <v>1481</v>
      </c>
      <c r="D99" s="1310" t="s">
        <v>1476</v>
      </c>
      <c r="E99" s="1310" t="s">
        <v>1541</v>
      </c>
      <c r="F99" s="1310" t="s">
        <v>1484</v>
      </c>
      <c r="G99" s="1310" t="s">
        <v>1479</v>
      </c>
      <c r="H99" s="1310" t="s">
        <v>1543</v>
      </c>
      <c r="I99" s="1310" t="s">
        <v>1525</v>
      </c>
      <c r="J99" s="1310" t="s">
        <v>1527</v>
      </c>
      <c r="K99" s="1310" t="s">
        <v>1482</v>
      </c>
      <c r="L99" s="1310" t="s">
        <v>1479</v>
      </c>
      <c r="M99" s="1310" t="s">
        <v>1450</v>
      </c>
      <c r="N99" s="1310" t="s">
        <v>1450</v>
      </c>
      <c r="O99" s="1310" t="s">
        <v>1450</v>
      </c>
      <c r="P99" s="1310" t="s">
        <v>1450</v>
      </c>
      <c r="Q99" s="1310" t="s">
        <v>1450</v>
      </c>
      <c r="R99" s="1310" t="s">
        <v>1450</v>
      </c>
      <c r="S99" s="1310" t="s">
        <v>1450</v>
      </c>
      <c r="T99" s="1310" t="s">
        <v>1450</v>
      </c>
      <c r="U99" s="1310" t="s">
        <v>1450</v>
      </c>
      <c r="V99" s="1310" t="s">
        <v>1450</v>
      </c>
      <c r="W99" s="1310" t="s">
        <v>1450</v>
      </c>
      <c r="X99" s="1310" t="s">
        <v>1450</v>
      </c>
      <c r="Y99" s="1310" t="s">
        <v>1530</v>
      </c>
      <c r="Z99" s="1310" t="s">
        <v>1532</v>
      </c>
      <c r="AA99" s="1310" t="s">
        <v>1482</v>
      </c>
      <c r="AB99" s="1310" t="s">
        <v>1476</v>
      </c>
      <c r="AC99" s="1310" t="s">
        <v>1541</v>
      </c>
      <c r="AD99" s="1310" t="s">
        <v>1484</v>
      </c>
      <c r="AE99" s="1310" t="s">
        <v>1479</v>
      </c>
      <c r="AF99" s="1310" t="s">
        <v>1543</v>
      </c>
    </row>
    <row r="100" spans="1:32" x14ac:dyDescent="0.3">
      <c r="A100" s="1310" t="s">
        <v>1525</v>
      </c>
      <c r="B100" s="1310" t="s">
        <v>1477</v>
      </c>
      <c r="C100" s="1310" t="s">
        <v>1460</v>
      </c>
      <c r="D100" s="1310" t="s">
        <v>1532</v>
      </c>
      <c r="E100" s="1310" t="s">
        <v>1497</v>
      </c>
      <c r="F100" s="1310" t="s">
        <v>1599</v>
      </c>
      <c r="G100" s="1310" t="s">
        <v>1450</v>
      </c>
      <c r="H100" s="1310" t="s">
        <v>1450</v>
      </c>
      <c r="I100" s="1310" t="s">
        <v>1450</v>
      </c>
      <c r="J100" s="1310" t="s">
        <v>1450</v>
      </c>
      <c r="K100" s="1310" t="s">
        <v>1450</v>
      </c>
      <c r="L100" s="1310" t="s">
        <v>1450</v>
      </c>
      <c r="M100" s="1310" t="s">
        <v>1450</v>
      </c>
      <c r="N100" s="1310" t="s">
        <v>1450</v>
      </c>
      <c r="O100" s="1310" t="s">
        <v>1450</v>
      </c>
      <c r="P100" s="1310" t="s">
        <v>1471</v>
      </c>
      <c r="Q100" s="1310" t="s">
        <v>1532</v>
      </c>
      <c r="R100" s="1310" t="s">
        <v>1460</v>
      </c>
      <c r="S100" s="1310" t="s">
        <v>1474</v>
      </c>
      <c r="T100" s="1310" t="s">
        <v>1481</v>
      </c>
      <c r="U100" s="1310" t="s">
        <v>1488</v>
      </c>
      <c r="V100" s="1310" t="s">
        <v>1478</v>
      </c>
      <c r="W100" s="1310" t="s">
        <v>1475</v>
      </c>
      <c r="X100" s="1310" t="s">
        <v>1484</v>
      </c>
      <c r="Y100" s="1310" t="s">
        <v>1477</v>
      </c>
      <c r="Z100" s="1310" t="s">
        <v>1460</v>
      </c>
      <c r="AA100" s="1310" t="s">
        <v>1448</v>
      </c>
      <c r="AB100" s="1310" t="s">
        <v>1484</v>
      </c>
      <c r="AC100" s="1310" t="s">
        <v>1479</v>
      </c>
      <c r="AD100" s="1310" t="s">
        <v>1448</v>
      </c>
      <c r="AE100" s="1310" t="s">
        <v>1484</v>
      </c>
      <c r="AF100" s="1310" t="s">
        <v>1564</v>
      </c>
    </row>
    <row r="101" spans="1:32" x14ac:dyDescent="0.3">
      <c r="A101" s="1310" t="s">
        <v>1455</v>
      </c>
      <c r="B101" s="1310" t="s">
        <v>1474</v>
      </c>
      <c r="C101" s="1310" t="s">
        <v>1474</v>
      </c>
      <c r="D101" s="1310" t="s">
        <v>1482</v>
      </c>
      <c r="E101" s="1310" t="s">
        <v>1450</v>
      </c>
      <c r="F101" s="1310" t="s">
        <v>1450</v>
      </c>
      <c r="G101" s="1310" t="s">
        <v>1450</v>
      </c>
      <c r="H101" s="1310" t="s">
        <v>1450</v>
      </c>
      <c r="I101" s="1310" t="s">
        <v>1504</v>
      </c>
      <c r="J101" s="1310" t="s">
        <v>1532</v>
      </c>
      <c r="K101" s="1310" t="s">
        <v>1460</v>
      </c>
      <c r="L101" s="1310" t="s">
        <v>1474</v>
      </c>
      <c r="M101" s="1310" t="s">
        <v>1481</v>
      </c>
      <c r="N101" s="1310" t="s">
        <v>1527</v>
      </c>
      <c r="O101" s="1310" t="s">
        <v>1475</v>
      </c>
      <c r="P101" s="1310" t="s">
        <v>1532</v>
      </c>
      <c r="Q101" s="1310" t="s">
        <v>1479</v>
      </c>
      <c r="R101" s="1310" t="s">
        <v>1524</v>
      </c>
      <c r="S101" s="1310" t="s">
        <v>1474</v>
      </c>
      <c r="T101" s="1310" t="s">
        <v>1479</v>
      </c>
      <c r="U101" s="1310" t="s">
        <v>1479</v>
      </c>
      <c r="V101" s="1310" t="s">
        <v>1474</v>
      </c>
      <c r="W101" s="1310" t="s">
        <v>1483</v>
      </c>
      <c r="X101" s="1310" t="s">
        <v>1482</v>
      </c>
      <c r="Y101" s="1310" t="s">
        <v>1474</v>
      </c>
      <c r="Z101" s="1310" t="s">
        <v>1484</v>
      </c>
      <c r="AA101" s="1310" t="s">
        <v>1564</v>
      </c>
      <c r="AB101" s="1310" t="s">
        <v>1450</v>
      </c>
      <c r="AC101" s="1310" t="s">
        <v>1450</v>
      </c>
      <c r="AD101" s="1310" t="s">
        <v>1450</v>
      </c>
      <c r="AE101" s="1310" t="s">
        <v>1450</v>
      </c>
      <c r="AF101" s="1310" t="s">
        <v>1450</v>
      </c>
    </row>
    <row r="102" spans="1:32" x14ac:dyDescent="0.3">
      <c r="A102" s="1310" t="s">
        <v>1450</v>
      </c>
      <c r="B102" s="1310" t="s">
        <v>1450</v>
      </c>
      <c r="C102" s="1310" t="s">
        <v>1500</v>
      </c>
      <c r="D102" s="1310" t="s">
        <v>1532</v>
      </c>
      <c r="E102" s="1310" t="s">
        <v>1460</v>
      </c>
      <c r="F102" s="1310" t="s">
        <v>1474</v>
      </c>
      <c r="G102" s="1310" t="s">
        <v>1481</v>
      </c>
      <c r="H102" s="1310" t="s">
        <v>1527</v>
      </c>
      <c r="I102" s="1310" t="s">
        <v>1475</v>
      </c>
      <c r="J102" s="1310" t="s">
        <v>1532</v>
      </c>
      <c r="K102" s="1310" t="s">
        <v>1479</v>
      </c>
      <c r="L102" s="1310" t="s">
        <v>1651</v>
      </c>
      <c r="M102" s="1310" t="s">
        <v>1475</v>
      </c>
      <c r="N102" s="1310" t="s">
        <v>1449</v>
      </c>
      <c r="O102" s="1310" t="s">
        <v>1479</v>
      </c>
      <c r="P102" s="1310" t="s">
        <v>1482</v>
      </c>
      <c r="Q102" s="1310" t="s">
        <v>1474</v>
      </c>
      <c r="R102" s="1310" t="s">
        <v>1484</v>
      </c>
      <c r="S102" s="1310" t="s">
        <v>1564</v>
      </c>
      <c r="T102" s="1310" t="s">
        <v>1450</v>
      </c>
      <c r="U102" s="1310" t="s">
        <v>1450</v>
      </c>
      <c r="V102" s="1310" t="s">
        <v>1450</v>
      </c>
      <c r="W102" s="1310" t="s">
        <v>1450</v>
      </c>
      <c r="X102" s="1310" t="s">
        <v>1450</v>
      </c>
      <c r="Y102" s="1310" t="s">
        <v>1450</v>
      </c>
      <c r="Z102" s="1310" t="s">
        <v>1450</v>
      </c>
      <c r="AA102" s="1310" t="s">
        <v>1513</v>
      </c>
      <c r="AB102" s="1310" t="s">
        <v>1532</v>
      </c>
      <c r="AC102" s="1310" t="s">
        <v>1460</v>
      </c>
      <c r="AD102" s="1310" t="s">
        <v>1474</v>
      </c>
      <c r="AE102" s="1310" t="s">
        <v>1481</v>
      </c>
      <c r="AF102" s="1310" t="s">
        <v>1527</v>
      </c>
    </row>
    <row r="103" spans="1:32" x14ac:dyDescent="0.3">
      <c r="A103" s="1310" t="s">
        <v>1475</v>
      </c>
      <c r="B103" s="1310" t="s">
        <v>1532</v>
      </c>
      <c r="C103" s="1310" t="s">
        <v>1479</v>
      </c>
      <c r="D103" s="1310" t="s">
        <v>1527</v>
      </c>
      <c r="E103" s="1310" t="s">
        <v>1448</v>
      </c>
      <c r="F103" s="1310" t="s">
        <v>1564</v>
      </c>
      <c r="G103" s="1310" t="s">
        <v>1478</v>
      </c>
      <c r="H103" s="1310" t="s">
        <v>1479</v>
      </c>
      <c r="I103" s="1310" t="s">
        <v>1482</v>
      </c>
      <c r="J103" s="1310" t="s">
        <v>1474</v>
      </c>
      <c r="K103" s="1310" t="s">
        <v>1484</v>
      </c>
      <c r="L103" s="1310" t="s">
        <v>1564</v>
      </c>
      <c r="M103" s="1310" t="s">
        <v>1450</v>
      </c>
      <c r="N103" s="1310" t="s">
        <v>1450</v>
      </c>
      <c r="O103" s="1310" t="s">
        <v>1450</v>
      </c>
      <c r="P103" s="1310" t="s">
        <v>1450</v>
      </c>
      <c r="Q103" s="1310" t="s">
        <v>1450</v>
      </c>
      <c r="R103" s="1310" t="s">
        <v>1450</v>
      </c>
      <c r="S103" s="1310" t="s">
        <v>1450</v>
      </c>
      <c r="T103" s="1310" t="s">
        <v>1508</v>
      </c>
      <c r="U103" s="1310" t="s">
        <v>1532</v>
      </c>
      <c r="V103" s="1310" t="s">
        <v>1460</v>
      </c>
      <c r="W103" s="1310" t="s">
        <v>1474</v>
      </c>
      <c r="X103" s="1310" t="s">
        <v>1481</v>
      </c>
      <c r="Y103" s="1310" t="s">
        <v>1527</v>
      </c>
      <c r="Z103" s="1310" t="s">
        <v>1475</v>
      </c>
      <c r="AA103" s="1310" t="s">
        <v>1532</v>
      </c>
      <c r="AB103" s="1310" t="s">
        <v>1479</v>
      </c>
      <c r="AC103" s="1310" t="s">
        <v>1538</v>
      </c>
      <c r="AD103" s="1310" t="s">
        <v>1474</v>
      </c>
      <c r="AE103" s="1310" t="s">
        <v>1481</v>
      </c>
      <c r="AF103" s="1310" t="s">
        <v>1482</v>
      </c>
    </row>
    <row r="104" spans="1:32" x14ac:dyDescent="0.3">
      <c r="A104" s="1310" t="s">
        <v>1474</v>
      </c>
      <c r="B104" s="1310" t="s">
        <v>1484</v>
      </c>
      <c r="C104" s="1310" t="s">
        <v>1564</v>
      </c>
      <c r="D104" s="1310" t="s">
        <v>1450</v>
      </c>
      <c r="E104" s="1310" t="s">
        <v>1450</v>
      </c>
      <c r="F104" s="1310" t="s">
        <v>1450</v>
      </c>
      <c r="G104" s="1310" t="s">
        <v>1450</v>
      </c>
      <c r="H104" s="1310" t="s">
        <v>1450</v>
      </c>
      <c r="I104" s="1310" t="s">
        <v>1574</v>
      </c>
      <c r="J104" s="1310" t="s">
        <v>1524</v>
      </c>
      <c r="K104" s="1310" t="s">
        <v>1573</v>
      </c>
      <c r="L104" s="1310" t="s">
        <v>1451</v>
      </c>
      <c r="M104" s="1310" t="s">
        <v>264</v>
      </c>
      <c r="N104" s="1310" t="s">
        <v>1499</v>
      </c>
      <c r="O104" s="1310" t="s">
        <v>1450</v>
      </c>
      <c r="P104" s="1310" t="s">
        <v>1450</v>
      </c>
      <c r="Q104" s="1310" t="s">
        <v>1450</v>
      </c>
      <c r="R104" s="1310" t="s">
        <v>1450</v>
      </c>
      <c r="S104" s="1310" t="s">
        <v>1450</v>
      </c>
      <c r="T104" s="1310" t="s">
        <v>1471</v>
      </c>
      <c r="U104" s="1310" t="s">
        <v>1450</v>
      </c>
      <c r="V104" s="1310" t="s">
        <v>1498</v>
      </c>
      <c r="W104" s="1310" t="s">
        <v>1450</v>
      </c>
      <c r="X104" s="1310" t="s">
        <v>1450</v>
      </c>
      <c r="Y104" s="1310" t="s">
        <v>1450</v>
      </c>
      <c r="Z104" s="1310" t="s">
        <v>262</v>
      </c>
      <c r="AA104" s="1310" t="s">
        <v>1450</v>
      </c>
      <c r="AB104" s="1310" t="s">
        <v>263</v>
      </c>
      <c r="AC104" s="1310" t="s">
        <v>1450</v>
      </c>
      <c r="AD104" s="1310" t="s">
        <v>1498</v>
      </c>
      <c r="AE104" s="1310" t="s">
        <v>1450</v>
      </c>
      <c r="AF104" s="1310" t="s">
        <v>1450</v>
      </c>
    </row>
    <row r="105" spans="1:32" x14ac:dyDescent="0.3">
      <c r="A105" s="1310" t="s">
        <v>1450</v>
      </c>
      <c r="B105" s="1310" t="s">
        <v>262</v>
      </c>
      <c r="C105" s="1310" t="s">
        <v>1450</v>
      </c>
      <c r="D105" s="1310" t="s">
        <v>263</v>
      </c>
      <c r="E105" s="1310" t="s">
        <v>1574</v>
      </c>
      <c r="F105" s="1310" t="s">
        <v>1524</v>
      </c>
      <c r="G105" s="1310" t="s">
        <v>1573</v>
      </c>
      <c r="H105" s="1310" t="s">
        <v>1451</v>
      </c>
      <c r="I105" s="1310" t="s">
        <v>265</v>
      </c>
      <c r="J105" s="1310" t="s">
        <v>1535</v>
      </c>
      <c r="K105" s="1310" t="s">
        <v>1450</v>
      </c>
      <c r="L105" s="1310" t="s">
        <v>1450</v>
      </c>
      <c r="M105" s="1310" t="s">
        <v>1450</v>
      </c>
      <c r="N105" s="1310" t="s">
        <v>1450</v>
      </c>
      <c r="O105" s="1310" t="s">
        <v>1450</v>
      </c>
      <c r="P105" s="1310" t="s">
        <v>1504</v>
      </c>
      <c r="Q105" s="1310" t="s">
        <v>1450</v>
      </c>
      <c r="R105" s="1310" t="s">
        <v>1450</v>
      </c>
      <c r="S105" s="1310" t="s">
        <v>1450</v>
      </c>
      <c r="T105" s="1310" t="s">
        <v>1450</v>
      </c>
      <c r="U105" s="1310" t="s">
        <v>1450</v>
      </c>
      <c r="V105" s="1310" t="s">
        <v>1450</v>
      </c>
      <c r="W105" s="1310" t="s">
        <v>1450</v>
      </c>
      <c r="X105" s="1310" t="s">
        <v>1450</v>
      </c>
      <c r="Y105" s="1310" t="s">
        <v>1450</v>
      </c>
      <c r="Z105" s="1310" t="s">
        <v>1450</v>
      </c>
      <c r="AA105" s="1310" t="s">
        <v>1517</v>
      </c>
      <c r="AB105" s="1310" t="s">
        <v>1469</v>
      </c>
      <c r="AC105" s="1310" t="s">
        <v>1450</v>
      </c>
      <c r="AD105" s="1310" t="s">
        <v>1450</v>
      </c>
      <c r="AE105" s="1310" t="s">
        <v>1574</v>
      </c>
      <c r="AF105" s="1310" t="s">
        <v>1524</v>
      </c>
    </row>
    <row r="106" spans="1:32" x14ac:dyDescent="0.3">
      <c r="A106" s="1310" t="s">
        <v>1573</v>
      </c>
      <c r="B106" s="1310" t="s">
        <v>1451</v>
      </c>
      <c r="C106" s="1310" t="s">
        <v>265</v>
      </c>
      <c r="D106" s="1310" t="s">
        <v>1513</v>
      </c>
      <c r="E106" s="1310" t="s">
        <v>1450</v>
      </c>
      <c r="F106" s="1310" t="s">
        <v>1450</v>
      </c>
      <c r="G106" s="1310" t="s">
        <v>1450</v>
      </c>
      <c r="H106" s="1310" t="s">
        <v>1450</v>
      </c>
      <c r="I106" s="1310" t="s">
        <v>1450</v>
      </c>
      <c r="J106" s="1310" t="s">
        <v>265</v>
      </c>
      <c r="K106" s="1310" t="s">
        <v>1450</v>
      </c>
      <c r="L106" s="1310" t="s">
        <v>1450</v>
      </c>
      <c r="M106" s="1310" t="s">
        <v>1450</v>
      </c>
      <c r="N106" s="1310" t="s">
        <v>1613</v>
      </c>
      <c r="O106" s="1310" t="s">
        <v>1574</v>
      </c>
      <c r="P106" s="1310" t="s">
        <v>1524</v>
      </c>
      <c r="Q106" s="1310" t="s">
        <v>1573</v>
      </c>
      <c r="R106" s="1310" t="s">
        <v>1451</v>
      </c>
      <c r="S106" s="1310" t="s">
        <v>265</v>
      </c>
      <c r="T106" s="1310" t="s">
        <v>1597</v>
      </c>
      <c r="U106" s="1310" t="s">
        <v>1450</v>
      </c>
      <c r="V106" s="1310" t="s">
        <v>1450</v>
      </c>
      <c r="W106" s="1310" t="s">
        <v>1450</v>
      </c>
      <c r="X106" s="1310" t="s">
        <v>1450</v>
      </c>
      <c r="Y106" s="1310" t="s">
        <v>1450</v>
      </c>
      <c r="Z106" s="1310" t="s">
        <v>265</v>
      </c>
      <c r="AA106" s="1310" t="s">
        <v>1450</v>
      </c>
      <c r="AB106" s="1310" t="s">
        <v>1450</v>
      </c>
      <c r="AC106" s="1310" t="s">
        <v>1450</v>
      </c>
      <c r="AD106" s="1310" t="s">
        <v>1613</v>
      </c>
      <c r="AE106" s="1310" t="s">
        <v>1574</v>
      </c>
      <c r="AF106" s="1310" t="s">
        <v>1524</v>
      </c>
    </row>
    <row r="107" spans="1:32" x14ac:dyDescent="0.3">
      <c r="A107" s="1310" t="s">
        <v>1573</v>
      </c>
      <c r="B107" s="1310" t="s">
        <v>1451</v>
      </c>
      <c r="C107" s="1310" t="s">
        <v>264</v>
      </c>
      <c r="D107" s="1310" t="s">
        <v>132</v>
      </c>
      <c r="E107" s="1310" t="s">
        <v>1450</v>
      </c>
      <c r="F107" s="1310" t="s">
        <v>1450</v>
      </c>
      <c r="G107" s="1310" t="s">
        <v>1450</v>
      </c>
      <c r="H107" s="1310" t="s">
        <v>1450</v>
      </c>
      <c r="I107" s="1310" t="s">
        <v>1450</v>
      </c>
      <c r="J107" s="1310" t="s">
        <v>270</v>
      </c>
      <c r="K107" s="1310" t="s">
        <v>1450</v>
      </c>
      <c r="L107" s="1310" t="s">
        <v>1450</v>
      </c>
      <c r="M107" s="1310" t="s">
        <v>1450</v>
      </c>
      <c r="N107" s="1310" t="s">
        <v>1450</v>
      </c>
      <c r="O107" s="1310" t="s">
        <v>1450</v>
      </c>
      <c r="P107" s="1310" t="s">
        <v>1450</v>
      </c>
      <c r="Q107" s="1310" t="s">
        <v>1450</v>
      </c>
      <c r="R107" s="1310" t="s">
        <v>1450</v>
      </c>
      <c r="S107" s="1310" t="s">
        <v>262</v>
      </c>
      <c r="T107" s="1310" t="s">
        <v>1450</v>
      </c>
      <c r="U107" s="1310" t="s">
        <v>1574</v>
      </c>
      <c r="V107" s="1310" t="s">
        <v>1524</v>
      </c>
      <c r="W107" s="1310" t="s">
        <v>1573</v>
      </c>
      <c r="X107" s="1310" t="s">
        <v>1451</v>
      </c>
      <c r="Y107" s="1310" t="s">
        <v>1470</v>
      </c>
      <c r="Z107" s="1310" t="s">
        <v>1471</v>
      </c>
      <c r="AA107" s="1310" t="s">
        <v>1450</v>
      </c>
      <c r="AB107" s="1310" t="s">
        <v>1450</v>
      </c>
      <c r="AC107" s="1310" t="s">
        <v>1450</v>
      </c>
      <c r="AD107" s="1310" t="s">
        <v>1450</v>
      </c>
      <c r="AE107" s="1310" t="s">
        <v>1450</v>
      </c>
      <c r="AF107" s="1310" t="s">
        <v>1467</v>
      </c>
    </row>
    <row r="108" spans="1:32" x14ac:dyDescent="0.3">
      <c r="A108" s="1310" t="s">
        <v>1450</v>
      </c>
      <c r="B108" s="1310" t="s">
        <v>262</v>
      </c>
      <c r="C108" s="1310" t="s">
        <v>1450</v>
      </c>
      <c r="D108" s="1310" t="s">
        <v>1450</v>
      </c>
      <c r="E108" s="1310" t="s">
        <v>1450</v>
      </c>
      <c r="F108" s="1310" t="s">
        <v>1450</v>
      </c>
      <c r="G108" s="1310" t="s">
        <v>1450</v>
      </c>
      <c r="H108" s="1310" t="s">
        <v>1450</v>
      </c>
      <c r="I108" s="1310" t="s">
        <v>1450</v>
      </c>
      <c r="J108" s="1310" t="s">
        <v>263</v>
      </c>
      <c r="K108" s="1310" t="s">
        <v>1574</v>
      </c>
      <c r="L108" s="1310" t="s">
        <v>1524</v>
      </c>
      <c r="M108" s="1310" t="s">
        <v>1573</v>
      </c>
      <c r="N108" s="1310" t="s">
        <v>1451</v>
      </c>
      <c r="O108" s="1310" t="s">
        <v>264</v>
      </c>
      <c r="P108" s="1310" t="s">
        <v>1552</v>
      </c>
      <c r="Q108" s="1310" t="s">
        <v>1450</v>
      </c>
      <c r="R108" s="1310" t="s">
        <v>1450</v>
      </c>
      <c r="S108" s="1310" t="s">
        <v>1450</v>
      </c>
      <c r="T108" s="1310" t="s">
        <v>1450</v>
      </c>
      <c r="U108" s="1310" t="s">
        <v>1450</v>
      </c>
      <c r="V108" s="1310" t="s">
        <v>1498</v>
      </c>
      <c r="W108" s="1310" t="s">
        <v>1450</v>
      </c>
      <c r="X108" s="1310" t="s">
        <v>1645</v>
      </c>
      <c r="Y108" s="1310" t="s">
        <v>1449</v>
      </c>
      <c r="Z108" s="1310" t="s">
        <v>1449</v>
      </c>
      <c r="AA108" s="1310" t="s">
        <v>1450</v>
      </c>
      <c r="AB108" s="1310" t="s">
        <v>262</v>
      </c>
      <c r="AC108" s="1310" t="s">
        <v>1450</v>
      </c>
      <c r="AD108" s="1310" t="s">
        <v>1482</v>
      </c>
      <c r="AE108" s="1310" t="s">
        <v>1449</v>
      </c>
      <c r="AF108" s="1310" t="s">
        <v>1449</v>
      </c>
    </row>
    <row r="109" spans="1:32" x14ac:dyDescent="0.3">
      <c r="A109" s="1310" t="s">
        <v>1450</v>
      </c>
      <c r="B109" s="1310" t="s">
        <v>268</v>
      </c>
      <c r="C109" s="1310" t="s">
        <v>1450</v>
      </c>
      <c r="D109" s="1310" t="s">
        <v>1450</v>
      </c>
      <c r="E109" s="1310" t="s">
        <v>1450</v>
      </c>
      <c r="F109" s="1310" t="s">
        <v>1450</v>
      </c>
      <c r="G109" s="1310" t="s">
        <v>1450</v>
      </c>
      <c r="H109" s="1310" t="s">
        <v>262</v>
      </c>
      <c r="I109" s="1310" t="s">
        <v>1450</v>
      </c>
      <c r="J109" s="1310" t="s">
        <v>1645</v>
      </c>
      <c r="K109" s="1310" t="s">
        <v>1449</v>
      </c>
      <c r="L109" s="1310" t="s">
        <v>1449</v>
      </c>
      <c r="M109" s="1310" t="s">
        <v>1450</v>
      </c>
      <c r="N109" s="1310" t="s">
        <v>262</v>
      </c>
      <c r="O109" s="1310" t="s">
        <v>1450</v>
      </c>
      <c r="P109" s="1310" t="s">
        <v>110</v>
      </c>
      <c r="Q109" s="1310" t="s">
        <v>1649</v>
      </c>
      <c r="R109" s="1310" t="s">
        <v>1463</v>
      </c>
      <c r="S109" s="1310" t="s">
        <v>1450</v>
      </c>
      <c r="T109" s="1310" t="s">
        <v>268</v>
      </c>
      <c r="U109" s="1310" t="s">
        <v>1450</v>
      </c>
      <c r="V109" s="1310" t="s">
        <v>1450</v>
      </c>
      <c r="W109" s="1310" t="s">
        <v>1450</v>
      </c>
      <c r="X109" s="1310" t="s">
        <v>1450</v>
      </c>
      <c r="Y109" s="1310" t="s">
        <v>1450</v>
      </c>
      <c r="Z109" s="1310" t="s">
        <v>262</v>
      </c>
      <c r="AA109" s="1310" t="s">
        <v>1450</v>
      </c>
      <c r="AB109" s="1310" t="s">
        <v>1461</v>
      </c>
      <c r="AC109" s="1310" t="s">
        <v>1450</v>
      </c>
      <c r="AD109" s="1310" t="s">
        <v>1450</v>
      </c>
      <c r="AE109" s="1310" t="s">
        <v>1450</v>
      </c>
      <c r="AF109" s="1310" t="s">
        <v>262</v>
      </c>
    </row>
    <row r="110" spans="1:32" x14ac:dyDescent="0.3">
      <c r="A110" s="1310" t="s">
        <v>1450</v>
      </c>
      <c r="B110" s="1310" t="s">
        <v>1659</v>
      </c>
      <c r="C110" s="1310" t="s">
        <v>1450</v>
      </c>
      <c r="D110" s="1310" t="s">
        <v>1450</v>
      </c>
      <c r="E110" s="1310" t="s">
        <v>1450</v>
      </c>
      <c r="F110" s="1310" t="s">
        <v>268</v>
      </c>
      <c r="G110" s="1310" t="s">
        <v>1450</v>
      </c>
      <c r="H110" s="1310" t="s">
        <v>1450</v>
      </c>
      <c r="I110" s="1310" t="s">
        <v>1450</v>
      </c>
      <c r="J110" s="1310" t="s">
        <v>1450</v>
      </c>
      <c r="K110" s="1310" t="s">
        <v>1450</v>
      </c>
      <c r="L110" s="1310" t="s">
        <v>262</v>
      </c>
      <c r="M110" s="1310" t="s">
        <v>1450</v>
      </c>
      <c r="N110" s="1310" t="s">
        <v>1492</v>
      </c>
      <c r="O110" s="1310" t="s">
        <v>1450</v>
      </c>
      <c r="P110" s="1310" t="s">
        <v>1450</v>
      </c>
      <c r="Q110" s="1310" t="s">
        <v>1450</v>
      </c>
      <c r="R110" s="1310" t="s">
        <v>262</v>
      </c>
      <c r="S110" s="1310" t="s">
        <v>1450</v>
      </c>
      <c r="T110" s="1310" t="s">
        <v>1654</v>
      </c>
      <c r="U110" s="1310" t="s">
        <v>1450</v>
      </c>
      <c r="V110" s="1310" t="s">
        <v>1450</v>
      </c>
      <c r="W110" s="1310" t="s">
        <v>1450</v>
      </c>
      <c r="X110" s="1310" t="s">
        <v>268</v>
      </c>
      <c r="Y110" s="1310" t="s">
        <v>1450</v>
      </c>
      <c r="Z110" s="1310" t="s">
        <v>1450</v>
      </c>
      <c r="AA110" s="1310" t="s">
        <v>1450</v>
      </c>
      <c r="AB110" s="1310" t="s">
        <v>1450</v>
      </c>
      <c r="AC110" s="1310" t="s">
        <v>1450</v>
      </c>
      <c r="AD110" s="1310" t="s">
        <v>262</v>
      </c>
      <c r="AE110" s="1310" t="s">
        <v>1574</v>
      </c>
      <c r="AF110" s="1310" t="s">
        <v>1524</v>
      </c>
    </row>
    <row r="111" spans="1:32" x14ac:dyDescent="0.3">
      <c r="A111" s="1310" t="s">
        <v>1573</v>
      </c>
      <c r="B111" s="1310" t="s">
        <v>1451</v>
      </c>
      <c r="C111" s="1310" t="s">
        <v>264</v>
      </c>
      <c r="D111" s="1310" t="s">
        <v>1612</v>
      </c>
      <c r="E111" s="1310" t="s">
        <v>1450</v>
      </c>
      <c r="F111" s="1310" t="s">
        <v>1450</v>
      </c>
      <c r="G111" s="1310" t="s">
        <v>1450</v>
      </c>
      <c r="H111" s="1310" t="s">
        <v>1450</v>
      </c>
      <c r="I111" s="1310" t="s">
        <v>1450</v>
      </c>
      <c r="J111" s="1310" t="s">
        <v>1481</v>
      </c>
      <c r="K111" s="1310" t="s">
        <v>1450</v>
      </c>
      <c r="L111" s="1310" t="s">
        <v>1450</v>
      </c>
      <c r="M111" s="1310" t="s">
        <v>1443</v>
      </c>
      <c r="N111" s="1310" t="s">
        <v>1443</v>
      </c>
      <c r="O111" s="1310" t="s">
        <v>1443</v>
      </c>
      <c r="P111" s="1310" t="s">
        <v>1443</v>
      </c>
      <c r="Q111" s="1310" t="s">
        <v>1443</v>
      </c>
      <c r="R111" s="1310" t="s">
        <v>1443</v>
      </c>
      <c r="S111" s="1310" t="s">
        <v>1443</v>
      </c>
      <c r="T111" s="1310" t="s">
        <v>1443</v>
      </c>
      <c r="U111" s="1310" t="s">
        <v>1443</v>
      </c>
      <c r="V111" s="1310" t="s">
        <v>1443</v>
      </c>
      <c r="W111" s="1310" t="s">
        <v>1443</v>
      </c>
      <c r="X111" s="1310" t="s">
        <v>1443</v>
      </c>
      <c r="Y111" s="1310" t="s">
        <v>1443</v>
      </c>
      <c r="Z111" s="1310" t="s">
        <v>1443</v>
      </c>
      <c r="AA111" s="1310" t="s">
        <v>1443</v>
      </c>
      <c r="AB111" s="1310" t="s">
        <v>1443</v>
      </c>
      <c r="AC111" s="1310" t="s">
        <v>1443</v>
      </c>
      <c r="AD111" s="1310" t="s">
        <v>1443</v>
      </c>
      <c r="AE111" s="1310" t="s">
        <v>1443</v>
      </c>
      <c r="AF111" s="1310" t="s">
        <v>1443</v>
      </c>
    </row>
    <row r="112" spans="1:32" x14ac:dyDescent="0.3">
      <c r="A112" s="1310" t="s">
        <v>1443</v>
      </c>
      <c r="B112" s="1310" t="s">
        <v>1443</v>
      </c>
      <c r="C112" s="1310" t="s">
        <v>264</v>
      </c>
      <c r="D112" s="1310" t="s">
        <v>1496</v>
      </c>
      <c r="E112" s="1310" t="s">
        <v>1450</v>
      </c>
      <c r="F112" s="1310" t="s">
        <v>1450</v>
      </c>
      <c r="G112" s="1310" t="s">
        <v>1450</v>
      </c>
      <c r="H112" s="1310" t="s">
        <v>1450</v>
      </c>
      <c r="I112" s="1310" t="s">
        <v>1443</v>
      </c>
      <c r="J112" s="1310" t="s">
        <v>1443</v>
      </c>
      <c r="K112" s="1310" t="s">
        <v>1443</v>
      </c>
      <c r="L112" s="1310" t="s">
        <v>1443</v>
      </c>
      <c r="M112" s="1310" t="s">
        <v>1443</v>
      </c>
      <c r="N112" s="1310" t="s">
        <v>1443</v>
      </c>
      <c r="O112" s="1310" t="s">
        <v>1443</v>
      </c>
      <c r="P112" s="1310" t="s">
        <v>1443</v>
      </c>
      <c r="Q112" s="1310" t="s">
        <v>1443</v>
      </c>
      <c r="R112" s="1310" t="s">
        <v>1443</v>
      </c>
      <c r="S112" s="1310" t="s">
        <v>1443</v>
      </c>
      <c r="T112" s="1310" t="s">
        <v>1443</v>
      </c>
      <c r="U112" s="1310" t="s">
        <v>1443</v>
      </c>
      <c r="V112" s="1310" t="s">
        <v>1443</v>
      </c>
      <c r="W112" s="1310" t="s">
        <v>1443</v>
      </c>
      <c r="X112" s="1310" t="s">
        <v>1443</v>
      </c>
      <c r="Y112" s="1310" t="s">
        <v>1443</v>
      </c>
      <c r="Z112" s="1310" t="s">
        <v>1443</v>
      </c>
      <c r="AA112" s="1310" t="s">
        <v>1443</v>
      </c>
      <c r="AB112" s="1310" t="s">
        <v>1443</v>
      </c>
      <c r="AC112" s="1310" t="s">
        <v>1443</v>
      </c>
      <c r="AD112" s="1310" t="s">
        <v>1443</v>
      </c>
      <c r="AE112" s="1310" t="s">
        <v>264</v>
      </c>
      <c r="AF112" s="1310" t="s">
        <v>1496</v>
      </c>
    </row>
    <row r="113" spans="1:32" x14ac:dyDescent="0.3">
      <c r="A113" s="1310" t="s">
        <v>1450</v>
      </c>
      <c r="B113" s="1310" t="s">
        <v>1450</v>
      </c>
      <c r="C113" s="1310" t="s">
        <v>1450</v>
      </c>
      <c r="D113" s="1310" t="s">
        <v>1450</v>
      </c>
      <c r="E113" s="1310" t="s">
        <v>1443</v>
      </c>
      <c r="F113" s="1310" t="s">
        <v>1443</v>
      </c>
      <c r="G113" s="1310" t="s">
        <v>1443</v>
      </c>
      <c r="H113" s="1310" t="s">
        <v>1443</v>
      </c>
      <c r="I113" s="1310" t="s">
        <v>1443</v>
      </c>
      <c r="J113" s="1310" t="s">
        <v>1443</v>
      </c>
      <c r="K113" s="1310" t="s">
        <v>1443</v>
      </c>
      <c r="L113" s="1310" t="s">
        <v>1443</v>
      </c>
      <c r="M113" s="1310" t="s">
        <v>1443</v>
      </c>
      <c r="N113" s="1310" t="s">
        <v>1443</v>
      </c>
      <c r="O113" s="1310" t="s">
        <v>1443</v>
      </c>
      <c r="P113" s="1310" t="s">
        <v>1443</v>
      </c>
      <c r="Q113" s="1310" t="s">
        <v>1443</v>
      </c>
      <c r="R113" s="1310" t="s">
        <v>1443</v>
      </c>
      <c r="S113" s="1310" t="s">
        <v>1443</v>
      </c>
      <c r="T113" s="1310" t="s">
        <v>1443</v>
      </c>
      <c r="U113" s="1310" t="s">
        <v>1443</v>
      </c>
      <c r="V113" s="1310" t="s">
        <v>1443</v>
      </c>
      <c r="W113" s="1310" t="s">
        <v>1443</v>
      </c>
      <c r="X113" s="1310" t="s">
        <v>1443</v>
      </c>
      <c r="Y113" s="1310" t="s">
        <v>1443</v>
      </c>
      <c r="Z113" s="1310" t="s">
        <v>1443</v>
      </c>
      <c r="AA113" s="1310" t="s">
        <v>264</v>
      </c>
      <c r="AB113" s="1310" t="s">
        <v>1496</v>
      </c>
      <c r="AC113" s="1310" t="s">
        <v>1450</v>
      </c>
      <c r="AD113" s="1310" t="s">
        <v>1450</v>
      </c>
      <c r="AE113" s="1310" t="s">
        <v>1450</v>
      </c>
      <c r="AF113" s="1310" t="s">
        <v>1450</v>
      </c>
    </row>
    <row r="114" spans="1:32" x14ac:dyDescent="0.3">
      <c r="A114" s="1310" t="s">
        <v>1443</v>
      </c>
      <c r="B114" s="1310" t="s">
        <v>1443</v>
      </c>
      <c r="C114" s="1310" t="s">
        <v>1443</v>
      </c>
      <c r="D114" s="1310" t="s">
        <v>1443</v>
      </c>
      <c r="E114" s="1310" t="s">
        <v>1443</v>
      </c>
      <c r="F114" s="1310" t="s">
        <v>1443</v>
      </c>
      <c r="G114" s="1310" t="s">
        <v>1443</v>
      </c>
      <c r="H114" s="1310" t="s">
        <v>1443</v>
      </c>
      <c r="I114" s="1310" t="s">
        <v>1443</v>
      </c>
      <c r="J114" s="1310" t="s">
        <v>1443</v>
      </c>
      <c r="K114" s="1310" t="s">
        <v>1443</v>
      </c>
      <c r="L114" s="1310" t="s">
        <v>1443</v>
      </c>
      <c r="M114" s="1310" t="s">
        <v>1443</v>
      </c>
      <c r="N114" s="1310" t="s">
        <v>1443</v>
      </c>
      <c r="O114" s="1310" t="s">
        <v>1443</v>
      </c>
      <c r="P114" s="1310" t="s">
        <v>1443</v>
      </c>
      <c r="Q114" s="1310" t="s">
        <v>1443</v>
      </c>
      <c r="R114" s="1310" t="s">
        <v>1443</v>
      </c>
      <c r="S114" s="1310" t="s">
        <v>1443</v>
      </c>
      <c r="T114" s="1310" t="s">
        <v>1443</v>
      </c>
      <c r="U114" s="1310" t="s">
        <v>1443</v>
      </c>
      <c r="V114" s="1310" t="s">
        <v>1443</v>
      </c>
      <c r="W114" s="1310" t="s">
        <v>264</v>
      </c>
      <c r="X114" s="1310" t="s">
        <v>1496</v>
      </c>
      <c r="Y114" s="1310" t="s">
        <v>1450</v>
      </c>
      <c r="Z114" s="1310" t="s">
        <v>1450</v>
      </c>
      <c r="AA114" s="1310" t="s">
        <v>1574</v>
      </c>
      <c r="AB114" s="1310" t="s">
        <v>1524</v>
      </c>
      <c r="AC114" s="1310" t="s">
        <v>1573</v>
      </c>
      <c r="AD114" s="1310" t="s">
        <v>1451</v>
      </c>
      <c r="AE114" s="1310" t="s">
        <v>265</v>
      </c>
      <c r="AF114" s="1310" t="s">
        <v>1450</v>
      </c>
    </row>
    <row r="115" spans="1:32" x14ac:dyDescent="0.3">
      <c r="A115" s="1310" t="s">
        <v>1450</v>
      </c>
      <c r="B115" s="1310" t="s">
        <v>1450</v>
      </c>
      <c r="C115" s="1310" t="s">
        <v>1450</v>
      </c>
      <c r="D115" s="1310" t="s">
        <v>1450</v>
      </c>
      <c r="E115" s="1310" t="s">
        <v>1450</v>
      </c>
      <c r="F115" s="1310" t="s">
        <v>263</v>
      </c>
      <c r="G115" s="1310" t="s">
        <v>1450</v>
      </c>
      <c r="H115" s="1310" t="s">
        <v>1450</v>
      </c>
      <c r="I115" s="1310" t="s">
        <v>1574</v>
      </c>
      <c r="J115" s="1310" t="s">
        <v>1524</v>
      </c>
      <c r="K115" s="1310" t="s">
        <v>1573</v>
      </c>
      <c r="L115" s="1310" t="s">
        <v>1451</v>
      </c>
      <c r="M115" s="1310" t="s">
        <v>265</v>
      </c>
      <c r="N115" s="1310" t="s">
        <v>263</v>
      </c>
      <c r="O115" s="1310" t="s">
        <v>1450</v>
      </c>
      <c r="P115" s="1310" t="s">
        <v>1450</v>
      </c>
      <c r="Q115" s="1310" t="s">
        <v>1450</v>
      </c>
      <c r="R115" s="1310" t="s">
        <v>1450</v>
      </c>
      <c r="S115" s="1310" t="s">
        <v>1450</v>
      </c>
      <c r="T115" s="1310" t="s">
        <v>263</v>
      </c>
      <c r="U115" s="1310" t="s">
        <v>1450</v>
      </c>
      <c r="V115" s="1310" t="s">
        <v>1450</v>
      </c>
      <c r="W115" s="1310" t="s">
        <v>1574</v>
      </c>
      <c r="X115" s="1310" t="s">
        <v>1524</v>
      </c>
      <c r="Y115" s="1310" t="s">
        <v>1573</v>
      </c>
      <c r="Z115" s="1310" t="s">
        <v>1451</v>
      </c>
      <c r="AA115" s="1310" t="s">
        <v>265</v>
      </c>
      <c r="AB115" s="1310" t="s">
        <v>1487</v>
      </c>
      <c r="AC115" s="1310" t="s">
        <v>1450</v>
      </c>
      <c r="AD115" s="1310" t="s">
        <v>1450</v>
      </c>
      <c r="AE115" s="1310" t="s">
        <v>1450</v>
      </c>
      <c r="AF115" s="1310" t="s">
        <v>1450</v>
      </c>
    </row>
    <row r="116" spans="1:32" x14ac:dyDescent="0.3">
      <c r="A116" s="1310" t="s">
        <v>1450</v>
      </c>
      <c r="B116" s="1310" t="s">
        <v>262</v>
      </c>
      <c r="C116" s="1310" t="s">
        <v>262</v>
      </c>
      <c r="D116" s="1310" t="s">
        <v>1450</v>
      </c>
      <c r="E116" s="1310" t="s">
        <v>1574</v>
      </c>
      <c r="F116" s="1310" t="s">
        <v>1524</v>
      </c>
      <c r="G116" s="1310" t="s">
        <v>1573</v>
      </c>
      <c r="H116" s="1310" t="s">
        <v>1451</v>
      </c>
      <c r="I116" s="1310" t="s">
        <v>265</v>
      </c>
      <c r="J116" s="1310" t="s">
        <v>1654</v>
      </c>
      <c r="K116" s="1310" t="s">
        <v>1450</v>
      </c>
      <c r="L116" s="1310" t="s">
        <v>1450</v>
      </c>
      <c r="M116" s="1310" t="s">
        <v>1450</v>
      </c>
      <c r="N116" s="1310" t="s">
        <v>1450</v>
      </c>
      <c r="O116" s="1310" t="s">
        <v>1450</v>
      </c>
      <c r="P116" s="1310" t="s">
        <v>268</v>
      </c>
      <c r="Q116" s="1310" t="s">
        <v>1450</v>
      </c>
      <c r="R116" s="1310" t="s">
        <v>262</v>
      </c>
      <c r="S116" s="1310" t="s">
        <v>1450</v>
      </c>
      <c r="T116" s="1310" t="s">
        <v>1450</v>
      </c>
      <c r="U116" s="1310" t="s">
        <v>1450</v>
      </c>
      <c r="V116" s="1310" t="s">
        <v>264</v>
      </c>
      <c r="W116" s="1310" t="s">
        <v>1574</v>
      </c>
      <c r="X116" s="1310" t="s">
        <v>1524</v>
      </c>
      <c r="Y116" s="1310" t="s">
        <v>1573</v>
      </c>
      <c r="Z116" s="1310" t="s">
        <v>1451</v>
      </c>
      <c r="AA116" s="1310" t="s">
        <v>265</v>
      </c>
      <c r="AB116" s="1310" t="s">
        <v>269</v>
      </c>
      <c r="AC116" s="1310" t="s">
        <v>1450</v>
      </c>
      <c r="AD116" s="1310" t="s">
        <v>1450</v>
      </c>
      <c r="AE116" s="1310" t="s">
        <v>1450</v>
      </c>
      <c r="AF116" s="1310" t="s">
        <v>1450</v>
      </c>
    </row>
    <row r="117" spans="1:32" x14ac:dyDescent="0.3">
      <c r="A117" s="1310" t="s">
        <v>1450</v>
      </c>
      <c r="B117" s="1310" t="s">
        <v>1471</v>
      </c>
      <c r="C117" s="1310" t="s">
        <v>1450</v>
      </c>
      <c r="D117" s="1310" t="s">
        <v>1450</v>
      </c>
      <c r="E117" s="1310" t="s">
        <v>1450</v>
      </c>
      <c r="F117" s="1310" t="s">
        <v>262</v>
      </c>
      <c r="G117" s="1310" t="s">
        <v>1450</v>
      </c>
      <c r="H117" s="1310" t="s">
        <v>1450</v>
      </c>
      <c r="I117" s="1310" t="s">
        <v>263</v>
      </c>
      <c r="J117" s="1310" t="s">
        <v>1497</v>
      </c>
      <c r="K117" s="1310" t="s">
        <v>1450</v>
      </c>
      <c r="L117" s="1310" t="s">
        <v>1450</v>
      </c>
      <c r="M117" s="1310" t="s">
        <v>263</v>
      </c>
      <c r="N117" s="1310" t="s">
        <v>1497</v>
      </c>
      <c r="O117" s="1310" t="s">
        <v>1450</v>
      </c>
      <c r="P117" s="1310" t="s">
        <v>1450</v>
      </c>
      <c r="Q117" s="1310" t="s">
        <v>1450</v>
      </c>
      <c r="R117" s="1310" t="s">
        <v>1450</v>
      </c>
      <c r="S117" s="1310" t="s">
        <v>1574</v>
      </c>
      <c r="T117" s="1310" t="s">
        <v>1524</v>
      </c>
      <c r="U117" s="1310" t="s">
        <v>1573</v>
      </c>
      <c r="V117" s="1310" t="s">
        <v>1451</v>
      </c>
      <c r="W117" s="1310" t="s">
        <v>265</v>
      </c>
      <c r="X117" s="1310" t="s">
        <v>1613</v>
      </c>
      <c r="Y117" s="1310" t="s">
        <v>1450</v>
      </c>
      <c r="Z117" s="1310" t="s">
        <v>1450</v>
      </c>
      <c r="AA117" s="1310" t="s">
        <v>1450</v>
      </c>
      <c r="AB117" s="1310" t="s">
        <v>1450</v>
      </c>
      <c r="AC117" s="1310" t="s">
        <v>1450</v>
      </c>
      <c r="AD117" s="1310" t="s">
        <v>265</v>
      </c>
      <c r="AE117" s="1310" t="s">
        <v>1450</v>
      </c>
      <c r="AF117" s="1310" t="s">
        <v>1450</v>
      </c>
    </row>
    <row r="118" spans="1:32" x14ac:dyDescent="0.3">
      <c r="A118" s="1310" t="s">
        <v>1450</v>
      </c>
      <c r="B118" s="1310" t="s">
        <v>1450</v>
      </c>
      <c r="C118" s="1310" t="s">
        <v>1574</v>
      </c>
      <c r="D118" s="1310" t="s">
        <v>1524</v>
      </c>
      <c r="E118" s="1310" t="s">
        <v>1573</v>
      </c>
      <c r="F118" s="1310" t="s">
        <v>1451</v>
      </c>
      <c r="G118" s="1310" t="s">
        <v>265</v>
      </c>
      <c r="H118" s="1310" t="s">
        <v>1454</v>
      </c>
      <c r="I118" s="1310" t="s">
        <v>1450</v>
      </c>
      <c r="J118" s="1310" t="s">
        <v>1450</v>
      </c>
      <c r="K118" s="1310" t="s">
        <v>1450</v>
      </c>
      <c r="L118" s="1310" t="s">
        <v>1450</v>
      </c>
      <c r="M118" s="1310" t="s">
        <v>264</v>
      </c>
      <c r="N118" s="1310" t="s">
        <v>1573</v>
      </c>
      <c r="O118" s="1310" t="s">
        <v>1450</v>
      </c>
      <c r="P118" s="1310" t="s">
        <v>1450</v>
      </c>
      <c r="Q118" s="1310" t="s">
        <v>1450</v>
      </c>
      <c r="R118" s="1310" t="s">
        <v>268</v>
      </c>
      <c r="S118" s="1310" t="s">
        <v>1450</v>
      </c>
      <c r="T118" s="1310" t="s">
        <v>1450</v>
      </c>
      <c r="U118" s="1310" t="s">
        <v>1450</v>
      </c>
      <c r="V118" s="1310" t="s">
        <v>1450</v>
      </c>
      <c r="W118" s="1310" t="s">
        <v>1450</v>
      </c>
      <c r="X118" s="1310" t="s">
        <v>1450</v>
      </c>
      <c r="Y118" s="1310" t="s">
        <v>1450</v>
      </c>
      <c r="Z118" s="1310" t="s">
        <v>1450</v>
      </c>
      <c r="AA118" s="1310" t="s">
        <v>1450</v>
      </c>
      <c r="AB118" s="1310" t="s">
        <v>1450</v>
      </c>
      <c r="AC118" s="1310" t="s">
        <v>1450</v>
      </c>
      <c r="AD118" s="1310" t="s">
        <v>1495</v>
      </c>
      <c r="AE118" s="1310" t="s">
        <v>1450</v>
      </c>
      <c r="AF118" s="1310" t="s">
        <v>1450</v>
      </c>
    </row>
    <row r="119" spans="1:32" x14ac:dyDescent="0.3">
      <c r="A119" s="1310" t="s">
        <v>264</v>
      </c>
      <c r="B119" s="1310" t="s">
        <v>1496</v>
      </c>
      <c r="C119" s="1310" t="s">
        <v>1450</v>
      </c>
      <c r="D119" s="1310" t="s">
        <v>1450</v>
      </c>
      <c r="E119" s="1310" t="s">
        <v>1450</v>
      </c>
      <c r="F119" s="1310" t="s">
        <v>1467</v>
      </c>
      <c r="G119" s="1310" t="s">
        <v>1450</v>
      </c>
      <c r="H119" s="1310" t="s">
        <v>1473</v>
      </c>
      <c r="I119" s="1310" t="s">
        <v>1450</v>
      </c>
      <c r="J119" s="1310" t="s">
        <v>1474</v>
      </c>
      <c r="K119" s="1310" t="s">
        <v>1450</v>
      </c>
      <c r="L119" s="1310" t="s">
        <v>1489</v>
      </c>
      <c r="M119" s="1310" t="s">
        <v>1450</v>
      </c>
      <c r="N119" s="1310" t="s">
        <v>1484</v>
      </c>
      <c r="O119" s="1310" t="s">
        <v>1450</v>
      </c>
      <c r="P119" s="1310" t="s">
        <v>1482</v>
      </c>
      <c r="Q119" s="1310" t="s">
        <v>1450</v>
      </c>
      <c r="R119" s="1310" t="s">
        <v>1474</v>
      </c>
      <c r="S119" s="1310" t="s">
        <v>1450</v>
      </c>
      <c r="T119" s="1310" t="s">
        <v>1520</v>
      </c>
      <c r="U119" s="1310" t="s">
        <v>1450</v>
      </c>
      <c r="V119" s="1310" t="s">
        <v>1473</v>
      </c>
      <c r="W119" s="1310" t="s">
        <v>1450</v>
      </c>
      <c r="X119" s="1310" t="s">
        <v>1475</v>
      </c>
      <c r="Y119" s="1310" t="s">
        <v>1450</v>
      </c>
      <c r="Z119" s="1310" t="s">
        <v>1484</v>
      </c>
      <c r="AA119" s="1310" t="s">
        <v>1450</v>
      </c>
      <c r="AB119" s="1310" t="s">
        <v>1450</v>
      </c>
      <c r="AC119" s="1310" t="s">
        <v>1450</v>
      </c>
      <c r="AD119" s="1310" t="s">
        <v>262</v>
      </c>
      <c r="AE119" s="1310" t="s">
        <v>1450</v>
      </c>
      <c r="AF119" s="1310" t="s">
        <v>1450</v>
      </c>
    </row>
    <row r="120" spans="1:32" x14ac:dyDescent="0.3">
      <c r="A120" s="1310" t="s">
        <v>1450</v>
      </c>
      <c r="B120" s="1310" t="s">
        <v>1450</v>
      </c>
      <c r="C120" s="1310" t="s">
        <v>1450</v>
      </c>
      <c r="D120" s="1310" t="s">
        <v>1450</v>
      </c>
      <c r="E120" s="1310" t="s">
        <v>1450</v>
      </c>
      <c r="F120" s="1310" t="s">
        <v>1450</v>
      </c>
      <c r="G120" s="1310" t="s">
        <v>1450</v>
      </c>
      <c r="H120" s="1310" t="s">
        <v>1450</v>
      </c>
      <c r="I120" s="1310" t="s">
        <v>1450</v>
      </c>
      <c r="J120" s="1310" t="s">
        <v>1450</v>
      </c>
      <c r="K120" s="1310" t="s">
        <v>1450</v>
      </c>
      <c r="L120" s="1310" t="s">
        <v>1450</v>
      </c>
      <c r="M120" s="1310" t="s">
        <v>1450</v>
      </c>
      <c r="N120" s="1310" t="s">
        <v>1450</v>
      </c>
      <c r="O120" s="1310" t="s">
        <v>1450</v>
      </c>
      <c r="P120" s="1310" t="s">
        <v>1450</v>
      </c>
      <c r="Q120" s="1310" t="s">
        <v>1450</v>
      </c>
      <c r="R120" s="1310" t="s">
        <v>262</v>
      </c>
      <c r="S120" s="1310" t="s">
        <v>1450</v>
      </c>
      <c r="T120" s="1310" t="s">
        <v>1450</v>
      </c>
      <c r="U120" s="1310" t="s">
        <v>1450</v>
      </c>
      <c r="V120" s="1310" t="s">
        <v>1450</v>
      </c>
      <c r="W120" s="1310" t="s">
        <v>1450</v>
      </c>
      <c r="X120" s="1310" t="s">
        <v>1450</v>
      </c>
      <c r="Y120" s="1310" t="s">
        <v>1450</v>
      </c>
      <c r="Z120" s="1310" t="s">
        <v>1450</v>
      </c>
      <c r="AA120" s="1310" t="s">
        <v>1450</v>
      </c>
      <c r="AB120" s="1310" t="s">
        <v>1450</v>
      </c>
      <c r="AC120" s="1310" t="s">
        <v>264</v>
      </c>
      <c r="AD120" s="1310" t="s">
        <v>1496</v>
      </c>
      <c r="AE120" s="1310" t="s">
        <v>1450</v>
      </c>
      <c r="AF120" s="1310" t="s">
        <v>1450</v>
      </c>
    </row>
    <row r="121" spans="1:32" x14ac:dyDescent="0.3">
      <c r="A121" s="1310" t="s">
        <v>1450</v>
      </c>
      <c r="B121" s="1310" t="s">
        <v>1495</v>
      </c>
      <c r="C121" s="1310" t="s">
        <v>1450</v>
      </c>
      <c r="D121" s="1310" t="s">
        <v>1450</v>
      </c>
      <c r="E121" s="1310" t="s">
        <v>1450</v>
      </c>
      <c r="F121" s="1310" t="s">
        <v>1450</v>
      </c>
      <c r="G121" s="1310" t="s">
        <v>1450</v>
      </c>
      <c r="H121" s="1310" t="s">
        <v>1450</v>
      </c>
      <c r="I121" s="1310" t="s">
        <v>1450</v>
      </c>
      <c r="J121" s="1310" t="s">
        <v>1450</v>
      </c>
      <c r="K121" s="1310" t="s">
        <v>1450</v>
      </c>
      <c r="L121" s="1310" t="s">
        <v>1450</v>
      </c>
      <c r="M121" s="1310" t="s">
        <v>1450</v>
      </c>
      <c r="N121" s="1310" t="s">
        <v>1450</v>
      </c>
      <c r="O121" s="1310" t="s">
        <v>1450</v>
      </c>
      <c r="P121" s="1310" t="s">
        <v>1450</v>
      </c>
      <c r="Q121" s="1310" t="s">
        <v>1450</v>
      </c>
      <c r="R121" s="1310" t="s">
        <v>1450</v>
      </c>
      <c r="S121" s="1310" t="s">
        <v>262</v>
      </c>
      <c r="T121" s="1310" t="s">
        <v>1450</v>
      </c>
      <c r="U121" s="1310" t="s">
        <v>1450</v>
      </c>
      <c r="V121" s="1310" t="s">
        <v>1450</v>
      </c>
      <c r="W121" s="1310" t="s">
        <v>1450</v>
      </c>
      <c r="X121" s="1310" t="s">
        <v>1450</v>
      </c>
      <c r="Y121" s="1310" t="s">
        <v>1450</v>
      </c>
      <c r="Z121" s="1310" t="s">
        <v>1450</v>
      </c>
      <c r="AA121" s="1310" t="s">
        <v>1450</v>
      </c>
      <c r="AB121" s="1310" t="s">
        <v>1450</v>
      </c>
      <c r="AC121" s="1310" t="s">
        <v>1450</v>
      </c>
      <c r="AD121" s="1310" t="s">
        <v>1450</v>
      </c>
      <c r="AE121" s="1310" t="s">
        <v>1450</v>
      </c>
      <c r="AF121" s="1310" t="s">
        <v>1450</v>
      </c>
    </row>
    <row r="122" spans="1:32" x14ac:dyDescent="0.3">
      <c r="A122" s="1310" t="s">
        <v>1450</v>
      </c>
      <c r="B122" s="1310" t="s">
        <v>1450</v>
      </c>
      <c r="C122" s="1310" t="s">
        <v>1450</v>
      </c>
      <c r="D122" s="1310" t="s">
        <v>1450</v>
      </c>
      <c r="E122" s="1310" t="s">
        <v>1450</v>
      </c>
      <c r="F122" s="1310" t="s">
        <v>1450</v>
      </c>
      <c r="G122" s="1310" t="s">
        <v>1471</v>
      </c>
      <c r="H122" s="1310" t="s">
        <v>1450</v>
      </c>
      <c r="I122" s="1310" t="s">
        <v>1450</v>
      </c>
      <c r="J122" s="1310" t="s">
        <v>1450</v>
      </c>
      <c r="K122" s="1310" t="s">
        <v>262</v>
      </c>
      <c r="L122" s="1310" t="s">
        <v>1450</v>
      </c>
      <c r="M122" s="1310" t="s">
        <v>1450</v>
      </c>
      <c r="N122" s="1310" t="s">
        <v>1450</v>
      </c>
      <c r="O122" s="1310" t="s">
        <v>1450</v>
      </c>
      <c r="P122" s="1310" t="s">
        <v>1450</v>
      </c>
      <c r="Q122" s="1310" t="s">
        <v>1450</v>
      </c>
      <c r="R122" s="1310" t="s">
        <v>1484</v>
      </c>
      <c r="S122" s="1310" t="s">
        <v>1542</v>
      </c>
      <c r="T122" s="1310" t="s">
        <v>1482</v>
      </c>
      <c r="U122" s="1310" t="s">
        <v>1482</v>
      </c>
      <c r="V122" s="1310" t="s">
        <v>1450</v>
      </c>
      <c r="W122" s="1310" t="s">
        <v>1450</v>
      </c>
      <c r="X122" s="1310" t="s">
        <v>1450</v>
      </c>
      <c r="Y122" s="1310" t="s">
        <v>263</v>
      </c>
      <c r="Z122" s="1310" t="s">
        <v>1450</v>
      </c>
      <c r="AA122" s="1310" t="s">
        <v>1450</v>
      </c>
      <c r="AB122" s="1310" t="s">
        <v>1450</v>
      </c>
      <c r="AC122" s="1310" t="s">
        <v>268</v>
      </c>
      <c r="AD122" s="1310" t="s">
        <v>1455</v>
      </c>
      <c r="AE122" s="1310" t="s">
        <v>1474</v>
      </c>
      <c r="AF122" s="1310" t="s">
        <v>1542</v>
      </c>
    </row>
    <row r="123" spans="1:32" x14ac:dyDescent="0.3">
      <c r="A123" s="1310" t="s">
        <v>1484</v>
      </c>
      <c r="B123" s="1310" t="s">
        <v>1473</v>
      </c>
      <c r="C123" s="1310" t="s">
        <v>1480</v>
      </c>
      <c r="D123" s="1310" t="s">
        <v>1633</v>
      </c>
      <c r="E123" s="1310" t="s">
        <v>1455</v>
      </c>
      <c r="F123" s="1310" t="s">
        <v>1457</v>
      </c>
      <c r="G123" s="1310" t="s">
        <v>1532</v>
      </c>
      <c r="H123" s="1310" t="s">
        <v>1450</v>
      </c>
      <c r="I123" s="1310" t="s">
        <v>1450</v>
      </c>
      <c r="J123" s="1310" t="s">
        <v>1450</v>
      </c>
      <c r="K123" s="1310" t="s">
        <v>262</v>
      </c>
      <c r="L123" s="1310" t="s">
        <v>1450</v>
      </c>
      <c r="M123" s="1310" t="s">
        <v>1450</v>
      </c>
      <c r="N123" s="1310" t="s">
        <v>1450</v>
      </c>
      <c r="O123" s="1310" t="s">
        <v>1450</v>
      </c>
      <c r="P123" s="1310" t="s">
        <v>1450</v>
      </c>
      <c r="Q123" s="1310" t="s">
        <v>1450</v>
      </c>
      <c r="R123" s="1310" t="s">
        <v>1527</v>
      </c>
      <c r="S123" s="1310" t="s">
        <v>1532</v>
      </c>
      <c r="T123" s="1310" t="s">
        <v>1479</v>
      </c>
      <c r="U123" s="1310" t="s">
        <v>1459</v>
      </c>
      <c r="V123" s="1310" t="s">
        <v>1450</v>
      </c>
      <c r="W123" s="1310" t="s">
        <v>1450</v>
      </c>
      <c r="X123" s="1310" t="s">
        <v>1450</v>
      </c>
      <c r="Y123" s="1310" t="s">
        <v>265</v>
      </c>
      <c r="Z123" s="1310" t="s">
        <v>1450</v>
      </c>
      <c r="AA123" s="1310" t="s">
        <v>1450</v>
      </c>
      <c r="AB123" s="1310" t="s">
        <v>1450</v>
      </c>
      <c r="AC123" s="1310" t="s">
        <v>1450</v>
      </c>
      <c r="AD123" s="1310" t="s">
        <v>1538</v>
      </c>
      <c r="AE123" s="1310" t="s">
        <v>1474</v>
      </c>
      <c r="AF123" s="1310" t="s">
        <v>1481</v>
      </c>
    </row>
    <row r="124" spans="1:32" x14ac:dyDescent="0.3">
      <c r="A124" s="1310" t="s">
        <v>1476</v>
      </c>
      <c r="B124" s="1310" t="s">
        <v>1482</v>
      </c>
      <c r="C124" s="1310" t="s">
        <v>1474</v>
      </c>
      <c r="D124" s="1310" t="s">
        <v>1484</v>
      </c>
      <c r="E124" s="1310" t="s">
        <v>1564</v>
      </c>
      <c r="F124" s="1310" t="s">
        <v>1450</v>
      </c>
      <c r="G124" s="1310" t="s">
        <v>1450</v>
      </c>
      <c r="H124" s="1310" t="s">
        <v>1450</v>
      </c>
      <c r="I124" s="1310" t="s">
        <v>1450</v>
      </c>
      <c r="J124" s="1310" t="s">
        <v>1450</v>
      </c>
      <c r="K124" s="1310" t="s">
        <v>1450</v>
      </c>
      <c r="L124" s="1310" t="s">
        <v>1450</v>
      </c>
      <c r="M124" s="1310" t="s">
        <v>1450</v>
      </c>
      <c r="N124" s="1310" t="s">
        <v>1651</v>
      </c>
      <c r="O124" s="1310" t="s">
        <v>1475</v>
      </c>
      <c r="P124" s="1310" t="s">
        <v>1449</v>
      </c>
      <c r="Q124" s="1310" t="s">
        <v>1479</v>
      </c>
      <c r="R124" s="1310" t="s">
        <v>1482</v>
      </c>
      <c r="S124" s="1310" t="s">
        <v>1474</v>
      </c>
      <c r="T124" s="1310" t="s">
        <v>1484</v>
      </c>
      <c r="U124" s="1310" t="s">
        <v>1564</v>
      </c>
      <c r="V124" s="1310" t="s">
        <v>1450</v>
      </c>
      <c r="W124" s="1310" t="s">
        <v>1450</v>
      </c>
      <c r="X124" s="1310" t="s">
        <v>1450</v>
      </c>
      <c r="Y124" s="1310" t="s">
        <v>1450</v>
      </c>
      <c r="Z124" s="1310" t="s">
        <v>1450</v>
      </c>
      <c r="AA124" s="1310" t="s">
        <v>1450</v>
      </c>
      <c r="AB124" s="1310" t="s">
        <v>1450</v>
      </c>
      <c r="AC124" s="1310" t="s">
        <v>1450</v>
      </c>
      <c r="AD124" s="1310" t="s">
        <v>1524</v>
      </c>
      <c r="AE124" s="1310" t="s">
        <v>1479</v>
      </c>
      <c r="AF124" s="1310" t="s">
        <v>1474</v>
      </c>
    </row>
    <row r="125" spans="1:32" x14ac:dyDescent="0.3">
      <c r="A125" s="1310" t="s">
        <v>1483</v>
      </c>
      <c r="B125" s="1310" t="s">
        <v>1482</v>
      </c>
      <c r="C125" s="1310" t="s">
        <v>1474</v>
      </c>
      <c r="D125" s="1310" t="s">
        <v>1484</v>
      </c>
      <c r="E125" s="1310" t="s">
        <v>1564</v>
      </c>
      <c r="F125" s="1310" t="s">
        <v>1450</v>
      </c>
      <c r="G125" s="1310" t="s">
        <v>1450</v>
      </c>
      <c r="H125" s="1310" t="s">
        <v>1450</v>
      </c>
      <c r="I125" s="1310" t="s">
        <v>1495</v>
      </c>
      <c r="J125" s="1310" t="s">
        <v>1450</v>
      </c>
      <c r="K125" s="1310" t="s">
        <v>1450</v>
      </c>
      <c r="L125" s="1310" t="s">
        <v>1450</v>
      </c>
      <c r="M125" s="1310" t="s">
        <v>1450</v>
      </c>
      <c r="N125" s="1310" t="s">
        <v>1527</v>
      </c>
      <c r="O125" s="1310" t="s">
        <v>1564</v>
      </c>
      <c r="P125" s="1310" t="s">
        <v>1478</v>
      </c>
      <c r="Q125" s="1310" t="s">
        <v>1479</v>
      </c>
      <c r="R125" s="1310" t="s">
        <v>1482</v>
      </c>
      <c r="S125" s="1310" t="s">
        <v>1474</v>
      </c>
      <c r="T125" s="1310" t="s">
        <v>1484</v>
      </c>
      <c r="U125" s="1310" t="s">
        <v>1564</v>
      </c>
      <c r="V125" s="1310" t="s">
        <v>1450</v>
      </c>
      <c r="W125" s="1310" t="s">
        <v>1450</v>
      </c>
      <c r="X125" s="1310" t="s">
        <v>264</v>
      </c>
      <c r="Y125" s="1310" t="s">
        <v>1496</v>
      </c>
      <c r="Z125" s="1310" t="s">
        <v>1450</v>
      </c>
      <c r="AA125" s="1310" t="s">
        <v>1450</v>
      </c>
      <c r="AB125" s="1310" t="s">
        <v>1450</v>
      </c>
      <c r="AC125" s="1310" t="s">
        <v>268</v>
      </c>
      <c r="AD125" s="1310" t="s">
        <v>1480</v>
      </c>
      <c r="AE125" s="1310" t="s">
        <v>1482</v>
      </c>
      <c r="AF125" s="1310" t="s">
        <v>1448</v>
      </c>
    </row>
    <row r="126" spans="1:32" x14ac:dyDescent="0.3">
      <c r="A126" s="1310" t="s">
        <v>1532</v>
      </c>
      <c r="B126" s="1310" t="s">
        <v>1475</v>
      </c>
      <c r="C126" s="1310" t="s">
        <v>1480</v>
      </c>
      <c r="D126" s="1310" t="s">
        <v>1553</v>
      </c>
      <c r="E126" s="1310" t="s">
        <v>1482</v>
      </c>
      <c r="F126" s="1310" t="s">
        <v>1651</v>
      </c>
      <c r="G126" s="1310" t="s">
        <v>1480</v>
      </c>
      <c r="H126" s="1310" t="s">
        <v>1450</v>
      </c>
      <c r="I126" s="1310" t="s">
        <v>1450</v>
      </c>
      <c r="J126" s="1310" t="s">
        <v>1450</v>
      </c>
      <c r="K126" s="1310" t="s">
        <v>262</v>
      </c>
      <c r="L126" s="1310" t="s">
        <v>1633</v>
      </c>
      <c r="M126" s="1310" t="s">
        <v>1455</v>
      </c>
      <c r="N126" s="1310" t="s">
        <v>1457</v>
      </c>
      <c r="O126" s="1310" t="s">
        <v>1532</v>
      </c>
      <c r="P126" s="1310" t="s">
        <v>1450</v>
      </c>
      <c r="Q126" s="1310" t="s">
        <v>1450</v>
      </c>
      <c r="R126" s="1310" t="s">
        <v>1450</v>
      </c>
      <c r="S126" s="1310" t="s">
        <v>262</v>
      </c>
      <c r="T126" s="1310" t="s">
        <v>1450</v>
      </c>
      <c r="U126" s="1310" t="s">
        <v>1450</v>
      </c>
      <c r="V126" s="1310" t="s">
        <v>1450</v>
      </c>
      <c r="W126" s="1310" t="s">
        <v>1450</v>
      </c>
      <c r="X126" s="1310" t="s">
        <v>1450</v>
      </c>
      <c r="Y126" s="1310" t="s">
        <v>266</v>
      </c>
      <c r="Z126" s="1310" t="s">
        <v>1480</v>
      </c>
      <c r="AA126" s="1310" t="s">
        <v>1482</v>
      </c>
      <c r="AB126" s="1310" t="s">
        <v>1448</v>
      </c>
      <c r="AC126" s="1310" t="s">
        <v>1532</v>
      </c>
      <c r="AD126" s="1310" t="s">
        <v>1475</v>
      </c>
      <c r="AE126" s="1310" t="s">
        <v>1450</v>
      </c>
      <c r="AF126" s="1310" t="s">
        <v>1450</v>
      </c>
    </row>
    <row r="127" spans="1:32" x14ac:dyDescent="0.3">
      <c r="A127" s="1310" t="s">
        <v>1450</v>
      </c>
      <c r="B127" s="1310" t="s">
        <v>1453</v>
      </c>
      <c r="C127" s="1310" t="s">
        <v>1450</v>
      </c>
      <c r="D127" s="1310" t="s">
        <v>1450</v>
      </c>
      <c r="E127" s="1310" t="s">
        <v>1450</v>
      </c>
      <c r="F127" s="1310" t="s">
        <v>267</v>
      </c>
      <c r="G127" s="1310" t="s">
        <v>1480</v>
      </c>
      <c r="H127" s="1310" t="s">
        <v>1482</v>
      </c>
      <c r="I127" s="1310" t="s">
        <v>1448</v>
      </c>
      <c r="J127" s="1310" t="s">
        <v>1532</v>
      </c>
      <c r="K127" s="1310" t="s">
        <v>1475</v>
      </c>
      <c r="L127" s="1310" t="s">
        <v>1573</v>
      </c>
      <c r="M127" s="1310" t="s">
        <v>1536</v>
      </c>
      <c r="N127" s="1310" t="s">
        <v>1482</v>
      </c>
      <c r="O127" s="1310" t="s">
        <v>1474</v>
      </c>
      <c r="P127" s="1310" t="s">
        <v>1484</v>
      </c>
      <c r="Q127" s="1310" t="s">
        <v>1564</v>
      </c>
      <c r="R127" s="1310" t="s">
        <v>1450</v>
      </c>
      <c r="S127" s="1310" t="s">
        <v>1450</v>
      </c>
      <c r="T127" s="1310" t="s">
        <v>1450</v>
      </c>
      <c r="U127" s="1310" t="s">
        <v>1450</v>
      </c>
      <c r="V127" s="1310" t="s">
        <v>1450</v>
      </c>
      <c r="W127" s="1310" t="s">
        <v>1450</v>
      </c>
      <c r="X127" s="1310" t="s">
        <v>1450</v>
      </c>
      <c r="Y127" s="1310" t="s">
        <v>267</v>
      </c>
      <c r="Z127" s="1310" t="s">
        <v>1564</v>
      </c>
      <c r="AA127" s="1310" t="s">
        <v>1460</v>
      </c>
      <c r="AB127" s="1310" t="s">
        <v>1474</v>
      </c>
      <c r="AC127" s="1310" t="s">
        <v>1542</v>
      </c>
      <c r="AD127" s="1310" t="s">
        <v>1481</v>
      </c>
      <c r="AE127" s="1310" t="s">
        <v>1573</v>
      </c>
      <c r="AF127" s="1310" t="s">
        <v>1536</v>
      </c>
    </row>
    <row r="128" spans="1:32" x14ac:dyDescent="0.3">
      <c r="A128" s="1310" t="s">
        <v>1482</v>
      </c>
      <c r="B128" s="1310" t="s">
        <v>1474</v>
      </c>
      <c r="C128" s="1310" t="s">
        <v>1484</v>
      </c>
      <c r="D128" s="1310" t="s">
        <v>1564</v>
      </c>
      <c r="E128" s="1310" t="s">
        <v>1450</v>
      </c>
      <c r="F128" s="1310" t="s">
        <v>1450</v>
      </c>
      <c r="G128" s="1310" t="s">
        <v>1450</v>
      </c>
      <c r="H128" s="1310" t="s">
        <v>1450</v>
      </c>
      <c r="I128" s="1310" t="s">
        <v>1450</v>
      </c>
      <c r="J128" s="1310" t="s">
        <v>1450</v>
      </c>
      <c r="K128" s="1310" t="s">
        <v>1450</v>
      </c>
      <c r="L128" s="1310" t="s">
        <v>268</v>
      </c>
      <c r="M128" s="1310" t="s">
        <v>1474</v>
      </c>
      <c r="N128" s="1310" t="s">
        <v>1460</v>
      </c>
      <c r="O128" s="1310" t="s">
        <v>1448</v>
      </c>
      <c r="P128" s="1310" t="s">
        <v>1564</v>
      </c>
      <c r="Q128" s="1310" t="s">
        <v>1448</v>
      </c>
      <c r="R128" s="1310" t="s">
        <v>1484</v>
      </c>
      <c r="S128" s="1310" t="s">
        <v>1475</v>
      </c>
      <c r="T128" s="1310" t="s">
        <v>1484</v>
      </c>
      <c r="U128" s="1310" t="s">
        <v>1542</v>
      </c>
      <c r="V128" s="1310" t="s">
        <v>1483</v>
      </c>
      <c r="W128" s="1310" t="s">
        <v>1450</v>
      </c>
      <c r="X128" s="1310" t="s">
        <v>1450</v>
      </c>
      <c r="Y128" s="1310" t="s">
        <v>1450</v>
      </c>
      <c r="Z128" s="1310" t="s">
        <v>1500</v>
      </c>
      <c r="AA128" s="1310" t="s">
        <v>1446</v>
      </c>
      <c r="AB128" s="1310" t="s">
        <v>1530</v>
      </c>
      <c r="AC128" s="1310" t="s">
        <v>1482</v>
      </c>
      <c r="AD128" s="1310" t="s">
        <v>1448</v>
      </c>
      <c r="AE128" s="1310" t="s">
        <v>1532</v>
      </c>
      <c r="AF128" s="1310" t="s">
        <v>1475</v>
      </c>
    </row>
    <row r="129" spans="1:32" x14ac:dyDescent="0.3">
      <c r="A129" s="1310" t="s">
        <v>1633</v>
      </c>
      <c r="B129" s="1310" t="s">
        <v>1460</v>
      </c>
      <c r="C129" s="1310" t="s">
        <v>1448</v>
      </c>
      <c r="D129" s="1310" t="s">
        <v>1564</v>
      </c>
      <c r="E129" s="1310" t="s">
        <v>1448</v>
      </c>
      <c r="F129" s="1310" t="s">
        <v>1484</v>
      </c>
      <c r="G129" s="1310" t="s">
        <v>1450</v>
      </c>
      <c r="H129" s="1310" t="s">
        <v>1450</v>
      </c>
      <c r="I129" s="1310" t="s">
        <v>1450</v>
      </c>
      <c r="J129" s="1310" t="s">
        <v>1513</v>
      </c>
      <c r="K129" s="1310" t="s">
        <v>1520</v>
      </c>
      <c r="L129" s="1310" t="s">
        <v>1542</v>
      </c>
      <c r="M129" s="1310" t="s">
        <v>1479</v>
      </c>
      <c r="N129" s="1310" t="s">
        <v>1474</v>
      </c>
      <c r="O129" s="1310" t="s">
        <v>1563</v>
      </c>
      <c r="P129" s="1310" t="s">
        <v>1475</v>
      </c>
      <c r="Q129" s="1310" t="s">
        <v>1484</v>
      </c>
      <c r="R129" s="1310" t="s">
        <v>1475</v>
      </c>
      <c r="S129" s="1310" t="s">
        <v>1460</v>
      </c>
      <c r="T129" s="1310" t="s">
        <v>1520</v>
      </c>
      <c r="U129" s="1310" t="s">
        <v>1479</v>
      </c>
      <c r="V129" s="1310" t="s">
        <v>1475</v>
      </c>
      <c r="W129" s="1310" t="s">
        <v>1473</v>
      </c>
      <c r="X129" s="1310" t="s">
        <v>1450</v>
      </c>
      <c r="Y129" s="1310" t="s">
        <v>1450</v>
      </c>
      <c r="Z129" s="1310" t="s">
        <v>1450</v>
      </c>
      <c r="AA129" s="1310" t="s">
        <v>1450</v>
      </c>
      <c r="AB129" s="1310" t="s">
        <v>1538</v>
      </c>
      <c r="AC129" s="1310" t="s">
        <v>1585</v>
      </c>
      <c r="AD129" s="1310" t="s">
        <v>1481</v>
      </c>
      <c r="AE129" s="1310" t="s">
        <v>1475</v>
      </c>
      <c r="AF129" s="1310" t="s">
        <v>1475</v>
      </c>
    </row>
    <row r="130" spans="1:32" x14ac:dyDescent="0.3">
      <c r="A130" s="1310" t="s">
        <v>1484</v>
      </c>
      <c r="B130" s="1310" t="s">
        <v>1542</v>
      </c>
      <c r="C130" s="1310" t="s">
        <v>1483</v>
      </c>
      <c r="D130" s="1310" t="s">
        <v>1450</v>
      </c>
      <c r="E130" s="1310" t="s">
        <v>1450</v>
      </c>
      <c r="F130" s="1310" t="s">
        <v>1450</v>
      </c>
      <c r="G130" s="1310" t="s">
        <v>1467</v>
      </c>
      <c r="H130" s="1310" t="s">
        <v>1446</v>
      </c>
      <c r="I130" s="1310" t="s">
        <v>1530</v>
      </c>
      <c r="J130" s="1310" t="s">
        <v>1482</v>
      </c>
      <c r="K130" s="1310" t="s">
        <v>1448</v>
      </c>
      <c r="L130" s="1310" t="s">
        <v>1532</v>
      </c>
      <c r="M130" s="1310" t="s">
        <v>1475</v>
      </c>
      <c r="N130" s="1310" t="s">
        <v>1538</v>
      </c>
      <c r="O130" s="1310" t="s">
        <v>1585</v>
      </c>
      <c r="P130" s="1310" t="s">
        <v>1481</v>
      </c>
      <c r="Q130" s="1310" t="s">
        <v>1475</v>
      </c>
      <c r="R130" s="1310" t="s">
        <v>1450</v>
      </c>
      <c r="S130" s="1310" t="s">
        <v>1450</v>
      </c>
      <c r="T130" s="1310" t="s">
        <v>1450</v>
      </c>
      <c r="U130" s="1310" t="s">
        <v>1450</v>
      </c>
      <c r="V130" s="1310" t="s">
        <v>1573</v>
      </c>
      <c r="W130" s="1310" t="s">
        <v>1483</v>
      </c>
      <c r="X130" s="1310" t="s">
        <v>1564</v>
      </c>
      <c r="Y130" s="1310" t="s">
        <v>1476</v>
      </c>
      <c r="Z130" s="1310" t="s">
        <v>1450</v>
      </c>
      <c r="AA130" s="1310" t="s">
        <v>1450</v>
      </c>
      <c r="AB130" s="1310" t="s">
        <v>1450</v>
      </c>
      <c r="AC130" s="1310" t="s">
        <v>268</v>
      </c>
      <c r="AD130" s="1310" t="s">
        <v>1455</v>
      </c>
      <c r="AE130" s="1310" t="s">
        <v>1474</v>
      </c>
      <c r="AF130" s="1310" t="s">
        <v>1542</v>
      </c>
    </row>
    <row r="131" spans="1:32" x14ac:dyDescent="0.3">
      <c r="A131" s="1310" t="s">
        <v>1484</v>
      </c>
      <c r="B131" s="1310" t="s">
        <v>1473</v>
      </c>
      <c r="C131" s="1310" t="s">
        <v>1480</v>
      </c>
      <c r="D131" s="1310" t="s">
        <v>1633</v>
      </c>
      <c r="E131" s="1310" t="s">
        <v>1455</v>
      </c>
      <c r="F131" s="1310" t="s">
        <v>1457</v>
      </c>
      <c r="G131" s="1310" t="s">
        <v>1532</v>
      </c>
      <c r="H131" s="1310" t="s">
        <v>1450</v>
      </c>
      <c r="I131" s="1310" t="s">
        <v>1450</v>
      </c>
      <c r="J131" s="1310" t="s">
        <v>1450</v>
      </c>
      <c r="K131" s="1310" t="s">
        <v>262</v>
      </c>
      <c r="L131" s="1310" t="s">
        <v>1450</v>
      </c>
      <c r="M131" s="1310" t="s">
        <v>1450</v>
      </c>
      <c r="N131" s="1310" t="s">
        <v>1450</v>
      </c>
      <c r="O131" s="1310" t="s">
        <v>1450</v>
      </c>
      <c r="P131" s="1310" t="s">
        <v>1450</v>
      </c>
      <c r="Q131" s="1310" t="s">
        <v>1450</v>
      </c>
      <c r="R131" s="1310" t="s">
        <v>1527</v>
      </c>
      <c r="S131" s="1310" t="s">
        <v>1532</v>
      </c>
      <c r="T131" s="1310" t="s">
        <v>1479</v>
      </c>
      <c r="U131" s="1310" t="s">
        <v>1459</v>
      </c>
      <c r="V131" s="1310" t="s">
        <v>1450</v>
      </c>
      <c r="W131" s="1310" t="s">
        <v>1450</v>
      </c>
      <c r="X131" s="1310" t="s">
        <v>1450</v>
      </c>
      <c r="Y131" s="1310" t="s">
        <v>265</v>
      </c>
      <c r="Z131" s="1310" t="s">
        <v>1450</v>
      </c>
      <c r="AA131" s="1310" t="s">
        <v>1450</v>
      </c>
      <c r="AB131" s="1310" t="s">
        <v>1450</v>
      </c>
      <c r="AC131" s="1310" t="s">
        <v>1450</v>
      </c>
      <c r="AD131" s="1310" t="s">
        <v>1538</v>
      </c>
      <c r="AE131" s="1310" t="s">
        <v>1474</v>
      </c>
      <c r="AF131" s="1310" t="s">
        <v>1481</v>
      </c>
    </row>
    <row r="132" spans="1:32" x14ac:dyDescent="0.3">
      <c r="A132" s="1310" t="s">
        <v>1476</v>
      </c>
      <c r="B132" s="1310" t="s">
        <v>1482</v>
      </c>
      <c r="C132" s="1310" t="s">
        <v>1474</v>
      </c>
      <c r="D132" s="1310" t="s">
        <v>1484</v>
      </c>
      <c r="E132" s="1310" t="s">
        <v>1564</v>
      </c>
      <c r="F132" s="1310" t="s">
        <v>1450</v>
      </c>
      <c r="G132" s="1310" t="s">
        <v>1450</v>
      </c>
      <c r="H132" s="1310" t="s">
        <v>1450</v>
      </c>
      <c r="I132" s="1310" t="s">
        <v>1450</v>
      </c>
      <c r="J132" s="1310" t="s">
        <v>1450</v>
      </c>
      <c r="K132" s="1310" t="s">
        <v>1450</v>
      </c>
      <c r="L132" s="1310" t="s">
        <v>1450</v>
      </c>
      <c r="M132" s="1310" t="s">
        <v>1450</v>
      </c>
      <c r="N132" s="1310" t="s">
        <v>1651</v>
      </c>
      <c r="O132" s="1310" t="s">
        <v>1475</v>
      </c>
      <c r="P132" s="1310" t="s">
        <v>1449</v>
      </c>
      <c r="Q132" s="1310" t="s">
        <v>1479</v>
      </c>
      <c r="R132" s="1310" t="s">
        <v>1482</v>
      </c>
      <c r="S132" s="1310" t="s">
        <v>1474</v>
      </c>
      <c r="T132" s="1310" t="s">
        <v>1484</v>
      </c>
      <c r="U132" s="1310" t="s">
        <v>1564</v>
      </c>
      <c r="V132" s="1310" t="s">
        <v>1450</v>
      </c>
      <c r="W132" s="1310" t="s">
        <v>1450</v>
      </c>
      <c r="X132" s="1310" t="s">
        <v>1450</v>
      </c>
      <c r="Y132" s="1310" t="s">
        <v>1450</v>
      </c>
      <c r="Z132" s="1310" t="s">
        <v>1450</v>
      </c>
      <c r="AA132" s="1310" t="s">
        <v>1450</v>
      </c>
      <c r="AB132" s="1310" t="s">
        <v>1450</v>
      </c>
      <c r="AC132" s="1310" t="s">
        <v>1450</v>
      </c>
      <c r="AD132" s="1310" t="s">
        <v>1524</v>
      </c>
      <c r="AE132" s="1310" t="s">
        <v>1479</v>
      </c>
      <c r="AF132" s="1310" t="s">
        <v>1474</v>
      </c>
    </row>
    <row r="133" spans="1:32" x14ac:dyDescent="0.3">
      <c r="A133" s="1310" t="s">
        <v>1483</v>
      </c>
      <c r="B133" s="1310" t="s">
        <v>1482</v>
      </c>
      <c r="C133" s="1310" t="s">
        <v>1474</v>
      </c>
      <c r="D133" s="1310" t="s">
        <v>1484</v>
      </c>
      <c r="E133" s="1310" t="s">
        <v>1564</v>
      </c>
      <c r="F133" s="1310" t="s">
        <v>1450</v>
      </c>
      <c r="G133" s="1310" t="s">
        <v>1450</v>
      </c>
      <c r="H133" s="1310" t="s">
        <v>1450</v>
      </c>
      <c r="I133" s="1310" t="s">
        <v>1495</v>
      </c>
      <c r="J133" s="1310" t="s">
        <v>1450</v>
      </c>
      <c r="K133" s="1310" t="s">
        <v>1450</v>
      </c>
      <c r="L133" s="1310" t="s">
        <v>1450</v>
      </c>
      <c r="M133" s="1310" t="s">
        <v>1450</v>
      </c>
      <c r="N133" s="1310" t="s">
        <v>1527</v>
      </c>
      <c r="O133" s="1310" t="s">
        <v>1564</v>
      </c>
      <c r="P133" s="1310" t="s">
        <v>1478</v>
      </c>
      <c r="Q133" s="1310" t="s">
        <v>1479</v>
      </c>
      <c r="R133" s="1310" t="s">
        <v>1482</v>
      </c>
      <c r="S133" s="1310" t="s">
        <v>1474</v>
      </c>
      <c r="T133" s="1310" t="s">
        <v>1484</v>
      </c>
      <c r="U133" s="1310" t="s">
        <v>1564</v>
      </c>
      <c r="V133" s="1310" t="s">
        <v>1450</v>
      </c>
      <c r="W133" s="1310" t="s">
        <v>1450</v>
      </c>
      <c r="X133" s="1310" t="s">
        <v>264</v>
      </c>
      <c r="Y133" s="1310" t="s">
        <v>1496</v>
      </c>
      <c r="Z133" s="1310" t="s">
        <v>1450</v>
      </c>
      <c r="AA133" s="1310" t="s">
        <v>1450</v>
      </c>
      <c r="AB133" s="1310" t="s">
        <v>1450</v>
      </c>
      <c r="AC133" s="1310" t="s">
        <v>264</v>
      </c>
      <c r="AD133" s="1310" t="s">
        <v>1542</v>
      </c>
      <c r="AE133" s="1310" t="s">
        <v>1460</v>
      </c>
      <c r="AF133" s="1310" t="s">
        <v>1482</v>
      </c>
    </row>
    <row r="134" spans="1:32" x14ac:dyDescent="0.3">
      <c r="A134" s="1310" t="s">
        <v>1538</v>
      </c>
      <c r="B134" s="1310" t="s">
        <v>1446</v>
      </c>
      <c r="C134" s="1310" t="s">
        <v>1588</v>
      </c>
      <c r="D134" s="1310" t="s">
        <v>1538</v>
      </c>
      <c r="E134" s="1310" t="s">
        <v>1450</v>
      </c>
      <c r="F134" s="1310" t="s">
        <v>1450</v>
      </c>
      <c r="G134" s="1310" t="s">
        <v>1450</v>
      </c>
      <c r="H134" s="1310" t="s">
        <v>262</v>
      </c>
      <c r="I134" s="1310" t="s">
        <v>1450</v>
      </c>
      <c r="J134" s="1310" t="s">
        <v>1450</v>
      </c>
      <c r="K134" s="1310" t="s">
        <v>1450</v>
      </c>
      <c r="L134" s="1310" t="s">
        <v>1450</v>
      </c>
      <c r="M134" s="1310" t="s">
        <v>1450</v>
      </c>
      <c r="N134" s="1310" t="s">
        <v>1450</v>
      </c>
      <c r="O134" s="1310" t="s">
        <v>1484</v>
      </c>
      <c r="P134" s="1310" t="s">
        <v>1542</v>
      </c>
      <c r="Q134" s="1310" t="s">
        <v>1482</v>
      </c>
      <c r="R134" s="1310" t="s">
        <v>1482</v>
      </c>
      <c r="S134" s="1310" t="s">
        <v>1538</v>
      </c>
      <c r="T134" s="1310" t="s">
        <v>1446</v>
      </c>
      <c r="U134" s="1310" t="s">
        <v>1588</v>
      </c>
      <c r="V134" s="1310" t="s">
        <v>1538</v>
      </c>
      <c r="W134" s="1310" t="s">
        <v>1450</v>
      </c>
      <c r="X134" s="1310" t="s">
        <v>1450</v>
      </c>
      <c r="Y134" s="1310" t="s">
        <v>1450</v>
      </c>
      <c r="Z134" s="1310" t="s">
        <v>262</v>
      </c>
      <c r="AA134" s="1310" t="s">
        <v>1450</v>
      </c>
      <c r="AB134" s="1310" t="s">
        <v>1450</v>
      </c>
      <c r="AC134" s="1310" t="s">
        <v>1450</v>
      </c>
      <c r="AD134" s="1310" t="s">
        <v>1450</v>
      </c>
      <c r="AE134" s="1310" t="s">
        <v>1450</v>
      </c>
      <c r="AF134" s="1310" t="s">
        <v>1450</v>
      </c>
    </row>
    <row r="135" spans="1:32" x14ac:dyDescent="0.3">
      <c r="A135" s="1310" t="s">
        <v>1451</v>
      </c>
      <c r="B135" s="1310" t="s">
        <v>1480</v>
      </c>
      <c r="C135" s="1310" t="s">
        <v>1564</v>
      </c>
      <c r="D135" s="1310" t="s">
        <v>1475</v>
      </c>
      <c r="E135" s="1310" t="s">
        <v>1538</v>
      </c>
      <c r="F135" s="1310" t="s">
        <v>1446</v>
      </c>
      <c r="G135" s="1310" t="s">
        <v>1588</v>
      </c>
      <c r="H135" s="1310" t="s">
        <v>1538</v>
      </c>
      <c r="I135" s="1310" t="s">
        <v>1450</v>
      </c>
      <c r="J135" s="1310" t="s">
        <v>1450</v>
      </c>
      <c r="K135" s="1310" t="s">
        <v>1450</v>
      </c>
      <c r="L135" s="1310" t="s">
        <v>262</v>
      </c>
      <c r="M135" s="1310" t="s">
        <v>1450</v>
      </c>
      <c r="N135" s="1310" t="s">
        <v>1450</v>
      </c>
      <c r="O135" s="1310" t="s">
        <v>1450</v>
      </c>
      <c r="P135" s="1310" t="s">
        <v>1450</v>
      </c>
      <c r="Q135" s="1310" t="s">
        <v>1450</v>
      </c>
      <c r="R135" s="1310" t="s">
        <v>268</v>
      </c>
      <c r="S135" s="1310" t="s">
        <v>1520</v>
      </c>
      <c r="T135" s="1310" t="s">
        <v>1482</v>
      </c>
      <c r="U135" s="1310" t="s">
        <v>1479</v>
      </c>
      <c r="V135" s="1310" t="s">
        <v>1538</v>
      </c>
      <c r="W135" s="1310" t="s">
        <v>1520</v>
      </c>
      <c r="X135" s="1310" t="s">
        <v>1564</v>
      </c>
      <c r="Y135" s="1310" t="s">
        <v>1538</v>
      </c>
      <c r="Z135" s="1310" t="s">
        <v>1446</v>
      </c>
      <c r="AA135" s="1310" t="s">
        <v>1588</v>
      </c>
      <c r="AB135" s="1310" t="s">
        <v>1538</v>
      </c>
      <c r="AC135" s="1310" t="s">
        <v>1450</v>
      </c>
      <c r="AD135" s="1310" t="s">
        <v>1450</v>
      </c>
      <c r="AE135" s="1310" t="s">
        <v>1450</v>
      </c>
      <c r="AF135" s="1310" t="s">
        <v>262</v>
      </c>
    </row>
    <row r="136" spans="1:32" x14ac:dyDescent="0.3">
      <c r="A136" s="1310" t="s">
        <v>1450</v>
      </c>
      <c r="B136" s="1310" t="s">
        <v>1450</v>
      </c>
      <c r="C136" s="1310" t="s">
        <v>1450</v>
      </c>
      <c r="D136" s="1310" t="s">
        <v>1450</v>
      </c>
      <c r="E136" s="1310" t="s">
        <v>1450</v>
      </c>
      <c r="F136" s="1310" t="s">
        <v>1504</v>
      </c>
      <c r="G136" s="1310" t="s">
        <v>1532</v>
      </c>
      <c r="H136" s="1310" t="s">
        <v>1475</v>
      </c>
      <c r="I136" s="1310" t="s">
        <v>1482</v>
      </c>
      <c r="J136" s="1310" t="s">
        <v>1482</v>
      </c>
      <c r="K136" s="1310" t="s">
        <v>1538</v>
      </c>
      <c r="L136" s="1310" t="s">
        <v>1475</v>
      </c>
      <c r="M136" s="1310" t="s">
        <v>1447</v>
      </c>
      <c r="N136" s="1310" t="s">
        <v>1479</v>
      </c>
      <c r="O136" s="1310" t="s">
        <v>1573</v>
      </c>
      <c r="P136" s="1310" t="s">
        <v>1480</v>
      </c>
      <c r="Q136" s="1310" t="s">
        <v>1498</v>
      </c>
      <c r="R136" s="1310" t="s">
        <v>1538</v>
      </c>
      <c r="S136" s="1310" t="s">
        <v>1451</v>
      </c>
      <c r="T136" s="1310" t="s">
        <v>1651</v>
      </c>
      <c r="U136" s="1310" t="s">
        <v>1455</v>
      </c>
      <c r="V136" s="1310" t="s">
        <v>1474</v>
      </c>
      <c r="W136" s="1310" t="s">
        <v>1474</v>
      </c>
      <c r="X136" s="1310" t="s">
        <v>1482</v>
      </c>
      <c r="Y136" s="1310" t="s">
        <v>262</v>
      </c>
      <c r="Z136" s="1310" t="s">
        <v>1450</v>
      </c>
      <c r="AA136" s="1310" t="s">
        <v>1450</v>
      </c>
      <c r="AB136" s="1310" t="s">
        <v>1450</v>
      </c>
      <c r="AC136" s="1310" t="s">
        <v>269</v>
      </c>
      <c r="AD136" s="1310" t="s">
        <v>1532</v>
      </c>
      <c r="AE136" s="1310" t="s">
        <v>1475</v>
      </c>
      <c r="AF136" s="1310" t="s">
        <v>1482</v>
      </c>
    </row>
    <row r="137" spans="1:32" x14ac:dyDescent="0.3">
      <c r="A137" s="1310" t="s">
        <v>1482</v>
      </c>
      <c r="B137" s="1310" t="s">
        <v>1538</v>
      </c>
      <c r="C137" s="1310" t="s">
        <v>1475</v>
      </c>
      <c r="D137" s="1310" t="s">
        <v>1447</v>
      </c>
      <c r="E137" s="1310" t="s">
        <v>1479</v>
      </c>
      <c r="F137" s="1310" t="s">
        <v>1538</v>
      </c>
      <c r="G137" s="1310" t="s">
        <v>1446</v>
      </c>
      <c r="H137" s="1310" t="s">
        <v>1588</v>
      </c>
      <c r="I137" s="1310" t="s">
        <v>1538</v>
      </c>
      <c r="J137" s="1310" t="s">
        <v>1450</v>
      </c>
      <c r="K137" s="1310" t="s">
        <v>1450</v>
      </c>
      <c r="L137" s="1310" t="s">
        <v>1450</v>
      </c>
      <c r="M137" s="1310" t="s">
        <v>262</v>
      </c>
      <c r="N137" s="1310" t="s">
        <v>1450</v>
      </c>
      <c r="O137" s="1310" t="s">
        <v>1450</v>
      </c>
      <c r="P137" s="1310" t="s">
        <v>1450</v>
      </c>
      <c r="Q137" s="1310" t="s">
        <v>1450</v>
      </c>
      <c r="R137" s="1310" t="s">
        <v>1450</v>
      </c>
      <c r="S137" s="1310" t="s">
        <v>270</v>
      </c>
      <c r="T137" s="1310" t="s">
        <v>1478</v>
      </c>
      <c r="U137" s="1310" t="s">
        <v>1474</v>
      </c>
      <c r="V137" s="1310" t="s">
        <v>1460</v>
      </c>
      <c r="W137" s="1310" t="s">
        <v>1610</v>
      </c>
      <c r="X137" s="1310" t="s">
        <v>1472</v>
      </c>
      <c r="Y137" s="1310" t="s">
        <v>1482</v>
      </c>
      <c r="Z137" s="1310" t="s">
        <v>1448</v>
      </c>
      <c r="AA137" s="1310" t="s">
        <v>1564</v>
      </c>
      <c r="AB137" s="1310" t="s">
        <v>1484</v>
      </c>
      <c r="AC137" s="1310" t="s">
        <v>1475</v>
      </c>
      <c r="AD137" s="1310" t="s">
        <v>1484</v>
      </c>
      <c r="AE137" s="1310" t="s">
        <v>1542</v>
      </c>
      <c r="AF137" s="1310" t="s">
        <v>1483</v>
      </c>
    </row>
    <row r="138" spans="1:32" x14ac:dyDescent="0.3">
      <c r="A138" s="1310" t="s">
        <v>1450</v>
      </c>
      <c r="B138" s="1310" t="s">
        <v>1450</v>
      </c>
      <c r="C138" s="1310" t="s">
        <v>1450</v>
      </c>
      <c r="D138" s="1310" t="s">
        <v>1510</v>
      </c>
      <c r="E138" s="1310" t="s">
        <v>1446</v>
      </c>
      <c r="F138" s="1310" t="s">
        <v>1530</v>
      </c>
      <c r="G138" s="1310" t="s">
        <v>1482</v>
      </c>
      <c r="H138" s="1310" t="s">
        <v>1448</v>
      </c>
      <c r="I138" s="1310" t="s">
        <v>1532</v>
      </c>
      <c r="J138" s="1310" t="s">
        <v>1475</v>
      </c>
      <c r="K138" s="1310" t="s">
        <v>1498</v>
      </c>
      <c r="L138" s="1310" t="s">
        <v>1474</v>
      </c>
      <c r="M138" s="1310" t="s">
        <v>1460</v>
      </c>
      <c r="N138" s="1310" t="s">
        <v>1610</v>
      </c>
      <c r="O138" s="1310" t="s">
        <v>1472</v>
      </c>
      <c r="P138" s="1310" t="s">
        <v>1482</v>
      </c>
      <c r="Q138" s="1310" t="s">
        <v>1448</v>
      </c>
      <c r="R138" s="1310" t="s">
        <v>1564</v>
      </c>
      <c r="S138" s="1310" t="s">
        <v>1484</v>
      </c>
      <c r="T138" s="1310" t="s">
        <v>1450</v>
      </c>
      <c r="U138" s="1310" t="s">
        <v>1450</v>
      </c>
      <c r="V138" s="1310" t="s">
        <v>1450</v>
      </c>
      <c r="W138" s="1310" t="s">
        <v>267</v>
      </c>
      <c r="X138" s="1310" t="s">
        <v>1473</v>
      </c>
      <c r="Y138" s="1310" t="s">
        <v>1475</v>
      </c>
      <c r="Z138" s="1310" t="s">
        <v>1449</v>
      </c>
      <c r="AA138" s="1310" t="s">
        <v>1520</v>
      </c>
      <c r="AB138" s="1310" t="s">
        <v>1542</v>
      </c>
      <c r="AC138" s="1310" t="s">
        <v>1482</v>
      </c>
      <c r="AD138" s="1310" t="s">
        <v>1479</v>
      </c>
      <c r="AE138" s="1310" t="s">
        <v>1450</v>
      </c>
      <c r="AF138" s="1310" t="s">
        <v>1450</v>
      </c>
    </row>
    <row r="139" spans="1:32" x14ac:dyDescent="0.3">
      <c r="A139" s="1310" t="s">
        <v>1450</v>
      </c>
      <c r="B139" s="1310" t="s">
        <v>270</v>
      </c>
      <c r="C139" s="1310" t="s">
        <v>1554</v>
      </c>
      <c r="D139" s="1310" t="s">
        <v>1475</v>
      </c>
      <c r="E139" s="1310" t="s">
        <v>1460</v>
      </c>
      <c r="F139" s="1310" t="s">
        <v>1479</v>
      </c>
      <c r="G139" s="1310" t="s">
        <v>1472</v>
      </c>
      <c r="H139" s="1310" t="s">
        <v>1482</v>
      </c>
      <c r="I139" s="1310" t="s">
        <v>1448</v>
      </c>
      <c r="J139" s="1310" t="s">
        <v>1564</v>
      </c>
      <c r="K139" s="1310" t="s">
        <v>1484</v>
      </c>
      <c r="L139" s="1310" t="s">
        <v>1475</v>
      </c>
      <c r="M139" s="1310" t="s">
        <v>1484</v>
      </c>
      <c r="N139" s="1310" t="s">
        <v>1542</v>
      </c>
      <c r="O139" s="1310" t="s">
        <v>1483</v>
      </c>
      <c r="P139" s="1310" t="s">
        <v>1450</v>
      </c>
      <c r="Q139" s="1310" t="s">
        <v>1450</v>
      </c>
      <c r="R139" s="1310" t="s">
        <v>1450</v>
      </c>
      <c r="S139" s="1310" t="s">
        <v>1510</v>
      </c>
      <c r="T139" s="1310" t="s">
        <v>1446</v>
      </c>
      <c r="U139" s="1310" t="s">
        <v>1530</v>
      </c>
      <c r="V139" s="1310" t="s">
        <v>1482</v>
      </c>
      <c r="W139" s="1310" t="s">
        <v>1448</v>
      </c>
      <c r="X139" s="1310" t="s">
        <v>1532</v>
      </c>
      <c r="Y139" s="1310" t="s">
        <v>1475</v>
      </c>
      <c r="Z139" s="1310" t="s">
        <v>1553</v>
      </c>
      <c r="AA139" s="1310" t="s">
        <v>1475</v>
      </c>
      <c r="AB139" s="1310" t="s">
        <v>1460</v>
      </c>
      <c r="AC139" s="1310" t="s">
        <v>1479</v>
      </c>
      <c r="AD139" s="1310" t="s">
        <v>1472</v>
      </c>
      <c r="AE139" s="1310" t="s">
        <v>1482</v>
      </c>
      <c r="AF139" s="1310" t="s">
        <v>1448</v>
      </c>
    </row>
    <row r="140" spans="1:32" x14ac:dyDescent="0.3">
      <c r="A140" s="1310" t="s">
        <v>1564</v>
      </c>
      <c r="B140" s="1310" t="s">
        <v>1484</v>
      </c>
      <c r="C140" s="1310" t="s">
        <v>1450</v>
      </c>
      <c r="D140" s="1310" t="s">
        <v>1450</v>
      </c>
      <c r="E140" s="1310" t="s">
        <v>1450</v>
      </c>
      <c r="F140" s="1310" t="s">
        <v>267</v>
      </c>
      <c r="G140" s="1310" t="s">
        <v>1473</v>
      </c>
      <c r="H140" s="1310" t="s">
        <v>1475</v>
      </c>
      <c r="I140" s="1310" t="s">
        <v>1449</v>
      </c>
      <c r="J140" s="1310" t="s">
        <v>1520</v>
      </c>
      <c r="K140" s="1310" t="s">
        <v>1542</v>
      </c>
      <c r="L140" s="1310" t="s">
        <v>1482</v>
      </c>
      <c r="M140" s="1310" t="s">
        <v>1479</v>
      </c>
      <c r="N140" s="1310" t="s">
        <v>1450</v>
      </c>
      <c r="O140" s="1310" t="s">
        <v>1450</v>
      </c>
      <c r="P140" s="1310" t="s">
        <v>1450</v>
      </c>
      <c r="Q140" s="1310" t="s">
        <v>1508</v>
      </c>
      <c r="R140" s="1310" t="s">
        <v>1455</v>
      </c>
      <c r="S140" s="1310" t="s">
        <v>1564</v>
      </c>
      <c r="T140" s="1310" t="s">
        <v>1502</v>
      </c>
      <c r="U140" s="1310" t="s">
        <v>1474</v>
      </c>
      <c r="V140" s="1310" t="s">
        <v>1482</v>
      </c>
      <c r="W140" s="1310" t="s">
        <v>1474</v>
      </c>
      <c r="X140" s="1310" t="s">
        <v>1460</v>
      </c>
      <c r="Y140" s="1310" t="s">
        <v>1538</v>
      </c>
      <c r="Z140" s="1310" t="s">
        <v>1585</v>
      </c>
      <c r="AA140" s="1310" t="s">
        <v>1481</v>
      </c>
      <c r="AB140" s="1310" t="s">
        <v>1475</v>
      </c>
      <c r="AC140" s="1310" t="s">
        <v>1475</v>
      </c>
      <c r="AD140" s="1310" t="s">
        <v>1484</v>
      </c>
      <c r="AE140" s="1310" t="s">
        <v>1542</v>
      </c>
      <c r="AF140" s="1310" t="s">
        <v>1483</v>
      </c>
    </row>
    <row r="141" spans="1:32" x14ac:dyDescent="0.3">
      <c r="A141" s="1310" t="s">
        <v>1450</v>
      </c>
      <c r="B141" s="1310" t="s">
        <v>1450</v>
      </c>
      <c r="C141" s="1310" t="s">
        <v>1450</v>
      </c>
      <c r="D141" s="1310" t="s">
        <v>1507</v>
      </c>
      <c r="E141" s="1310" t="s">
        <v>1446</v>
      </c>
      <c r="F141" s="1310" t="s">
        <v>1530</v>
      </c>
      <c r="G141" s="1310" t="s">
        <v>1482</v>
      </c>
      <c r="H141" s="1310" t="s">
        <v>1448</v>
      </c>
      <c r="I141" s="1310" t="s">
        <v>1532</v>
      </c>
      <c r="J141" s="1310" t="s">
        <v>1475</v>
      </c>
      <c r="K141" s="1310" t="s">
        <v>1524</v>
      </c>
      <c r="L141" s="1310" t="s">
        <v>1563</v>
      </c>
      <c r="M141" s="1310" t="s">
        <v>1502</v>
      </c>
      <c r="N141" s="1310" t="s">
        <v>1474</v>
      </c>
      <c r="O141" s="1310" t="s">
        <v>1482</v>
      </c>
      <c r="P141" s="1310" t="s">
        <v>1474</v>
      </c>
      <c r="Q141" s="1310" t="s">
        <v>1460</v>
      </c>
      <c r="R141" s="1310" t="s">
        <v>1538</v>
      </c>
      <c r="S141" s="1310" t="s">
        <v>1585</v>
      </c>
      <c r="T141" s="1310" t="s">
        <v>1481</v>
      </c>
      <c r="U141" s="1310" t="s">
        <v>1475</v>
      </c>
      <c r="V141" s="1310" t="s">
        <v>1450</v>
      </c>
      <c r="W141" s="1310" t="s">
        <v>1450</v>
      </c>
      <c r="X141" s="1310" t="s">
        <v>1450</v>
      </c>
      <c r="Y141" s="1310" t="s">
        <v>1450</v>
      </c>
      <c r="Z141" s="1310" t="s">
        <v>1624</v>
      </c>
      <c r="AA141" s="1310" t="s">
        <v>1474</v>
      </c>
      <c r="AB141" s="1310" t="s">
        <v>1484</v>
      </c>
      <c r="AC141" s="1310" t="s">
        <v>1475</v>
      </c>
      <c r="AD141" s="1310" t="s">
        <v>1450</v>
      </c>
      <c r="AE141" s="1310" t="s">
        <v>1450</v>
      </c>
      <c r="AF141" s="1310" t="s">
        <v>1450</v>
      </c>
    </row>
    <row r="142" spans="1:32" x14ac:dyDescent="0.3">
      <c r="A142" s="1310" t="s">
        <v>270</v>
      </c>
      <c r="B142" s="1310" t="s">
        <v>1479</v>
      </c>
      <c r="C142" s="1310" t="s">
        <v>1474</v>
      </c>
      <c r="D142" s="1310" t="s">
        <v>1481</v>
      </c>
      <c r="E142" s="1310" t="s">
        <v>1633</v>
      </c>
      <c r="F142" s="1310" t="s">
        <v>1542</v>
      </c>
      <c r="G142" s="1310" t="s">
        <v>1479</v>
      </c>
      <c r="H142" s="1310" t="s">
        <v>1480</v>
      </c>
      <c r="I142" s="1310" t="s">
        <v>1475</v>
      </c>
      <c r="J142" s="1310" t="s">
        <v>1479</v>
      </c>
      <c r="K142" s="1310" t="s">
        <v>1482</v>
      </c>
      <c r="L142" s="1310" t="s">
        <v>1474</v>
      </c>
      <c r="M142" s="1310" t="s">
        <v>1484</v>
      </c>
      <c r="N142" s="1310" t="s">
        <v>1564</v>
      </c>
      <c r="O142" s="1310" t="s">
        <v>1450</v>
      </c>
      <c r="P142" s="1310" t="s">
        <v>1450</v>
      </c>
      <c r="Q142" s="1310" t="s">
        <v>1450</v>
      </c>
      <c r="R142" s="1310" t="s">
        <v>1450</v>
      </c>
      <c r="S142" s="1310" t="s">
        <v>1450</v>
      </c>
      <c r="T142" s="1310" t="s">
        <v>1450</v>
      </c>
      <c r="U142" s="1310" t="s">
        <v>1450</v>
      </c>
      <c r="V142" s="1310" t="s">
        <v>1467</v>
      </c>
      <c r="W142" s="1310" t="s">
        <v>1482</v>
      </c>
      <c r="X142" s="1310" t="s">
        <v>1475</v>
      </c>
      <c r="Y142" s="1310" t="s">
        <v>1449</v>
      </c>
      <c r="Z142" s="1310" t="s">
        <v>1479</v>
      </c>
      <c r="AA142" s="1310" t="s">
        <v>1633</v>
      </c>
      <c r="AB142" s="1310" t="s">
        <v>1542</v>
      </c>
      <c r="AC142" s="1310" t="s">
        <v>1479</v>
      </c>
      <c r="AD142" s="1310" t="s">
        <v>1480</v>
      </c>
      <c r="AE142" s="1310" t="s">
        <v>1475</v>
      </c>
      <c r="AF142" s="1310" t="s">
        <v>1479</v>
      </c>
    </row>
    <row r="143" spans="1:32" x14ac:dyDescent="0.3">
      <c r="A143" s="1310" t="s">
        <v>1482</v>
      </c>
      <c r="B143" s="1310" t="s">
        <v>1474</v>
      </c>
      <c r="C143" s="1310" t="s">
        <v>1484</v>
      </c>
      <c r="D143" s="1310" t="s">
        <v>1564</v>
      </c>
      <c r="E143" s="1310" t="s">
        <v>1450</v>
      </c>
      <c r="F143" s="1310" t="s">
        <v>1450</v>
      </c>
      <c r="G143" s="1310" t="s">
        <v>1450</v>
      </c>
      <c r="H143" s="1310" t="s">
        <v>1450</v>
      </c>
      <c r="I143" s="1310" t="s">
        <v>1450</v>
      </c>
      <c r="J143" s="1310" t="s">
        <v>1450</v>
      </c>
      <c r="K143" s="1310" t="s">
        <v>1450</v>
      </c>
      <c r="L143" s="1310" t="s">
        <v>1500</v>
      </c>
      <c r="M143" s="1310" t="s">
        <v>1455</v>
      </c>
      <c r="N143" s="1310" t="s">
        <v>1474</v>
      </c>
      <c r="O143" s="1310" t="s">
        <v>1479</v>
      </c>
      <c r="P143" s="1310" t="s">
        <v>1479</v>
      </c>
      <c r="Q143" s="1310" t="s">
        <v>1474</v>
      </c>
      <c r="R143" s="1310" t="s">
        <v>1483</v>
      </c>
      <c r="S143" s="1310" t="s">
        <v>1633</v>
      </c>
      <c r="T143" s="1310" t="s">
        <v>1542</v>
      </c>
      <c r="U143" s="1310" t="s">
        <v>1479</v>
      </c>
      <c r="V143" s="1310" t="s">
        <v>1480</v>
      </c>
      <c r="W143" s="1310" t="s">
        <v>1475</v>
      </c>
      <c r="X143" s="1310" t="s">
        <v>1479</v>
      </c>
      <c r="Y143" s="1310" t="s">
        <v>1482</v>
      </c>
      <c r="Z143" s="1310" t="s">
        <v>1474</v>
      </c>
      <c r="AA143" s="1310" t="s">
        <v>1484</v>
      </c>
      <c r="AB143" s="1310" t="s">
        <v>1564</v>
      </c>
      <c r="AC143" s="1310" t="s">
        <v>1450</v>
      </c>
      <c r="AD143" s="1310" t="s">
        <v>1450</v>
      </c>
      <c r="AE143" s="1310" t="s">
        <v>1450</v>
      </c>
      <c r="AF143" s="1310" t="s">
        <v>1450</v>
      </c>
    </row>
    <row r="144" spans="1:32" x14ac:dyDescent="0.3">
      <c r="A144" s="1310" t="s">
        <v>1450</v>
      </c>
      <c r="B144" s="1310" t="s">
        <v>1450</v>
      </c>
      <c r="C144" s="1310" t="s">
        <v>1450</v>
      </c>
      <c r="D144" s="1310" t="s">
        <v>1508</v>
      </c>
      <c r="E144" s="1310" t="s">
        <v>1460</v>
      </c>
      <c r="F144" s="1310" t="s">
        <v>1448</v>
      </c>
      <c r="G144" s="1310" t="s">
        <v>1564</v>
      </c>
      <c r="H144" s="1310" t="s">
        <v>1478</v>
      </c>
      <c r="I144" s="1310" t="s">
        <v>1479</v>
      </c>
      <c r="J144" s="1310" t="s">
        <v>1633</v>
      </c>
      <c r="K144" s="1310" t="s">
        <v>1542</v>
      </c>
      <c r="L144" s="1310" t="s">
        <v>1479</v>
      </c>
      <c r="M144" s="1310" t="s">
        <v>1480</v>
      </c>
      <c r="N144" s="1310" t="s">
        <v>1475</v>
      </c>
      <c r="O144" s="1310" t="s">
        <v>1479</v>
      </c>
      <c r="P144" s="1310" t="s">
        <v>1482</v>
      </c>
      <c r="Q144" s="1310" t="s">
        <v>1474</v>
      </c>
      <c r="R144" s="1310" t="s">
        <v>1484</v>
      </c>
      <c r="S144" s="1310" t="s">
        <v>1564</v>
      </c>
      <c r="T144" s="1310" t="s">
        <v>1450</v>
      </c>
      <c r="U144" s="1310" t="s">
        <v>1450</v>
      </c>
      <c r="V144" s="1310" t="s">
        <v>1450</v>
      </c>
      <c r="W144" s="1310" t="s">
        <v>1450</v>
      </c>
      <c r="X144" s="1310" t="s">
        <v>1450</v>
      </c>
      <c r="Y144" s="1310" t="s">
        <v>1574</v>
      </c>
      <c r="Z144" s="1310" t="s">
        <v>1524</v>
      </c>
      <c r="AA144" s="1310" t="s">
        <v>1573</v>
      </c>
      <c r="AB144" s="1310" t="s">
        <v>1451</v>
      </c>
      <c r="AC144" s="1310" t="s">
        <v>265</v>
      </c>
      <c r="AD144" s="1310" t="s">
        <v>1458</v>
      </c>
      <c r="AE144" s="1310" t="s">
        <v>1450</v>
      </c>
      <c r="AF144" s="1310" t="s">
        <v>1450</v>
      </c>
    </row>
    <row r="145" spans="1:32" x14ac:dyDescent="0.3">
      <c r="A145" s="1310" t="s">
        <v>1450</v>
      </c>
      <c r="B145" s="1310" t="s">
        <v>1450</v>
      </c>
      <c r="C145" s="1310" t="s">
        <v>1450</v>
      </c>
      <c r="D145" s="1310" t="s">
        <v>1500</v>
      </c>
      <c r="E145" s="1310" t="s">
        <v>1450</v>
      </c>
      <c r="F145" s="1310" t="s">
        <v>1450</v>
      </c>
      <c r="G145" s="1310" t="s">
        <v>1450</v>
      </c>
      <c r="H145" s="1310" t="s">
        <v>263</v>
      </c>
      <c r="I145" s="1310" t="s">
        <v>1517</v>
      </c>
      <c r="J145" s="1310" t="s">
        <v>1531</v>
      </c>
      <c r="K145" s="1310" t="s">
        <v>1450</v>
      </c>
      <c r="L145" s="1310" t="s">
        <v>1450</v>
      </c>
      <c r="M145" s="1310" t="s">
        <v>1450</v>
      </c>
      <c r="N145" s="1310" t="s">
        <v>1450</v>
      </c>
      <c r="O145" s="1310" t="s">
        <v>1450</v>
      </c>
      <c r="P145" s="1310" t="s">
        <v>1450</v>
      </c>
      <c r="Q145" s="1310" t="s">
        <v>1574</v>
      </c>
      <c r="R145" s="1310" t="s">
        <v>1524</v>
      </c>
      <c r="S145" s="1310" t="s">
        <v>1573</v>
      </c>
      <c r="T145" s="1310" t="s">
        <v>1451</v>
      </c>
      <c r="U145" s="1310" t="s">
        <v>265</v>
      </c>
      <c r="V145" s="1310" t="s">
        <v>1462</v>
      </c>
      <c r="W145" s="1310" t="s">
        <v>1450</v>
      </c>
      <c r="X145" s="1310" t="s">
        <v>1450</v>
      </c>
      <c r="Y145" s="1310" t="s">
        <v>1450</v>
      </c>
      <c r="Z145" s="1310" t="s">
        <v>1450</v>
      </c>
      <c r="AA145" s="1310" t="s">
        <v>1450</v>
      </c>
      <c r="AB145" s="1310" t="s">
        <v>265</v>
      </c>
      <c r="AC145" s="1310" t="s">
        <v>1450</v>
      </c>
      <c r="AD145" s="1310" t="s">
        <v>1450</v>
      </c>
      <c r="AE145" s="1310" t="s">
        <v>1450</v>
      </c>
      <c r="AF145" s="1310" t="s">
        <v>264</v>
      </c>
    </row>
    <row r="146" spans="1:32" x14ac:dyDescent="0.3">
      <c r="A146" s="1310" t="s">
        <v>1574</v>
      </c>
      <c r="B146" s="1310" t="s">
        <v>1524</v>
      </c>
      <c r="C146" s="1310" t="s">
        <v>1573</v>
      </c>
      <c r="D146" s="1310" t="s">
        <v>1451</v>
      </c>
      <c r="E146" s="1310" t="s">
        <v>265</v>
      </c>
      <c r="F146" s="1310" t="s">
        <v>1500</v>
      </c>
      <c r="G146" s="1310" t="s">
        <v>1450</v>
      </c>
      <c r="H146" s="1310" t="s">
        <v>1450</v>
      </c>
      <c r="I146" s="1310" t="s">
        <v>1450</v>
      </c>
      <c r="J146" s="1310" t="s">
        <v>1450</v>
      </c>
      <c r="K146" s="1310" t="s">
        <v>269</v>
      </c>
      <c r="L146" s="1310" t="s">
        <v>1576</v>
      </c>
      <c r="M146" s="1310" t="s">
        <v>1450</v>
      </c>
      <c r="N146" s="1310" t="s">
        <v>1450</v>
      </c>
      <c r="O146" s="1310" t="s">
        <v>1450</v>
      </c>
      <c r="P146" s="1310" t="s">
        <v>262</v>
      </c>
      <c r="Q146" s="1310" t="s">
        <v>1450</v>
      </c>
      <c r="R146" s="1310" t="s">
        <v>1450</v>
      </c>
      <c r="S146" s="1310" t="s">
        <v>1450</v>
      </c>
      <c r="T146" s="1310" t="s">
        <v>1495</v>
      </c>
      <c r="U146" s="1310" t="s">
        <v>1450</v>
      </c>
      <c r="V146" s="1310" t="s">
        <v>1450</v>
      </c>
      <c r="W146" s="1310" t="s">
        <v>1450</v>
      </c>
      <c r="X146" s="1310" t="s">
        <v>1454</v>
      </c>
      <c r="Y146" s="1310" t="s">
        <v>1450</v>
      </c>
      <c r="Z146" s="1310" t="s">
        <v>1450</v>
      </c>
      <c r="AA146" s="1310" t="s">
        <v>262</v>
      </c>
      <c r="AB146" s="1310" t="s">
        <v>1656</v>
      </c>
      <c r="AC146" s="1310" t="s">
        <v>1450</v>
      </c>
      <c r="AD146" s="1310" t="s">
        <v>1450</v>
      </c>
      <c r="AE146" s="1310" t="s">
        <v>1487</v>
      </c>
      <c r="AF146" s="1310" t="s">
        <v>1514</v>
      </c>
    </row>
    <row r="147" spans="1:32" x14ac:dyDescent="0.3">
      <c r="A147" s="1310" t="s">
        <v>1450</v>
      </c>
      <c r="B147" s="1310" t="s">
        <v>1450</v>
      </c>
      <c r="C147" s="1310" t="s">
        <v>269</v>
      </c>
      <c r="D147" s="1310" t="s">
        <v>1497</v>
      </c>
      <c r="E147" s="1310" t="s">
        <v>1450</v>
      </c>
      <c r="F147" s="1310" t="s">
        <v>1511</v>
      </c>
      <c r="G147" s="1310" t="s">
        <v>1450</v>
      </c>
      <c r="H147" s="1310" t="s">
        <v>262</v>
      </c>
      <c r="I147" s="1310" t="s">
        <v>1443</v>
      </c>
      <c r="J147" s="1310" t="s">
        <v>1444</v>
      </c>
      <c r="K147" s="1310" t="s">
        <v>1443</v>
      </c>
      <c r="L147" s="1310" t="s">
        <v>1499</v>
      </c>
      <c r="M147" s="1310" t="s">
        <v>1450</v>
      </c>
      <c r="N147" s="1310" t="s">
        <v>1500</v>
      </c>
      <c r="O147" s="1310" t="s">
        <v>1472</v>
      </c>
      <c r="P147" s="1310" t="s">
        <v>1473</v>
      </c>
      <c r="Q147" s="1310" t="s">
        <v>1474</v>
      </c>
      <c r="R147" s="1310" t="s">
        <v>1455</v>
      </c>
      <c r="S147" s="1310" t="s">
        <v>1475</v>
      </c>
      <c r="T147" s="1310" t="s">
        <v>1501</v>
      </c>
      <c r="U147" s="1310" t="s">
        <v>1502</v>
      </c>
      <c r="V147" s="1310" t="s">
        <v>1451</v>
      </c>
      <c r="W147" s="1310" t="s">
        <v>1450</v>
      </c>
      <c r="X147" s="1310" t="s">
        <v>262</v>
      </c>
      <c r="Y147" s="1310" t="s">
        <v>1443</v>
      </c>
      <c r="Z147" s="1310" t="s">
        <v>1503</v>
      </c>
      <c r="AA147" s="1310" t="s">
        <v>1450</v>
      </c>
      <c r="AB147" s="1310" t="s">
        <v>1504</v>
      </c>
      <c r="AC147" s="1310" t="s">
        <v>1472</v>
      </c>
      <c r="AD147" s="1310" t="s">
        <v>1473</v>
      </c>
      <c r="AE147" s="1310" t="s">
        <v>1474</v>
      </c>
      <c r="AF147" s="1310" t="s">
        <v>1455</v>
      </c>
    </row>
    <row r="148" spans="1:32" x14ac:dyDescent="0.3">
      <c r="A148" s="1310" t="s">
        <v>1475</v>
      </c>
      <c r="B148" s="1310" t="s">
        <v>1450</v>
      </c>
      <c r="C148" s="1310" t="s">
        <v>1473</v>
      </c>
      <c r="D148" s="1310" t="s">
        <v>1469</v>
      </c>
      <c r="E148" s="1310" t="s">
        <v>1450</v>
      </c>
      <c r="F148" s="1310" t="s">
        <v>1450</v>
      </c>
      <c r="G148" s="1310" t="s">
        <v>1450</v>
      </c>
      <c r="H148" s="1310" t="s">
        <v>262</v>
      </c>
      <c r="I148" s="1310" t="s">
        <v>1443</v>
      </c>
      <c r="J148" s="1310" t="s">
        <v>1505</v>
      </c>
      <c r="K148" s="1310" t="s">
        <v>1450</v>
      </c>
      <c r="L148" s="1310" t="s">
        <v>1506</v>
      </c>
      <c r="M148" s="1310" t="s">
        <v>1450</v>
      </c>
      <c r="N148" s="1310" t="s">
        <v>1500</v>
      </c>
      <c r="O148" s="1310" t="s">
        <v>269</v>
      </c>
      <c r="P148" s="1310" t="s">
        <v>269</v>
      </c>
      <c r="Q148" s="1310" t="s">
        <v>269</v>
      </c>
      <c r="R148" s="1310" t="s">
        <v>270</v>
      </c>
      <c r="S148" s="1310" t="s">
        <v>269</v>
      </c>
      <c r="T148" s="1310" t="s">
        <v>1500</v>
      </c>
      <c r="U148" s="1310" t="s">
        <v>270</v>
      </c>
      <c r="V148" s="1310" t="s">
        <v>270</v>
      </c>
      <c r="W148" s="1310" t="s">
        <v>1500</v>
      </c>
      <c r="X148" s="1310" t="s">
        <v>1507</v>
      </c>
      <c r="Y148" s="1310" t="s">
        <v>1508</v>
      </c>
      <c r="Z148" s="1310" t="s">
        <v>1467</v>
      </c>
      <c r="AA148" s="1310" t="s">
        <v>1508</v>
      </c>
      <c r="AB148" s="1310" t="s">
        <v>1507</v>
      </c>
      <c r="AC148" s="1310" t="s">
        <v>1509</v>
      </c>
      <c r="AD148" s="1310" t="s">
        <v>1510</v>
      </c>
      <c r="AE148" s="1310" t="s">
        <v>1500</v>
      </c>
      <c r="AF148" s="1310" t="s">
        <v>1500</v>
      </c>
    </row>
    <row r="149" spans="1:32" x14ac:dyDescent="0.3">
      <c r="A149" s="1310" t="s">
        <v>1510</v>
      </c>
      <c r="B149" s="1310" t="s">
        <v>1509</v>
      </c>
      <c r="C149" s="1310" t="s">
        <v>1511</v>
      </c>
      <c r="D149" s="1310" t="s">
        <v>1512</v>
      </c>
      <c r="E149" s="1310" t="s">
        <v>1512</v>
      </c>
      <c r="F149" s="1310" t="s">
        <v>1509</v>
      </c>
      <c r="G149" s="1310" t="s">
        <v>1512</v>
      </c>
      <c r="H149" s="1310" t="s">
        <v>1512</v>
      </c>
      <c r="I149" s="1310" t="s">
        <v>1511</v>
      </c>
      <c r="J149" s="1310" t="s">
        <v>1507</v>
      </c>
      <c r="K149" s="1310" t="s">
        <v>1500</v>
      </c>
      <c r="L149" s="1310" t="s">
        <v>1500</v>
      </c>
      <c r="M149" s="1310" t="s">
        <v>1500</v>
      </c>
      <c r="N149" s="1310" t="s">
        <v>1500</v>
      </c>
      <c r="O149" s="1310" t="s">
        <v>1500</v>
      </c>
      <c r="P149" s="1310" t="s">
        <v>1500</v>
      </c>
      <c r="Q149" s="1310" t="s">
        <v>1507</v>
      </c>
      <c r="R149" s="1310" t="s">
        <v>1500</v>
      </c>
      <c r="S149" s="1310" t="s">
        <v>1500</v>
      </c>
      <c r="T149" s="1310" t="s">
        <v>1500</v>
      </c>
      <c r="U149" s="1310" t="s">
        <v>1500</v>
      </c>
      <c r="V149" s="1310" t="s">
        <v>1500</v>
      </c>
      <c r="W149" s="1310" t="s">
        <v>1500</v>
      </c>
      <c r="X149" s="1310" t="s">
        <v>1500</v>
      </c>
      <c r="Y149" s="1310" t="s">
        <v>1500</v>
      </c>
      <c r="Z149" s="1310" t="s">
        <v>1500</v>
      </c>
      <c r="AA149" s="1310" t="s">
        <v>1500</v>
      </c>
      <c r="AB149" s="1310" t="s">
        <v>1500</v>
      </c>
      <c r="AC149" s="1310" t="s">
        <v>1500</v>
      </c>
      <c r="AD149" s="1310" t="s">
        <v>1500</v>
      </c>
      <c r="AE149" s="1310" t="s">
        <v>1500</v>
      </c>
      <c r="AF149" s="1310" t="s">
        <v>1500</v>
      </c>
    </row>
    <row r="150" spans="1:32" x14ac:dyDescent="0.3">
      <c r="A150" s="1310" t="s">
        <v>1500</v>
      </c>
      <c r="B150" s="1310" t="s">
        <v>1500</v>
      </c>
      <c r="C150" s="1310" t="s">
        <v>1500</v>
      </c>
      <c r="D150" s="1310" t="s">
        <v>1500</v>
      </c>
      <c r="E150" s="1310" t="s">
        <v>1500</v>
      </c>
      <c r="F150" s="1310" t="s">
        <v>1500</v>
      </c>
      <c r="G150" s="1310" t="s">
        <v>1500</v>
      </c>
      <c r="H150" s="1310" t="s">
        <v>1500</v>
      </c>
      <c r="I150" s="1310" t="s">
        <v>1500</v>
      </c>
      <c r="J150" s="1310" t="s">
        <v>1500</v>
      </c>
      <c r="K150" s="1310" t="s">
        <v>1500</v>
      </c>
      <c r="L150" s="1310" t="s">
        <v>1500</v>
      </c>
      <c r="M150" s="1310" t="s">
        <v>1500</v>
      </c>
      <c r="N150" s="1310" t="s">
        <v>262</v>
      </c>
      <c r="O150" s="1310" t="s">
        <v>1513</v>
      </c>
      <c r="P150" s="1310" t="s">
        <v>1508</v>
      </c>
      <c r="Q150" s="1310" t="s">
        <v>1508</v>
      </c>
      <c r="R150" s="1310" t="s">
        <v>1513</v>
      </c>
      <c r="S150" s="1310" t="s">
        <v>1504</v>
      </c>
      <c r="T150" s="1310" t="s">
        <v>1513</v>
      </c>
      <c r="U150" s="1310" t="s">
        <v>1471</v>
      </c>
      <c r="V150" s="1310" t="s">
        <v>1504</v>
      </c>
      <c r="W150" s="1310" t="s">
        <v>1504</v>
      </c>
      <c r="X150" s="1310" t="s">
        <v>1471</v>
      </c>
      <c r="Y150" s="1310" t="s">
        <v>1462</v>
      </c>
      <c r="Z150" s="1310" t="s">
        <v>1504</v>
      </c>
      <c r="AA150" s="1310" t="s">
        <v>1504</v>
      </c>
      <c r="AB150" s="1310" t="s">
        <v>1504</v>
      </c>
      <c r="AC150" s="1310" t="s">
        <v>1462</v>
      </c>
      <c r="AD150" s="1310" t="s">
        <v>1462</v>
      </c>
      <c r="AE150" s="1310" t="s">
        <v>1504</v>
      </c>
      <c r="AF150" s="1310" t="s">
        <v>1504</v>
      </c>
    </row>
    <row r="151" spans="1:32" x14ac:dyDescent="0.3">
      <c r="A151" s="1310" t="s">
        <v>1504</v>
      </c>
      <c r="B151" s="1310" t="s">
        <v>1504</v>
      </c>
      <c r="C151" s="1310" t="s">
        <v>1462</v>
      </c>
      <c r="D151" s="1310" t="s">
        <v>1507</v>
      </c>
      <c r="E151" s="1310" t="s">
        <v>1500</v>
      </c>
      <c r="F151" s="1310" t="s">
        <v>1500</v>
      </c>
      <c r="G151" s="1310" t="s">
        <v>1500</v>
      </c>
      <c r="H151" s="1310" t="s">
        <v>1500</v>
      </c>
      <c r="I151" s="1310" t="s">
        <v>1500</v>
      </c>
      <c r="J151" s="1310" t="s">
        <v>1507</v>
      </c>
      <c r="K151" s="1310" t="s">
        <v>1507</v>
      </c>
      <c r="L151" s="1310" t="s">
        <v>1500</v>
      </c>
      <c r="M151" s="1310" t="s">
        <v>1500</v>
      </c>
      <c r="N151" s="1310" t="s">
        <v>1500</v>
      </c>
      <c r="O151" s="1310" t="s">
        <v>1500</v>
      </c>
      <c r="P151" s="1310" t="s">
        <v>1500</v>
      </c>
      <c r="Q151" s="1310" t="s">
        <v>1500</v>
      </c>
      <c r="R151" s="1310" t="s">
        <v>1507</v>
      </c>
      <c r="S151" s="1310" t="s">
        <v>1500</v>
      </c>
      <c r="T151" s="1310" t="s">
        <v>1500</v>
      </c>
      <c r="U151" s="1310" t="s">
        <v>1500</v>
      </c>
      <c r="V151" s="1310" t="s">
        <v>1500</v>
      </c>
      <c r="W151" s="1310" t="s">
        <v>1500</v>
      </c>
      <c r="X151" s="1310" t="s">
        <v>1500</v>
      </c>
      <c r="Y151" s="1310" t="s">
        <v>1500</v>
      </c>
      <c r="Z151" s="1310" t="s">
        <v>1500</v>
      </c>
      <c r="AA151" s="1310" t="s">
        <v>1500</v>
      </c>
      <c r="AB151" s="1310" t="s">
        <v>1500</v>
      </c>
      <c r="AC151" s="1310" t="s">
        <v>1500</v>
      </c>
      <c r="AD151" s="1310" t="s">
        <v>1500</v>
      </c>
      <c r="AE151" s="1310" t="s">
        <v>1500</v>
      </c>
      <c r="AF151" s="1310" t="s">
        <v>1500</v>
      </c>
    </row>
    <row r="152" spans="1:32" x14ac:dyDescent="0.3">
      <c r="A152" s="1310" t="s">
        <v>1500</v>
      </c>
      <c r="B152" s="1310" t="s">
        <v>1500</v>
      </c>
      <c r="C152" s="1310" t="s">
        <v>1500</v>
      </c>
      <c r="D152" s="1310" t="s">
        <v>1500</v>
      </c>
      <c r="E152" s="1310" t="s">
        <v>1500</v>
      </c>
      <c r="F152" s="1310" t="s">
        <v>1500</v>
      </c>
      <c r="G152" s="1310" t="s">
        <v>1500</v>
      </c>
      <c r="H152" s="1310" t="s">
        <v>1500</v>
      </c>
      <c r="I152" s="1310" t="s">
        <v>1500</v>
      </c>
      <c r="J152" s="1310" t="s">
        <v>1500</v>
      </c>
      <c r="K152" s="1310" t="s">
        <v>1500</v>
      </c>
      <c r="L152" s="1310" t="s">
        <v>1500</v>
      </c>
      <c r="M152" s="1310" t="s">
        <v>1500</v>
      </c>
      <c r="N152" s="1310" t="s">
        <v>1500</v>
      </c>
      <c r="O152" s="1310" t="s">
        <v>1443</v>
      </c>
      <c r="P152" s="1310" t="s">
        <v>1514</v>
      </c>
      <c r="Q152" s="1310" t="s">
        <v>1450</v>
      </c>
      <c r="R152" s="1310" t="s">
        <v>1507</v>
      </c>
      <c r="S152" s="1310" t="s">
        <v>269</v>
      </c>
      <c r="T152" s="1310" t="s">
        <v>1450</v>
      </c>
      <c r="U152" s="1310" t="s">
        <v>1454</v>
      </c>
      <c r="V152" s="1310" t="s">
        <v>1450</v>
      </c>
      <c r="W152" s="1310" t="s">
        <v>1495</v>
      </c>
      <c r="X152" s="1310" t="s">
        <v>264</v>
      </c>
      <c r="Y152" s="1310" t="s">
        <v>262</v>
      </c>
      <c r="Z152" s="1310" t="s">
        <v>1515</v>
      </c>
      <c r="AA152" s="1310" t="s">
        <v>1450</v>
      </c>
      <c r="AB152" s="1310" t="s">
        <v>263</v>
      </c>
      <c r="AC152" s="1310" t="s">
        <v>1507</v>
      </c>
      <c r="AD152" s="1310" t="s">
        <v>262</v>
      </c>
      <c r="AE152" s="1310" t="s">
        <v>264</v>
      </c>
      <c r="AF152" s="1310" t="s">
        <v>1507</v>
      </c>
    </row>
    <row r="153" spans="1:32" x14ac:dyDescent="0.3">
      <c r="A153" s="1310" t="s">
        <v>262</v>
      </c>
      <c r="B153" s="1310" t="s">
        <v>1443</v>
      </c>
      <c r="C153" s="1310" t="s">
        <v>1516</v>
      </c>
      <c r="D153" s="1310" t="s">
        <v>1450</v>
      </c>
      <c r="E153" s="1310" t="s">
        <v>265</v>
      </c>
      <c r="F153" s="1310" t="s">
        <v>1450</v>
      </c>
      <c r="G153" s="1310" t="s">
        <v>1467</v>
      </c>
      <c r="H153" s="1310" t="s">
        <v>1443</v>
      </c>
      <c r="I153" s="1310" t="s">
        <v>129</v>
      </c>
      <c r="J153" s="1310" t="s">
        <v>262</v>
      </c>
      <c r="K153" s="1310" t="s">
        <v>1517</v>
      </c>
      <c r="L153" s="1310" t="s">
        <v>1450</v>
      </c>
      <c r="M153" s="1310" t="s">
        <v>1450</v>
      </c>
      <c r="N153" s="1310" t="s">
        <v>262</v>
      </c>
      <c r="O153" s="1310" t="s">
        <v>266</v>
      </c>
      <c r="P153" s="1310" t="s">
        <v>262</v>
      </c>
      <c r="Q153" s="1310" t="s">
        <v>262</v>
      </c>
      <c r="R153" s="1310" t="s">
        <v>262</v>
      </c>
      <c r="S153" s="1310" t="s">
        <v>262</v>
      </c>
      <c r="T153" s="1310" t="s">
        <v>262</v>
      </c>
      <c r="U153" s="1310" t="s">
        <v>262</v>
      </c>
      <c r="V153" s="1310" t="s">
        <v>1450</v>
      </c>
      <c r="W153" s="1310" t="s">
        <v>1450</v>
      </c>
      <c r="X153" s="1310" t="s">
        <v>1450</v>
      </c>
      <c r="Y153" s="1310" t="s">
        <v>1450</v>
      </c>
      <c r="Z153" s="1310" t="s">
        <v>1450</v>
      </c>
      <c r="AA153" s="1310" t="s">
        <v>1450</v>
      </c>
      <c r="AB153" s="1310" t="s">
        <v>1450</v>
      </c>
      <c r="AC153" s="1310" t="s">
        <v>264</v>
      </c>
      <c r="AD153" s="1310" t="s">
        <v>1450</v>
      </c>
      <c r="AE153" s="1310" t="s">
        <v>262</v>
      </c>
      <c r="AF153" s="1310" t="s">
        <v>263</v>
      </c>
    </row>
    <row r="154" spans="1:32" x14ac:dyDescent="0.3">
      <c r="A154" s="1310" t="s">
        <v>265</v>
      </c>
      <c r="B154" s="1310" t="s">
        <v>266</v>
      </c>
      <c r="C154" s="1310" t="s">
        <v>268</v>
      </c>
      <c r="D154" s="1310" t="s">
        <v>267</v>
      </c>
      <c r="E154" s="1310" t="s">
        <v>269</v>
      </c>
      <c r="F154" s="1310" t="s">
        <v>270</v>
      </c>
      <c r="G154" s="1310" t="s">
        <v>1467</v>
      </c>
      <c r="H154" s="1310" t="s">
        <v>1508</v>
      </c>
      <c r="I154" s="1310" t="s">
        <v>262</v>
      </c>
      <c r="J154" s="1310" t="s">
        <v>1450</v>
      </c>
      <c r="K154" s="1310" t="s">
        <v>262</v>
      </c>
      <c r="L154" s="1310" t="s">
        <v>266</v>
      </c>
      <c r="M154" s="1310" t="s">
        <v>262</v>
      </c>
      <c r="N154" s="1310" t="s">
        <v>262</v>
      </c>
      <c r="O154" s="1310" t="s">
        <v>262</v>
      </c>
      <c r="P154" s="1310" t="s">
        <v>262</v>
      </c>
      <c r="Q154" s="1310" t="s">
        <v>262</v>
      </c>
      <c r="R154" s="1310" t="s">
        <v>262</v>
      </c>
      <c r="S154" s="1310" t="s">
        <v>1450</v>
      </c>
      <c r="T154" s="1310" t="s">
        <v>1450</v>
      </c>
      <c r="U154" s="1310" t="s">
        <v>1450</v>
      </c>
      <c r="V154" s="1310" t="s">
        <v>1450</v>
      </c>
      <c r="W154" s="1310" t="s">
        <v>1450</v>
      </c>
      <c r="X154" s="1310" t="s">
        <v>1450</v>
      </c>
      <c r="Y154" s="1310" t="s">
        <v>1450</v>
      </c>
      <c r="Z154" s="1310" t="s">
        <v>262</v>
      </c>
      <c r="AA154" s="1310" t="s">
        <v>1450</v>
      </c>
      <c r="AB154" s="1310" t="s">
        <v>263</v>
      </c>
      <c r="AC154" s="1310" t="s">
        <v>264</v>
      </c>
      <c r="AD154" s="1310" t="s">
        <v>265</v>
      </c>
      <c r="AE154" s="1310" t="s">
        <v>266</v>
      </c>
      <c r="AF154" s="1310" t="s">
        <v>268</v>
      </c>
    </row>
    <row r="155" spans="1:32" x14ac:dyDescent="0.3">
      <c r="A155" s="1310" t="s">
        <v>267</v>
      </c>
      <c r="B155" s="1310" t="s">
        <v>269</v>
      </c>
      <c r="C155" s="1310" t="s">
        <v>270</v>
      </c>
      <c r="D155" s="1310" t="s">
        <v>1467</v>
      </c>
      <c r="E155" s="1310" t="s">
        <v>1508</v>
      </c>
      <c r="F155" s="1310" t="s">
        <v>1471</v>
      </c>
      <c r="G155" s="1310" t="s">
        <v>1450</v>
      </c>
      <c r="H155" s="1310" t="s">
        <v>262</v>
      </c>
      <c r="I155" s="1310" t="s">
        <v>265</v>
      </c>
      <c r="J155" s="1310" t="s">
        <v>262</v>
      </c>
      <c r="K155" s="1310" t="s">
        <v>264</v>
      </c>
      <c r="L155" s="1310" t="s">
        <v>263</v>
      </c>
      <c r="M155" s="1310" t="s">
        <v>265</v>
      </c>
      <c r="N155" s="1310" t="s">
        <v>263</v>
      </c>
      <c r="O155" s="1310" t="s">
        <v>266</v>
      </c>
      <c r="P155" s="1310" t="s">
        <v>267</v>
      </c>
      <c r="Q155" s="1310" t="s">
        <v>268</v>
      </c>
      <c r="R155" s="1310" t="s">
        <v>269</v>
      </c>
      <c r="S155" s="1310" t="s">
        <v>266</v>
      </c>
      <c r="T155" s="1310" t="s">
        <v>264</v>
      </c>
      <c r="U155" s="1310" t="s">
        <v>1500</v>
      </c>
      <c r="V155" s="1310" t="s">
        <v>1494</v>
      </c>
      <c r="W155" s="1310" t="s">
        <v>262</v>
      </c>
      <c r="X155" s="1310" t="s">
        <v>1450</v>
      </c>
      <c r="Y155" s="1310" t="s">
        <v>263</v>
      </c>
      <c r="Z155" s="1310" t="s">
        <v>1507</v>
      </c>
      <c r="AA155" s="1310" t="s">
        <v>264</v>
      </c>
      <c r="AB155" s="1310" t="s">
        <v>265</v>
      </c>
      <c r="AC155" s="1310" t="s">
        <v>1518</v>
      </c>
      <c r="AD155" s="1310" t="s">
        <v>1453</v>
      </c>
      <c r="AE155" s="1310" t="s">
        <v>1459</v>
      </c>
      <c r="AF155" s="1310" t="s">
        <v>266</v>
      </c>
    </row>
    <row r="156" spans="1:32" x14ac:dyDescent="0.3">
      <c r="A156" s="1310" t="s">
        <v>1472</v>
      </c>
      <c r="B156" s="1310" t="s">
        <v>1519</v>
      </c>
      <c r="C156" s="1310" t="s">
        <v>1520</v>
      </c>
      <c r="D156" s="1310" t="s">
        <v>1512</v>
      </c>
      <c r="E156" s="1310" t="s">
        <v>1515</v>
      </c>
      <c r="F156" s="1310" t="s">
        <v>1521</v>
      </c>
      <c r="G156" s="1310" t="s">
        <v>1522</v>
      </c>
      <c r="H156" s="1310" t="s">
        <v>1461</v>
      </c>
      <c r="I156" s="1310" t="s">
        <v>268</v>
      </c>
      <c r="J156" s="1310" t="s">
        <v>1462</v>
      </c>
      <c r="K156" s="1310" t="s">
        <v>1523</v>
      </c>
      <c r="L156" s="1310" t="s">
        <v>110</v>
      </c>
      <c r="M156" s="1310" t="s">
        <v>114</v>
      </c>
      <c r="N156" s="1310" t="s">
        <v>1524</v>
      </c>
      <c r="O156" s="1310" t="s">
        <v>1525</v>
      </c>
      <c r="P156" s="1310" t="s">
        <v>1526</v>
      </c>
      <c r="Q156" s="1310" t="s">
        <v>1509</v>
      </c>
      <c r="R156" s="1310" t="s">
        <v>1527</v>
      </c>
      <c r="S156" s="1310" t="s">
        <v>118</v>
      </c>
      <c r="T156" s="1310" t="s">
        <v>1455</v>
      </c>
      <c r="U156" s="1310" t="s">
        <v>1494</v>
      </c>
      <c r="V156" s="1310" t="s">
        <v>1493</v>
      </c>
      <c r="W156" s="1310" t="s">
        <v>1460</v>
      </c>
      <c r="X156" s="1310" t="s">
        <v>1445</v>
      </c>
      <c r="Y156" s="1310" t="s">
        <v>121</v>
      </c>
      <c r="Z156" s="1310" t="s">
        <v>1502</v>
      </c>
      <c r="AA156" s="1310" t="s">
        <v>267</v>
      </c>
      <c r="AB156" s="1310" t="s">
        <v>1528</v>
      </c>
      <c r="AC156" s="1310" t="s">
        <v>1529</v>
      </c>
      <c r="AD156" s="1310" t="s">
        <v>1530</v>
      </c>
      <c r="AE156" s="1310" t="s">
        <v>1531</v>
      </c>
      <c r="AF156" s="1310" t="s">
        <v>125</v>
      </c>
    </row>
    <row r="157" spans="1:32" x14ac:dyDescent="0.3">
      <c r="A157" s="1310" t="s">
        <v>130</v>
      </c>
      <c r="B157" s="1310" t="s">
        <v>1532</v>
      </c>
      <c r="C157" s="1310" t="s">
        <v>1480</v>
      </c>
      <c r="D157" s="1310" t="s">
        <v>1492</v>
      </c>
      <c r="E157" s="1310" t="s">
        <v>1533</v>
      </c>
      <c r="F157" s="1310" t="s">
        <v>111</v>
      </c>
      <c r="G157" s="1310" t="s">
        <v>115</v>
      </c>
      <c r="H157" s="1310" t="s">
        <v>1534</v>
      </c>
      <c r="I157" s="1310" t="s">
        <v>1535</v>
      </c>
      <c r="J157" s="1310" t="s">
        <v>1536</v>
      </c>
      <c r="K157" s="1310" t="s">
        <v>1537</v>
      </c>
      <c r="L157" s="1310" t="s">
        <v>1538</v>
      </c>
      <c r="M157" s="1310" t="s">
        <v>1473</v>
      </c>
      <c r="N157" s="1310" t="s">
        <v>1446</v>
      </c>
      <c r="O157" s="1310" t="s">
        <v>119</v>
      </c>
      <c r="P157" s="1310" t="s">
        <v>112</v>
      </c>
      <c r="Q157" s="1310" t="s">
        <v>1479</v>
      </c>
      <c r="R157" s="1310" t="s">
        <v>1539</v>
      </c>
      <c r="S157" s="1310" t="s">
        <v>1540</v>
      </c>
      <c r="T157" s="1310" t="s">
        <v>122</v>
      </c>
      <c r="U157" s="1310" t="s">
        <v>1541</v>
      </c>
      <c r="V157" s="1310" t="s">
        <v>126</v>
      </c>
      <c r="W157" s="1310" t="s">
        <v>1475</v>
      </c>
      <c r="X157" s="1310" t="s">
        <v>131</v>
      </c>
      <c r="Y157" s="1310" t="s">
        <v>116</v>
      </c>
      <c r="Z157" s="1310" t="s">
        <v>1506</v>
      </c>
      <c r="AA157" s="1310" t="s">
        <v>120</v>
      </c>
      <c r="AB157" s="1310" t="s">
        <v>123</v>
      </c>
      <c r="AC157" s="1310" t="s">
        <v>1542</v>
      </c>
      <c r="AD157" s="1310" t="s">
        <v>127</v>
      </c>
      <c r="AE157" s="1310" t="s">
        <v>132</v>
      </c>
      <c r="AF157" s="1310" t="s">
        <v>1543</v>
      </c>
    </row>
    <row r="158" spans="1:32" x14ac:dyDescent="0.3">
      <c r="A158" s="1310" t="s">
        <v>1470</v>
      </c>
      <c r="B158" s="1310" t="s">
        <v>1544</v>
      </c>
      <c r="C158" s="1310" t="s">
        <v>113</v>
      </c>
      <c r="D158" s="1310" t="s">
        <v>1545</v>
      </c>
      <c r="E158" s="1310" t="s">
        <v>117</v>
      </c>
      <c r="F158" s="1310" t="s">
        <v>1546</v>
      </c>
      <c r="G158" s="1310" t="s">
        <v>129</v>
      </c>
      <c r="H158" s="1310" t="s">
        <v>124</v>
      </c>
      <c r="I158" s="1310" t="s">
        <v>128</v>
      </c>
      <c r="J158" s="1310" t="s">
        <v>133</v>
      </c>
      <c r="K158" s="1310" t="s">
        <v>1547</v>
      </c>
      <c r="L158" s="1310" t="s">
        <v>1548</v>
      </c>
      <c r="M158" s="1310" t="s">
        <v>1549</v>
      </c>
      <c r="N158" s="1310" t="s">
        <v>1550</v>
      </c>
      <c r="O158" s="1310" t="s">
        <v>1551</v>
      </c>
      <c r="P158" s="1310" t="s">
        <v>1552</v>
      </c>
      <c r="Q158" s="1310" t="s">
        <v>1553</v>
      </c>
      <c r="R158" s="1310" t="s">
        <v>1449</v>
      </c>
      <c r="S158" s="1310" t="s">
        <v>1554</v>
      </c>
      <c r="T158" s="1310" t="s">
        <v>1555</v>
      </c>
      <c r="U158" s="1310" t="s">
        <v>1556</v>
      </c>
      <c r="V158" s="1310" t="s">
        <v>1557</v>
      </c>
      <c r="W158" s="1310" t="s">
        <v>1558</v>
      </c>
      <c r="X158" s="1310" t="s">
        <v>1559</v>
      </c>
      <c r="Y158" s="1310" t="s">
        <v>1560</v>
      </c>
      <c r="Z158" s="1310" t="s">
        <v>1561</v>
      </c>
      <c r="AA158" s="1310" t="s">
        <v>1562</v>
      </c>
      <c r="AB158" s="1310" t="s">
        <v>1485</v>
      </c>
      <c r="AC158" s="1310" t="s">
        <v>1563</v>
      </c>
      <c r="AD158" s="1310" t="s">
        <v>1488</v>
      </c>
      <c r="AE158" s="1310" t="s">
        <v>1564</v>
      </c>
      <c r="AF158" s="1310" t="s">
        <v>1489</v>
      </c>
    </row>
    <row r="159" spans="1:32" x14ac:dyDescent="0.3">
      <c r="A159" s="1310" t="s">
        <v>1464</v>
      </c>
      <c r="B159" s="1310" t="s">
        <v>1565</v>
      </c>
      <c r="C159" s="1310" t="s">
        <v>1566</v>
      </c>
      <c r="D159" s="1310" t="s">
        <v>1567</v>
      </c>
      <c r="E159" s="1310" t="s">
        <v>1568</v>
      </c>
      <c r="F159" s="1310" t="s">
        <v>1569</v>
      </c>
      <c r="G159" s="1310" t="s">
        <v>1570</v>
      </c>
      <c r="H159" s="1310" t="s">
        <v>1571</v>
      </c>
      <c r="I159" s="1310" t="s">
        <v>1507</v>
      </c>
      <c r="J159" s="1310" t="s">
        <v>1450</v>
      </c>
      <c r="K159" s="1310" t="s">
        <v>263</v>
      </c>
      <c r="L159" s="1310" t="s">
        <v>263</v>
      </c>
      <c r="M159" s="1310" t="s">
        <v>262</v>
      </c>
      <c r="N159" s="1310" t="s">
        <v>263</v>
      </c>
      <c r="O159" s="1310" t="s">
        <v>265</v>
      </c>
      <c r="P159" s="1310" t="s">
        <v>265</v>
      </c>
      <c r="Q159" s="1310" t="s">
        <v>264</v>
      </c>
      <c r="R159" s="1310" t="s">
        <v>265</v>
      </c>
      <c r="S159" s="1310" t="s">
        <v>266</v>
      </c>
      <c r="T159" s="1310" t="s">
        <v>268</v>
      </c>
      <c r="U159" s="1310" t="s">
        <v>267</v>
      </c>
      <c r="V159" s="1310" t="s">
        <v>267</v>
      </c>
      <c r="W159" s="1310" t="s">
        <v>268</v>
      </c>
      <c r="X159" s="1310" t="s">
        <v>266</v>
      </c>
      <c r="Y159" s="1310" t="s">
        <v>1492</v>
      </c>
      <c r="Z159" s="1310" t="s">
        <v>262</v>
      </c>
      <c r="AA159" s="1310" t="s">
        <v>1450</v>
      </c>
      <c r="AB159" s="1310" t="s">
        <v>263</v>
      </c>
      <c r="AC159" s="1310" t="s">
        <v>1507</v>
      </c>
      <c r="AD159" s="1310" t="s">
        <v>264</v>
      </c>
      <c r="AE159" s="1310" t="s">
        <v>1518</v>
      </c>
      <c r="AF159" s="1310" t="s">
        <v>1459</v>
      </c>
    </row>
    <row r="160" spans="1:32" x14ac:dyDescent="0.3">
      <c r="A160" s="1310" t="s">
        <v>1453</v>
      </c>
      <c r="B160" s="1310" t="s">
        <v>265</v>
      </c>
      <c r="C160" s="1310" t="s">
        <v>1472</v>
      </c>
      <c r="D160" s="1310" t="s">
        <v>1519</v>
      </c>
      <c r="E160" s="1310" t="s">
        <v>1520</v>
      </c>
      <c r="F160" s="1310" t="s">
        <v>1521</v>
      </c>
      <c r="G160" s="1310" t="s">
        <v>1515</v>
      </c>
      <c r="H160" s="1310" t="s">
        <v>1512</v>
      </c>
      <c r="I160" s="1310" t="s">
        <v>266</v>
      </c>
      <c r="J160" s="1310" t="s">
        <v>1461</v>
      </c>
      <c r="K160" s="1310" t="s">
        <v>1522</v>
      </c>
      <c r="L160" s="1310" t="s">
        <v>1523</v>
      </c>
      <c r="M160" s="1310" t="s">
        <v>1462</v>
      </c>
      <c r="N160" s="1310" t="s">
        <v>110</v>
      </c>
      <c r="O160" s="1310" t="s">
        <v>114</v>
      </c>
      <c r="P160" s="1310" t="s">
        <v>1524</v>
      </c>
      <c r="Q160" s="1310" t="s">
        <v>1525</v>
      </c>
      <c r="R160" s="1310" t="s">
        <v>118</v>
      </c>
      <c r="S160" s="1310" t="s">
        <v>1527</v>
      </c>
      <c r="T160" s="1310" t="s">
        <v>121</v>
      </c>
      <c r="U160" s="1310" t="s">
        <v>1531</v>
      </c>
      <c r="V160" s="1310" t="s">
        <v>1494</v>
      </c>
      <c r="W160" s="1310" t="s">
        <v>1526</v>
      </c>
      <c r="X160" s="1310" t="s">
        <v>1455</v>
      </c>
      <c r="Y160" s="1310" t="s">
        <v>125</v>
      </c>
      <c r="Z160" s="1310" t="s">
        <v>1460</v>
      </c>
      <c r="AA160" s="1310" t="s">
        <v>1445</v>
      </c>
      <c r="AB160" s="1310" t="s">
        <v>1529</v>
      </c>
      <c r="AC160" s="1310" t="s">
        <v>1502</v>
      </c>
      <c r="AD160" s="1310" t="s">
        <v>1530</v>
      </c>
      <c r="AE160" s="1310" t="s">
        <v>1509</v>
      </c>
      <c r="AF160" s="1310" t="s">
        <v>1532</v>
      </c>
    </row>
    <row r="161" spans="1:32" x14ac:dyDescent="0.3">
      <c r="A161" s="1310" t="s">
        <v>1480</v>
      </c>
      <c r="B161" s="1310" t="s">
        <v>1493</v>
      </c>
      <c r="C161" s="1310" t="s">
        <v>130</v>
      </c>
      <c r="D161" s="1310" t="s">
        <v>1528</v>
      </c>
      <c r="E161" s="1310" t="s">
        <v>268</v>
      </c>
      <c r="F161" s="1310" t="s">
        <v>1533</v>
      </c>
      <c r="G161" s="1310" t="s">
        <v>111</v>
      </c>
      <c r="H161" s="1310" t="s">
        <v>115</v>
      </c>
      <c r="I161" s="1310" t="s">
        <v>1534</v>
      </c>
      <c r="J161" s="1310" t="s">
        <v>267</v>
      </c>
      <c r="K161" s="1310" t="s">
        <v>1535</v>
      </c>
      <c r="L161" s="1310" t="s">
        <v>1492</v>
      </c>
      <c r="M161" s="1310" t="s">
        <v>119</v>
      </c>
      <c r="N161" s="1310" t="s">
        <v>122</v>
      </c>
      <c r="O161" s="1310" t="s">
        <v>1536</v>
      </c>
      <c r="P161" s="1310" t="s">
        <v>1537</v>
      </c>
      <c r="Q161" s="1310" t="s">
        <v>1538</v>
      </c>
      <c r="R161" s="1310" t="s">
        <v>112</v>
      </c>
      <c r="S161" s="1310" t="s">
        <v>1540</v>
      </c>
      <c r="T161" s="1310" t="s">
        <v>1473</v>
      </c>
      <c r="U161" s="1310" t="s">
        <v>1446</v>
      </c>
      <c r="V161" s="1310" t="s">
        <v>1541</v>
      </c>
      <c r="W161" s="1310" t="s">
        <v>1539</v>
      </c>
      <c r="X161" s="1310" t="s">
        <v>1479</v>
      </c>
      <c r="Y161" s="1310" t="s">
        <v>1475</v>
      </c>
      <c r="Z161" s="1310" t="s">
        <v>126</v>
      </c>
      <c r="AA161" s="1310" t="s">
        <v>131</v>
      </c>
      <c r="AB161" s="1310" t="s">
        <v>116</v>
      </c>
      <c r="AC161" s="1310" t="s">
        <v>1506</v>
      </c>
      <c r="AD161" s="1310" t="s">
        <v>120</v>
      </c>
      <c r="AE161" s="1310" t="s">
        <v>123</v>
      </c>
      <c r="AF161" s="1310" t="s">
        <v>1542</v>
      </c>
    </row>
    <row r="162" spans="1:32" x14ac:dyDescent="0.3">
      <c r="A162" s="1310" t="s">
        <v>127</v>
      </c>
      <c r="B162" s="1310" t="s">
        <v>132</v>
      </c>
      <c r="C162" s="1310" t="s">
        <v>1543</v>
      </c>
      <c r="D162" s="1310" t="s">
        <v>1544</v>
      </c>
      <c r="E162" s="1310" t="s">
        <v>113</v>
      </c>
      <c r="F162" s="1310" t="s">
        <v>1545</v>
      </c>
      <c r="G162" s="1310" t="s">
        <v>117</v>
      </c>
      <c r="H162" s="1310" t="s">
        <v>1546</v>
      </c>
      <c r="I162" s="1310" t="s">
        <v>129</v>
      </c>
      <c r="J162" s="1310" t="s">
        <v>124</v>
      </c>
      <c r="K162" s="1310" t="s">
        <v>128</v>
      </c>
      <c r="L162" s="1310" t="s">
        <v>133</v>
      </c>
      <c r="M162" s="1310" t="s">
        <v>1547</v>
      </c>
      <c r="N162" s="1310" t="s">
        <v>1548</v>
      </c>
      <c r="O162" s="1310" t="s">
        <v>1549</v>
      </c>
      <c r="P162" s="1310" t="s">
        <v>1550</v>
      </c>
      <c r="Q162" s="1310" t="s">
        <v>1551</v>
      </c>
      <c r="R162" s="1310" t="s">
        <v>1552</v>
      </c>
      <c r="S162" s="1310" t="s">
        <v>1553</v>
      </c>
      <c r="T162" s="1310" t="s">
        <v>1449</v>
      </c>
      <c r="U162" s="1310" t="s">
        <v>1554</v>
      </c>
      <c r="V162" s="1310" t="s">
        <v>1555</v>
      </c>
      <c r="W162" s="1310" t="s">
        <v>1556</v>
      </c>
      <c r="X162" s="1310" t="s">
        <v>1557</v>
      </c>
      <c r="Y162" s="1310" t="s">
        <v>1558</v>
      </c>
      <c r="Z162" s="1310" t="s">
        <v>1559</v>
      </c>
      <c r="AA162" s="1310" t="s">
        <v>1560</v>
      </c>
      <c r="AB162" s="1310" t="s">
        <v>1561</v>
      </c>
      <c r="AC162" s="1310" t="s">
        <v>1562</v>
      </c>
      <c r="AD162" s="1310" t="s">
        <v>1470</v>
      </c>
      <c r="AE162" s="1310" t="s">
        <v>1485</v>
      </c>
      <c r="AF162" s="1310" t="s">
        <v>1563</v>
      </c>
    </row>
    <row r="163" spans="1:32" x14ac:dyDescent="0.3">
      <c r="A163" s="1310" t="s">
        <v>1488</v>
      </c>
      <c r="B163" s="1310" t="s">
        <v>1564</v>
      </c>
      <c r="C163" s="1310" t="s">
        <v>1489</v>
      </c>
      <c r="D163" s="1310" t="s">
        <v>1464</v>
      </c>
      <c r="E163" s="1310" t="s">
        <v>1565</v>
      </c>
      <c r="F163" s="1310" t="s">
        <v>1566</v>
      </c>
      <c r="G163" s="1310" t="s">
        <v>1567</v>
      </c>
      <c r="H163" s="1310" t="s">
        <v>1568</v>
      </c>
      <c r="I163" s="1310" t="s">
        <v>1443</v>
      </c>
      <c r="J163" s="1310" t="s">
        <v>1572</v>
      </c>
      <c r="K163" s="1310" t="s">
        <v>1450</v>
      </c>
      <c r="L163" s="1310" t="s">
        <v>1500</v>
      </c>
      <c r="M163" s="1310" t="s">
        <v>264</v>
      </c>
      <c r="N163" s="1310" t="s">
        <v>262</v>
      </c>
      <c r="O163" s="1310" t="s">
        <v>1450</v>
      </c>
      <c r="P163" s="1310" t="s">
        <v>263</v>
      </c>
      <c r="Q163" s="1310" t="s">
        <v>1507</v>
      </c>
      <c r="R163" s="1310" t="s">
        <v>264</v>
      </c>
      <c r="S163" s="1310" t="s">
        <v>1507</v>
      </c>
      <c r="T163" s="1310" t="s">
        <v>1450</v>
      </c>
      <c r="U163" s="1310" t="s">
        <v>1517</v>
      </c>
      <c r="V163" s="1310" t="s">
        <v>1450</v>
      </c>
      <c r="W163" s="1310" t="s">
        <v>1552</v>
      </c>
      <c r="X163" s="1310" t="s">
        <v>1538</v>
      </c>
      <c r="Y163" s="1310" t="s">
        <v>1529</v>
      </c>
      <c r="Z163" s="1310" t="s">
        <v>1573</v>
      </c>
      <c r="AA163" s="1310" t="s">
        <v>1528</v>
      </c>
      <c r="AB163" s="1310" t="s">
        <v>1574</v>
      </c>
      <c r="AC163" s="1310" t="s">
        <v>1575</v>
      </c>
      <c r="AD163" s="1310" t="s">
        <v>1576</v>
      </c>
      <c r="AE163" s="1310" t="s">
        <v>1577</v>
      </c>
      <c r="AF163" s="1310" t="s">
        <v>1578</v>
      </c>
    </row>
    <row r="164" spans="1:32" x14ac:dyDescent="0.3">
      <c r="A164" s="1310" t="s">
        <v>1579</v>
      </c>
      <c r="B164" s="1310" t="s">
        <v>1580</v>
      </c>
      <c r="C164" s="1310" t="s">
        <v>1541</v>
      </c>
      <c r="D164" s="1310" t="s">
        <v>1581</v>
      </c>
      <c r="E164" s="1310" t="s">
        <v>1556</v>
      </c>
      <c r="F164" s="1310" t="s">
        <v>1582</v>
      </c>
      <c r="G164" s="1310" t="s">
        <v>1528</v>
      </c>
      <c r="H164" s="1310" t="s">
        <v>1583</v>
      </c>
      <c r="I164" s="1310" t="s">
        <v>1462</v>
      </c>
      <c r="J164" s="1310" t="s">
        <v>1491</v>
      </c>
      <c r="K164" s="1310" t="s">
        <v>1581</v>
      </c>
      <c r="L164" s="1310" t="s">
        <v>1584</v>
      </c>
      <c r="M164" s="1310" t="s">
        <v>1585</v>
      </c>
      <c r="N164" s="1310" t="s">
        <v>1533</v>
      </c>
      <c r="O164" s="1310" t="s">
        <v>1586</v>
      </c>
      <c r="P164" s="1310" t="s">
        <v>1577</v>
      </c>
      <c r="Q164" s="1310" t="s">
        <v>1587</v>
      </c>
      <c r="R164" s="1310" t="s">
        <v>265</v>
      </c>
      <c r="S164" s="1310" t="s">
        <v>1580</v>
      </c>
      <c r="T164" s="1310" t="s">
        <v>1553</v>
      </c>
      <c r="U164" s="1310" t="s">
        <v>1505</v>
      </c>
      <c r="V164" s="1310" t="s">
        <v>1588</v>
      </c>
      <c r="W164" s="1310" t="s">
        <v>1589</v>
      </c>
      <c r="X164" s="1310" t="s">
        <v>1590</v>
      </c>
      <c r="Y164" s="1310" t="s">
        <v>1591</v>
      </c>
      <c r="Z164" s="1310" t="s">
        <v>1447</v>
      </c>
      <c r="AA164" s="1310" t="s">
        <v>1535</v>
      </c>
      <c r="AB164" s="1310" t="s">
        <v>1592</v>
      </c>
      <c r="AC164" s="1310" t="s">
        <v>1593</v>
      </c>
      <c r="AD164" s="1310" t="s">
        <v>1571</v>
      </c>
      <c r="AE164" s="1310" t="s">
        <v>1594</v>
      </c>
      <c r="AF164" s="1310" t="s">
        <v>1499</v>
      </c>
    </row>
    <row r="165" spans="1:32" x14ac:dyDescent="0.3">
      <c r="A165" s="1310" t="s">
        <v>1570</v>
      </c>
      <c r="B165" s="1310" t="s">
        <v>128</v>
      </c>
      <c r="C165" s="1310" t="s">
        <v>1027</v>
      </c>
      <c r="D165" s="1310" t="s">
        <v>1443</v>
      </c>
      <c r="E165" s="1310" t="s">
        <v>1450</v>
      </c>
      <c r="F165" s="1310" t="s">
        <v>1595</v>
      </c>
      <c r="G165" s="1310" t="s">
        <v>1504</v>
      </c>
      <c r="H165" s="1310" t="s">
        <v>1566</v>
      </c>
      <c r="I165" s="1310" t="s">
        <v>1562</v>
      </c>
      <c r="J165" s="1310" t="s">
        <v>1503</v>
      </c>
      <c r="K165" s="1310" t="s">
        <v>110</v>
      </c>
      <c r="L165" s="1310" t="s">
        <v>1522</v>
      </c>
      <c r="M165" s="1310" t="s">
        <v>1552</v>
      </c>
      <c r="N165" s="1310" t="s">
        <v>1596</v>
      </c>
      <c r="O165" s="1310" t="s">
        <v>1597</v>
      </c>
      <c r="P165" s="1310" t="s">
        <v>1505</v>
      </c>
      <c r="Q165" s="1310" t="s">
        <v>1558</v>
      </c>
      <c r="R165" s="1310" t="s">
        <v>1574</v>
      </c>
      <c r="S165" s="1310" t="s">
        <v>1475</v>
      </c>
      <c r="T165" s="1310" t="s">
        <v>1561</v>
      </c>
      <c r="U165" s="1310" t="s">
        <v>262</v>
      </c>
      <c r="V165" s="1310" t="s">
        <v>1027</v>
      </c>
      <c r="W165" s="1310" t="s">
        <v>1598</v>
      </c>
      <c r="X165" s="1310" t="s">
        <v>1599</v>
      </c>
      <c r="Y165" s="1310" t="s">
        <v>1584</v>
      </c>
      <c r="Z165" s="1310" t="s">
        <v>1530</v>
      </c>
      <c r="AA165" s="1310" t="s">
        <v>1558</v>
      </c>
      <c r="AB165" s="1310" t="s">
        <v>1600</v>
      </c>
      <c r="AC165" s="1310" t="s">
        <v>1601</v>
      </c>
      <c r="AD165" s="1310" t="s">
        <v>1505</v>
      </c>
      <c r="AE165" s="1310" t="s">
        <v>1602</v>
      </c>
      <c r="AF165" s="1310" t="s">
        <v>1586</v>
      </c>
    </row>
    <row r="166" spans="1:32" x14ac:dyDescent="0.3">
      <c r="A166" s="1310" t="s">
        <v>1505</v>
      </c>
      <c r="B166" s="1310" t="s">
        <v>1443</v>
      </c>
      <c r="C166" s="1310" t="s">
        <v>1450</v>
      </c>
      <c r="D166" s="1310" t="s">
        <v>1521</v>
      </c>
      <c r="E166" s="1310" t="s">
        <v>6</v>
      </c>
      <c r="F166" s="1310" t="s">
        <v>1558</v>
      </c>
      <c r="G166" s="1310" t="s">
        <v>1487</v>
      </c>
      <c r="H166" s="1310" t="s">
        <v>1531</v>
      </c>
      <c r="I166" s="1310" t="s">
        <v>1559</v>
      </c>
      <c r="J166" s="1310" t="s">
        <v>1603</v>
      </c>
      <c r="K166" s="1310" t="s">
        <v>1446</v>
      </c>
      <c r="L166" s="1310" t="s">
        <v>133</v>
      </c>
      <c r="M166" s="1310" t="s">
        <v>1469</v>
      </c>
      <c r="N166" s="1310" t="s">
        <v>1534</v>
      </c>
      <c r="O166" s="1310" t="s">
        <v>116</v>
      </c>
      <c r="P166" s="1310" t="s">
        <v>1501</v>
      </c>
      <c r="Q166" s="1310" t="s">
        <v>1604</v>
      </c>
      <c r="R166" s="1310" t="s">
        <v>1520</v>
      </c>
      <c r="S166" s="1310" t="s">
        <v>1605</v>
      </c>
      <c r="T166" s="1310" t="s">
        <v>1580</v>
      </c>
      <c r="U166" s="1310" t="s">
        <v>1606</v>
      </c>
      <c r="V166" s="1310" t="s">
        <v>1507</v>
      </c>
      <c r="W166" s="1310" t="s">
        <v>1568</v>
      </c>
      <c r="X166" s="1310" t="s">
        <v>1590</v>
      </c>
      <c r="Y166" s="1310" t="s">
        <v>269</v>
      </c>
      <c r="Z166" s="1310" t="s">
        <v>1491</v>
      </c>
      <c r="AA166" s="1310" t="s">
        <v>1601</v>
      </c>
      <c r="AB166" s="1310" t="s">
        <v>1497</v>
      </c>
      <c r="AC166" s="1310" t="s">
        <v>1602</v>
      </c>
      <c r="AD166" s="1310" t="s">
        <v>1535</v>
      </c>
      <c r="AE166" s="1310" t="s">
        <v>1605</v>
      </c>
      <c r="AF166" s="1310" t="s">
        <v>1507</v>
      </c>
    </row>
    <row r="167" spans="1:32" x14ac:dyDescent="0.3">
      <c r="A167" s="1310" t="s">
        <v>124</v>
      </c>
      <c r="B167" s="1310" t="s">
        <v>1594</v>
      </c>
      <c r="C167" s="1310" t="s">
        <v>1607</v>
      </c>
      <c r="D167" s="1310" t="s">
        <v>1529</v>
      </c>
      <c r="E167" s="1310" t="s">
        <v>1564</v>
      </c>
      <c r="F167" s="1310" t="s">
        <v>1539</v>
      </c>
      <c r="G167" s="1310" t="s">
        <v>1567</v>
      </c>
      <c r="H167" s="1310" t="s">
        <v>1542</v>
      </c>
      <c r="I167" s="1310" t="s">
        <v>1567</v>
      </c>
      <c r="J167" s="1310" t="s">
        <v>1508</v>
      </c>
      <c r="K167" s="1310" t="s">
        <v>1608</v>
      </c>
      <c r="L167" s="1310" t="s">
        <v>1609</v>
      </c>
      <c r="M167" s="1310" t="s">
        <v>1554</v>
      </c>
      <c r="N167" s="1310" t="s">
        <v>1575</v>
      </c>
      <c r="O167" s="1310" t="s">
        <v>1610</v>
      </c>
      <c r="P167" s="1310" t="s">
        <v>123</v>
      </c>
      <c r="Q167" s="1310" t="s">
        <v>1577</v>
      </c>
      <c r="R167" s="1310" t="s">
        <v>118</v>
      </c>
      <c r="S167" s="1310" t="s">
        <v>1464</v>
      </c>
      <c r="T167" s="1310" t="s">
        <v>122</v>
      </c>
      <c r="U167" s="1310" t="s">
        <v>1490</v>
      </c>
      <c r="V167" s="1310" t="s">
        <v>118</v>
      </c>
      <c r="W167" s="1310" t="s">
        <v>1611</v>
      </c>
      <c r="X167" s="1310" t="s">
        <v>1612</v>
      </c>
      <c r="Y167" s="1310" t="s">
        <v>129</v>
      </c>
      <c r="Z167" s="1310" t="s">
        <v>1610</v>
      </c>
      <c r="AA167" s="1310" t="s">
        <v>1506</v>
      </c>
      <c r="AB167" s="1310" t="s">
        <v>1596</v>
      </c>
      <c r="AC167" s="1310" t="s">
        <v>1508</v>
      </c>
      <c r="AD167" s="1310" t="s">
        <v>1456</v>
      </c>
      <c r="AE167" s="1310" t="s">
        <v>1027</v>
      </c>
      <c r="AF167" s="1310" t="s">
        <v>267</v>
      </c>
    </row>
    <row r="168" spans="1:32" x14ac:dyDescent="0.3">
      <c r="A168" s="1310" t="s">
        <v>1613</v>
      </c>
      <c r="B168" s="1310" t="s">
        <v>1591</v>
      </c>
      <c r="C168" s="1310" t="s">
        <v>1582</v>
      </c>
      <c r="D168" s="1310" t="s">
        <v>1474</v>
      </c>
      <c r="E168" s="1310" t="s">
        <v>122</v>
      </c>
      <c r="F168" s="1310" t="s">
        <v>1466</v>
      </c>
      <c r="G168" s="1310" t="s">
        <v>1532</v>
      </c>
      <c r="H168" s="1310" t="s">
        <v>1614</v>
      </c>
      <c r="I168" s="1310" t="s">
        <v>1477</v>
      </c>
      <c r="J168" s="1310" t="s">
        <v>1615</v>
      </c>
      <c r="K168" s="1310" t="s">
        <v>119</v>
      </c>
      <c r="L168" s="1310" t="s">
        <v>1601</v>
      </c>
      <c r="M168" s="1310" t="s">
        <v>1616</v>
      </c>
      <c r="N168" s="1310" t="s">
        <v>1556</v>
      </c>
      <c r="O168" s="1310" t="s">
        <v>1617</v>
      </c>
      <c r="P168" s="1310" t="s">
        <v>1447</v>
      </c>
      <c r="Q168" s="1310" t="s">
        <v>1618</v>
      </c>
      <c r="R168" s="1310" t="s">
        <v>1510</v>
      </c>
      <c r="S168" s="1310" t="s">
        <v>1453</v>
      </c>
      <c r="T168" s="1310" t="s">
        <v>1558</v>
      </c>
      <c r="U168" s="1310" t="s">
        <v>1481</v>
      </c>
      <c r="V168" s="1310" t="s">
        <v>1443</v>
      </c>
      <c r="W168" s="1310" t="s">
        <v>1450</v>
      </c>
      <c r="X168" s="1310" t="s">
        <v>1492</v>
      </c>
      <c r="Y168" s="1310" t="s">
        <v>1510</v>
      </c>
      <c r="Z168" s="1310" t="s">
        <v>1503</v>
      </c>
      <c r="AA168" s="1310" t="s">
        <v>1555</v>
      </c>
      <c r="AB168" s="1310" t="s">
        <v>1597</v>
      </c>
      <c r="AC168" s="1310" t="s">
        <v>1484</v>
      </c>
      <c r="AD168" s="1310" t="s">
        <v>1586</v>
      </c>
      <c r="AE168" s="1310" t="s">
        <v>1602</v>
      </c>
      <c r="AF168" s="1310" t="s">
        <v>1553</v>
      </c>
    </row>
    <row r="169" spans="1:32" x14ac:dyDescent="0.3">
      <c r="A169" s="1310" t="s">
        <v>1619</v>
      </c>
      <c r="B169" s="1310" t="s">
        <v>1596</v>
      </c>
      <c r="C169" s="1310" t="s">
        <v>1615</v>
      </c>
      <c r="D169" s="1310" t="s">
        <v>1486</v>
      </c>
      <c r="E169" s="1310" t="s">
        <v>1508</v>
      </c>
      <c r="F169" s="1310" t="s">
        <v>1620</v>
      </c>
      <c r="G169" s="1310" t="s">
        <v>1621</v>
      </c>
      <c r="H169" s="1310" t="s">
        <v>1622</v>
      </c>
      <c r="I169" s="1310" t="s">
        <v>1597</v>
      </c>
      <c r="J169" s="1310" t="s">
        <v>1585</v>
      </c>
      <c r="K169" s="1310" t="s">
        <v>267</v>
      </c>
      <c r="L169" s="1310" t="s">
        <v>1532</v>
      </c>
      <c r="M169" s="1310" t="s">
        <v>1573</v>
      </c>
      <c r="N169" s="1310" t="s">
        <v>1528</v>
      </c>
      <c r="O169" s="1310" t="s">
        <v>1473</v>
      </c>
      <c r="P169" s="1310" t="s">
        <v>1623</v>
      </c>
      <c r="Q169" s="1310" t="s">
        <v>1624</v>
      </c>
      <c r="R169" s="1310" t="s">
        <v>1591</v>
      </c>
      <c r="S169" s="1310" t="s">
        <v>1567</v>
      </c>
      <c r="T169" s="1310" t="s">
        <v>1542</v>
      </c>
      <c r="U169" s="1310" t="s">
        <v>1535</v>
      </c>
      <c r="V169" s="1310" t="s">
        <v>1560</v>
      </c>
      <c r="W169" s="1310" t="s">
        <v>1503</v>
      </c>
      <c r="X169" s="1310" t="s">
        <v>270</v>
      </c>
      <c r="Y169" s="1310" t="s">
        <v>1619</v>
      </c>
      <c r="Z169" s="1310" t="s">
        <v>1548</v>
      </c>
      <c r="AA169" s="1310" t="s">
        <v>1609</v>
      </c>
      <c r="AB169" s="1310" t="s">
        <v>122</v>
      </c>
      <c r="AC169" s="1310" t="s">
        <v>130</v>
      </c>
      <c r="AD169" s="1310" t="s">
        <v>1521</v>
      </c>
      <c r="AE169" s="1310" t="s">
        <v>1514</v>
      </c>
      <c r="AF169" s="1310" t="s">
        <v>1625</v>
      </c>
    </row>
    <row r="170" spans="1:32" x14ac:dyDescent="0.3">
      <c r="A170" s="1310" t="s">
        <v>1582</v>
      </c>
      <c r="B170" s="1310" t="s">
        <v>1529</v>
      </c>
      <c r="C170" s="1310" t="s">
        <v>1533</v>
      </c>
      <c r="D170" s="1310" t="s">
        <v>1489</v>
      </c>
      <c r="E170" s="1310" t="s">
        <v>129</v>
      </c>
      <c r="F170" s="1310" t="s">
        <v>1608</v>
      </c>
      <c r="G170" s="1310" t="s">
        <v>1528</v>
      </c>
      <c r="H170" s="1310" t="s">
        <v>1464</v>
      </c>
      <c r="I170" s="1310" t="s">
        <v>1544</v>
      </c>
      <c r="J170" s="1310" t="s">
        <v>1523</v>
      </c>
      <c r="K170" s="1310" t="s">
        <v>265</v>
      </c>
      <c r="L170" s="1310" t="s">
        <v>1597</v>
      </c>
      <c r="M170" s="1310" t="s">
        <v>1473</v>
      </c>
      <c r="N170" s="1310" t="s">
        <v>1525</v>
      </c>
      <c r="O170" s="1310" t="s">
        <v>1497</v>
      </c>
      <c r="P170" s="1310" t="s">
        <v>118</v>
      </c>
      <c r="Q170" s="1310" t="s">
        <v>1565</v>
      </c>
      <c r="R170" s="1310" t="s">
        <v>1529</v>
      </c>
      <c r="S170" s="1310" t="s">
        <v>1602</v>
      </c>
      <c r="T170" s="1310" t="s">
        <v>1494</v>
      </c>
      <c r="U170" s="1310" t="s">
        <v>1458</v>
      </c>
      <c r="V170" s="1310" t="s">
        <v>1626</v>
      </c>
      <c r="W170" s="1310" t="s">
        <v>1477</v>
      </c>
      <c r="X170" s="1310" t="s">
        <v>1592</v>
      </c>
      <c r="Y170" s="1310" t="s">
        <v>1614</v>
      </c>
      <c r="Z170" s="1310" t="s">
        <v>1509</v>
      </c>
      <c r="AA170" s="1310" t="s">
        <v>1489</v>
      </c>
      <c r="AB170" s="1310" t="s">
        <v>1524</v>
      </c>
      <c r="AC170" s="1310" t="s">
        <v>1567</v>
      </c>
      <c r="AD170" s="1310" t="s">
        <v>1454</v>
      </c>
      <c r="AE170" s="1310" t="s">
        <v>1463</v>
      </c>
      <c r="AF170" s="1310" t="s">
        <v>1602</v>
      </c>
    </row>
    <row r="171" spans="1:32" x14ac:dyDescent="0.3">
      <c r="A171" s="1310" t="s">
        <v>1520</v>
      </c>
      <c r="B171" s="1310" t="s">
        <v>1509</v>
      </c>
      <c r="C171" s="1310" t="s">
        <v>1581</v>
      </c>
      <c r="D171" s="1310" t="s">
        <v>1626</v>
      </c>
      <c r="E171" s="1310" t="s">
        <v>1457</v>
      </c>
      <c r="F171" s="1310" t="s">
        <v>113</v>
      </c>
      <c r="G171" s="1310" t="s">
        <v>1627</v>
      </c>
      <c r="H171" s="1310" t="s">
        <v>1572</v>
      </c>
      <c r="I171" s="1310" t="s">
        <v>1555</v>
      </c>
      <c r="J171" s="1310" t="s">
        <v>1610</v>
      </c>
      <c r="K171" s="1310" t="s">
        <v>1558</v>
      </c>
      <c r="L171" s="1310" t="s">
        <v>1461</v>
      </c>
      <c r="M171" s="1310" t="s">
        <v>1590</v>
      </c>
      <c r="N171" s="1310" t="s">
        <v>1541</v>
      </c>
      <c r="O171" s="1310" t="s">
        <v>1030</v>
      </c>
      <c r="P171" s="1310" t="s">
        <v>130</v>
      </c>
      <c r="Q171" s="1310" t="s">
        <v>1619</v>
      </c>
      <c r="R171" s="1310" t="s">
        <v>1566</v>
      </c>
      <c r="S171" s="1310" t="s">
        <v>1628</v>
      </c>
      <c r="T171" s="1310" t="s">
        <v>1602</v>
      </c>
      <c r="U171" s="1310" t="s">
        <v>1508</v>
      </c>
      <c r="V171" s="1310" t="s">
        <v>1557</v>
      </c>
      <c r="W171" s="1310" t="s">
        <v>133</v>
      </c>
      <c r="X171" s="1310" t="s">
        <v>1561</v>
      </c>
      <c r="Y171" s="1310" t="s">
        <v>126</v>
      </c>
      <c r="Z171" s="1310" t="s">
        <v>1473</v>
      </c>
      <c r="AA171" s="1310" t="s">
        <v>1629</v>
      </c>
      <c r="AB171" s="1310" t="s">
        <v>1576</v>
      </c>
      <c r="AC171" s="1310" t="s">
        <v>1629</v>
      </c>
      <c r="AD171" s="1310" t="s">
        <v>1600</v>
      </c>
      <c r="AE171" s="1310" t="s">
        <v>1630</v>
      </c>
      <c r="AF171" s="1310" t="s">
        <v>1619</v>
      </c>
    </row>
    <row r="172" spans="1:32" x14ac:dyDescent="0.3">
      <c r="A172" s="1310" t="s">
        <v>1502</v>
      </c>
      <c r="B172" s="1310" t="s">
        <v>1458</v>
      </c>
      <c r="C172" s="1310" t="s">
        <v>1631</v>
      </c>
      <c r="D172" s="1310" t="s">
        <v>1541</v>
      </c>
      <c r="E172" s="1310" t="s">
        <v>1551</v>
      </c>
      <c r="F172" s="1310" t="s">
        <v>1488</v>
      </c>
      <c r="G172" s="1310" t="s">
        <v>1448</v>
      </c>
      <c r="H172" s="1310" t="s">
        <v>1568</v>
      </c>
      <c r="I172" s="1310" t="s">
        <v>1520</v>
      </c>
      <c r="J172" s="1310" t="s">
        <v>1554</v>
      </c>
      <c r="K172" s="1310" t="s">
        <v>1498</v>
      </c>
      <c r="L172" s="1310" t="s">
        <v>1554</v>
      </c>
      <c r="M172" s="1310" t="s">
        <v>1619</v>
      </c>
      <c r="N172" s="1310" t="s">
        <v>1543</v>
      </c>
      <c r="O172" s="1310" t="s">
        <v>1509</v>
      </c>
      <c r="P172" s="1310" t="s">
        <v>1445</v>
      </c>
      <c r="Q172" s="1310" t="s">
        <v>1583</v>
      </c>
      <c r="R172" s="1310" t="s">
        <v>1543</v>
      </c>
      <c r="S172" s="1310" t="s">
        <v>1602</v>
      </c>
      <c r="T172" s="1310" t="s">
        <v>1624</v>
      </c>
      <c r="U172" s="1310" t="s">
        <v>1632</v>
      </c>
      <c r="V172" s="1310" t="s">
        <v>1623</v>
      </c>
      <c r="W172" s="1310" t="s">
        <v>1610</v>
      </c>
      <c r="X172" s="1310" t="s">
        <v>116</v>
      </c>
      <c r="Y172" s="1310" t="s">
        <v>1517</v>
      </c>
      <c r="Z172" s="1310" t="s">
        <v>1608</v>
      </c>
      <c r="AA172" s="1310" t="s">
        <v>1614</v>
      </c>
      <c r="AB172" s="1310" t="s">
        <v>1633</v>
      </c>
      <c r="AC172" s="1310" t="s">
        <v>1533</v>
      </c>
      <c r="AD172" s="1310" t="s">
        <v>1607</v>
      </c>
      <c r="AE172" s="1310" t="s">
        <v>1634</v>
      </c>
      <c r="AF172" s="1310" t="s">
        <v>1635</v>
      </c>
    </row>
    <row r="173" spans="1:32" x14ac:dyDescent="0.3">
      <c r="A173" s="1310" t="s">
        <v>1565</v>
      </c>
      <c r="B173" s="1310" t="s">
        <v>1626</v>
      </c>
      <c r="C173" s="1310" t="s">
        <v>1608</v>
      </c>
      <c r="D173" s="1310" t="s">
        <v>1494</v>
      </c>
      <c r="E173" s="1310" t="s">
        <v>115</v>
      </c>
      <c r="F173" s="1310" t="s">
        <v>465</v>
      </c>
      <c r="G173" s="1310" t="s">
        <v>129</v>
      </c>
      <c r="H173" s="1310" t="s">
        <v>119</v>
      </c>
      <c r="I173" s="1310" t="s">
        <v>1027</v>
      </c>
      <c r="J173" s="1310" t="s">
        <v>1620</v>
      </c>
      <c r="K173" s="1310" t="s">
        <v>131</v>
      </c>
      <c r="L173" s="1310" t="s">
        <v>115</v>
      </c>
      <c r="M173" s="1310" t="s">
        <v>1452</v>
      </c>
      <c r="N173" s="1310" t="s">
        <v>1591</v>
      </c>
      <c r="O173" s="1310" t="s">
        <v>114</v>
      </c>
      <c r="P173" s="1310" t="s">
        <v>1444</v>
      </c>
      <c r="Q173" s="1310" t="s">
        <v>267</v>
      </c>
      <c r="R173" s="1310" t="s">
        <v>1610</v>
      </c>
      <c r="S173" s="1310" t="s">
        <v>1569</v>
      </c>
      <c r="T173" s="1310" t="s">
        <v>1575</v>
      </c>
      <c r="U173" s="1310" t="s">
        <v>1636</v>
      </c>
      <c r="V173" s="1310" t="s">
        <v>1548</v>
      </c>
      <c r="W173" s="1310" t="s">
        <v>1595</v>
      </c>
      <c r="X173" s="1310" t="s">
        <v>1451</v>
      </c>
      <c r="Y173" s="1310" t="s">
        <v>1571</v>
      </c>
      <c r="Z173" s="1310" t="s">
        <v>1580</v>
      </c>
      <c r="AA173" s="1310" t="s">
        <v>1560</v>
      </c>
      <c r="AB173" s="1310" t="s">
        <v>1569</v>
      </c>
      <c r="AC173" s="1310" t="s">
        <v>1510</v>
      </c>
      <c r="AD173" s="1310" t="s">
        <v>121</v>
      </c>
      <c r="AE173" s="1310" t="s">
        <v>1567</v>
      </c>
      <c r="AF173" s="1310" t="s">
        <v>1516</v>
      </c>
    </row>
    <row r="174" spans="1:32" x14ac:dyDescent="0.3">
      <c r="A174" s="1310" t="s">
        <v>1545</v>
      </c>
      <c r="B174" s="1310" t="s">
        <v>1569</v>
      </c>
      <c r="C174" s="1310" t="s">
        <v>1596</v>
      </c>
      <c r="D174" s="1310" t="s">
        <v>1582</v>
      </c>
      <c r="E174" s="1310" t="s">
        <v>1484</v>
      </c>
      <c r="F174" s="1310" t="s">
        <v>1466</v>
      </c>
      <c r="G174" s="1310" t="s">
        <v>1637</v>
      </c>
      <c r="H174" s="1310" t="s">
        <v>1459</v>
      </c>
      <c r="I174" s="1310" t="s">
        <v>1617</v>
      </c>
      <c r="J174" s="1310" t="s">
        <v>1496</v>
      </c>
      <c r="K174" s="1310" t="s">
        <v>1627</v>
      </c>
      <c r="L174" s="1310" t="s">
        <v>1592</v>
      </c>
      <c r="M174" s="1310" t="s">
        <v>1620</v>
      </c>
      <c r="N174" s="1310" t="s">
        <v>1583</v>
      </c>
      <c r="O174" s="1310" t="s">
        <v>114</v>
      </c>
      <c r="P174" s="1310" t="s">
        <v>1614</v>
      </c>
      <c r="Q174" s="1310" t="s">
        <v>1615</v>
      </c>
      <c r="R174" s="1310" t="s">
        <v>1623</v>
      </c>
      <c r="S174" s="1310" t="s">
        <v>1493</v>
      </c>
      <c r="T174" s="1310" t="s">
        <v>1550</v>
      </c>
      <c r="U174" s="1310" t="s">
        <v>1579</v>
      </c>
      <c r="V174" s="1310" t="s">
        <v>1558</v>
      </c>
      <c r="W174" s="1310" t="s">
        <v>1587</v>
      </c>
      <c r="X174" s="1310" t="s">
        <v>1600</v>
      </c>
      <c r="Y174" s="1310" t="s">
        <v>1558</v>
      </c>
      <c r="Z174" s="1310" t="s">
        <v>1575</v>
      </c>
      <c r="AA174" s="1310" t="s">
        <v>132</v>
      </c>
      <c r="AB174" s="1310" t="s">
        <v>1460</v>
      </c>
      <c r="AC174" s="1310" t="s">
        <v>1627</v>
      </c>
      <c r="AD174" s="1310" t="s">
        <v>1633</v>
      </c>
      <c r="AE174" s="1310" t="s">
        <v>110</v>
      </c>
      <c r="AF174" s="1310" t="s">
        <v>1562</v>
      </c>
    </row>
    <row r="175" spans="1:32" x14ac:dyDescent="0.3">
      <c r="A175" s="1310" t="s">
        <v>1546</v>
      </c>
      <c r="B175" s="1310" t="s">
        <v>1603</v>
      </c>
      <c r="C175" s="1310" t="s">
        <v>120</v>
      </c>
      <c r="D175" s="1310" t="s">
        <v>1622</v>
      </c>
      <c r="E175" s="1310" t="s">
        <v>1468</v>
      </c>
      <c r="F175" s="1310" t="s">
        <v>1629</v>
      </c>
      <c r="G175" s="1310" t="s">
        <v>1559</v>
      </c>
      <c r="H175" s="1310" t="s">
        <v>1631</v>
      </c>
      <c r="I175" s="1310" t="s">
        <v>1473</v>
      </c>
      <c r="J175" s="1310" t="s">
        <v>1476</v>
      </c>
      <c r="K175" s="1310" t="s">
        <v>1501</v>
      </c>
      <c r="L175" s="1310" t="s">
        <v>1462</v>
      </c>
      <c r="M175" s="1310" t="s">
        <v>1627</v>
      </c>
      <c r="N175" s="1310" t="s">
        <v>1613</v>
      </c>
      <c r="O175" s="1310" t="s">
        <v>1628</v>
      </c>
      <c r="P175" s="1310" t="s">
        <v>1531</v>
      </c>
      <c r="Q175" s="1310" t="s">
        <v>119</v>
      </c>
      <c r="R175" s="1310" t="s">
        <v>1585</v>
      </c>
      <c r="S175" s="1310" t="s">
        <v>1447</v>
      </c>
      <c r="T175" s="1310" t="s">
        <v>1574</v>
      </c>
      <c r="U175" s="1310" t="s">
        <v>1575</v>
      </c>
      <c r="V175" s="1310" t="s">
        <v>1488</v>
      </c>
      <c r="W175" s="1310" t="s">
        <v>1638</v>
      </c>
      <c r="X175" s="1310" t="s">
        <v>1639</v>
      </c>
      <c r="Y175" s="1310" t="s">
        <v>1443</v>
      </c>
      <c r="Z175" s="1310" t="s">
        <v>1450</v>
      </c>
      <c r="AA175" s="1310" t="s">
        <v>1638</v>
      </c>
      <c r="AB175" s="1310" t="s">
        <v>1610</v>
      </c>
      <c r="AC175" s="1310" t="s">
        <v>1517</v>
      </c>
      <c r="AD175" s="1310" t="s">
        <v>1640</v>
      </c>
      <c r="AE175" s="1310" t="s">
        <v>1641</v>
      </c>
      <c r="AF175" s="1310" t="s">
        <v>1642</v>
      </c>
    </row>
    <row r="176" spans="1:32" x14ac:dyDescent="0.3">
      <c r="A176" s="1310" t="s">
        <v>1602</v>
      </c>
      <c r="B176" s="1310" t="s">
        <v>1542</v>
      </c>
      <c r="C176" s="1310" t="s">
        <v>1549</v>
      </c>
      <c r="D176" s="1310" t="s">
        <v>1637</v>
      </c>
      <c r="E176" s="1310" t="s">
        <v>129</v>
      </c>
      <c r="F176" s="1310" t="s">
        <v>1522</v>
      </c>
      <c r="G176" s="1310" t="s">
        <v>1456</v>
      </c>
      <c r="H176" s="1310" t="s">
        <v>122</v>
      </c>
      <c r="I176" s="1310" t="s">
        <v>1643</v>
      </c>
      <c r="J176" s="1310" t="s">
        <v>133</v>
      </c>
      <c r="K176" s="1310" t="s">
        <v>1030</v>
      </c>
      <c r="L176" s="1310" t="s">
        <v>1468</v>
      </c>
      <c r="M176" s="1310" t="s">
        <v>1562</v>
      </c>
      <c r="N176" s="1310" t="s">
        <v>6</v>
      </c>
      <c r="O176" s="1310" t="s">
        <v>1484</v>
      </c>
      <c r="P176" s="1310" t="s">
        <v>1510</v>
      </c>
      <c r="Q176" s="1310" t="s">
        <v>1624</v>
      </c>
      <c r="R176" s="1310" t="s">
        <v>1484</v>
      </c>
      <c r="S176" s="1310" t="s">
        <v>1509</v>
      </c>
      <c r="T176" s="1310" t="s">
        <v>1533</v>
      </c>
      <c r="U176" s="1310" t="s">
        <v>1449</v>
      </c>
      <c r="V176" s="1310" t="s">
        <v>1629</v>
      </c>
      <c r="W176" s="1310" t="s">
        <v>1615</v>
      </c>
      <c r="X176" s="1310" t="s">
        <v>1511</v>
      </c>
      <c r="Y176" s="1310" t="s">
        <v>1570</v>
      </c>
      <c r="Z176" s="1310" t="s">
        <v>120</v>
      </c>
      <c r="AA176" s="1310" t="s">
        <v>131</v>
      </c>
      <c r="AB176" s="1310" t="s">
        <v>1499</v>
      </c>
      <c r="AC176" s="1310" t="s">
        <v>1615</v>
      </c>
      <c r="AD176" s="1310" t="s">
        <v>1616</v>
      </c>
      <c r="AE176" s="1310" t="s">
        <v>1602</v>
      </c>
      <c r="AF176" s="1310" t="s">
        <v>1644</v>
      </c>
    </row>
    <row r="177" spans="1:32" x14ac:dyDescent="0.3">
      <c r="A177" s="1310" t="s">
        <v>1592</v>
      </c>
      <c r="B177" s="1310" t="s">
        <v>133</v>
      </c>
      <c r="C177" s="1310" t="s">
        <v>1639</v>
      </c>
      <c r="D177" s="1310" t="s">
        <v>1501</v>
      </c>
      <c r="E177" s="1310" t="s">
        <v>1633</v>
      </c>
      <c r="F177" s="1310" t="s">
        <v>1533</v>
      </c>
      <c r="G177" s="1310" t="s">
        <v>1556</v>
      </c>
      <c r="H177" s="1310" t="s">
        <v>1473</v>
      </c>
      <c r="I177" s="1310" t="s">
        <v>1610</v>
      </c>
      <c r="J177" s="1310" t="s">
        <v>1556</v>
      </c>
      <c r="K177" s="1310" t="s">
        <v>126</v>
      </c>
      <c r="L177" s="1310" t="s">
        <v>1491</v>
      </c>
      <c r="M177" s="1310" t="s">
        <v>1030</v>
      </c>
      <c r="N177" s="1310" t="s">
        <v>1449</v>
      </c>
      <c r="O177" s="1310" t="s">
        <v>1608</v>
      </c>
      <c r="P177" s="1310" t="s">
        <v>1645</v>
      </c>
      <c r="Q177" s="1310" t="s">
        <v>132</v>
      </c>
      <c r="R177" s="1310" t="s">
        <v>471</v>
      </c>
      <c r="S177" s="1310" t="s">
        <v>1546</v>
      </c>
      <c r="T177" s="1310" t="s">
        <v>471</v>
      </c>
      <c r="U177" s="1310" t="s">
        <v>1547</v>
      </c>
      <c r="V177" s="1310" t="s">
        <v>1615</v>
      </c>
      <c r="W177" s="1310" t="s">
        <v>1607</v>
      </c>
      <c r="X177" s="1310" t="s">
        <v>1633</v>
      </c>
      <c r="Y177" s="1310" t="s">
        <v>1579</v>
      </c>
      <c r="Z177" s="1310" t="s">
        <v>1489</v>
      </c>
      <c r="AA177" s="1310" t="s">
        <v>1456</v>
      </c>
      <c r="AB177" s="1310" t="s">
        <v>1503</v>
      </c>
      <c r="AC177" s="1310" t="s">
        <v>1514</v>
      </c>
      <c r="AD177" s="1310" t="s">
        <v>1532</v>
      </c>
      <c r="AE177" s="1310" t="s">
        <v>1567</v>
      </c>
      <c r="AF177" s="1310" t="s">
        <v>1550</v>
      </c>
    </row>
    <row r="178" spans="1:32" x14ac:dyDescent="0.3">
      <c r="A178" s="1310" t="s">
        <v>1590</v>
      </c>
      <c r="B178" s="1310" t="s">
        <v>1542</v>
      </c>
      <c r="C178" s="1310" t="s">
        <v>1544</v>
      </c>
      <c r="D178" s="1310" t="s">
        <v>1646</v>
      </c>
      <c r="E178" s="1310" t="s">
        <v>1455</v>
      </c>
      <c r="F178" s="1310" t="s">
        <v>264</v>
      </c>
      <c r="G178" s="1310" t="s">
        <v>1545</v>
      </c>
      <c r="H178" s="1310" t="s">
        <v>1474</v>
      </c>
      <c r="I178" s="1310" t="s">
        <v>1542</v>
      </c>
      <c r="J178" s="1310" t="s">
        <v>1586</v>
      </c>
      <c r="K178" s="1310" t="s">
        <v>1443</v>
      </c>
      <c r="L178" s="1310" t="s">
        <v>1450</v>
      </c>
      <c r="M178" s="1310" t="s">
        <v>1496</v>
      </c>
      <c r="N178" s="1310" t="s">
        <v>1647</v>
      </c>
      <c r="O178" s="1310" t="s">
        <v>1537</v>
      </c>
      <c r="P178" s="1310" t="s">
        <v>1636</v>
      </c>
      <c r="Q178" s="1310" t="s">
        <v>1507</v>
      </c>
      <c r="R178" s="1310" t="s">
        <v>1519</v>
      </c>
      <c r="S178" s="1310" t="s">
        <v>1638</v>
      </c>
      <c r="T178" s="1310" t="s">
        <v>1612</v>
      </c>
      <c r="U178" s="1310" t="s">
        <v>1546</v>
      </c>
      <c r="V178" s="1310" t="s">
        <v>1519</v>
      </c>
      <c r="W178" s="1310" t="s">
        <v>123</v>
      </c>
      <c r="X178" s="1310" t="s">
        <v>1531</v>
      </c>
      <c r="Y178" s="1310" t="s">
        <v>1459</v>
      </c>
      <c r="Z178" s="1310" t="s">
        <v>1503</v>
      </c>
      <c r="AA178" s="1310" t="s">
        <v>268</v>
      </c>
      <c r="AB178" s="1310" t="s">
        <v>1615</v>
      </c>
      <c r="AC178" s="1310" t="s">
        <v>1610</v>
      </c>
      <c r="AD178" s="1310" t="s">
        <v>1623</v>
      </c>
      <c r="AE178" s="1310" t="s">
        <v>1562</v>
      </c>
      <c r="AF178" s="1310" t="s">
        <v>1541</v>
      </c>
    </row>
    <row r="179" spans="1:32" x14ac:dyDescent="0.3">
      <c r="A179" s="1310" t="s">
        <v>1584</v>
      </c>
      <c r="B179" s="1310" t="s">
        <v>1609</v>
      </c>
      <c r="C179" s="1310" t="s">
        <v>1588</v>
      </c>
      <c r="D179" s="1310" t="s">
        <v>1448</v>
      </c>
      <c r="E179" s="1310" t="s">
        <v>1552</v>
      </c>
      <c r="F179" s="1310" t="s">
        <v>1645</v>
      </c>
      <c r="G179" s="1310" t="s">
        <v>1542</v>
      </c>
      <c r="H179" s="1310" t="s">
        <v>1592</v>
      </c>
      <c r="I179" s="1310" t="s">
        <v>1623</v>
      </c>
      <c r="J179" s="1310" t="s">
        <v>1648</v>
      </c>
      <c r="K179" s="1310" t="s">
        <v>1557</v>
      </c>
      <c r="L179" s="1310" t="s">
        <v>1559</v>
      </c>
      <c r="M179" s="1310" t="s">
        <v>1627</v>
      </c>
      <c r="N179" s="1310" t="s">
        <v>1601</v>
      </c>
      <c r="O179" s="1310" t="s">
        <v>1604</v>
      </c>
      <c r="P179" s="1310" t="s">
        <v>1642</v>
      </c>
      <c r="Q179" s="1310" t="s">
        <v>1623</v>
      </c>
      <c r="R179" s="1310" t="s">
        <v>1642</v>
      </c>
      <c r="S179" s="1310" t="s">
        <v>465</v>
      </c>
      <c r="T179" s="1310" t="s">
        <v>1489</v>
      </c>
      <c r="U179" s="1310" t="s">
        <v>132</v>
      </c>
      <c r="V179" s="1310" t="s">
        <v>1608</v>
      </c>
      <c r="W179" s="1310" t="s">
        <v>1611</v>
      </c>
      <c r="X179" s="1310" t="s">
        <v>1645</v>
      </c>
      <c r="Y179" s="1310" t="s">
        <v>1639</v>
      </c>
      <c r="Z179" s="1310" t="s">
        <v>1637</v>
      </c>
      <c r="AA179" s="1310" t="s">
        <v>1540</v>
      </c>
      <c r="AB179" s="1310" t="s">
        <v>1472</v>
      </c>
      <c r="AC179" s="1310" t="s">
        <v>1624</v>
      </c>
      <c r="AD179" s="1310" t="s">
        <v>1586</v>
      </c>
      <c r="AE179" s="1310" t="s">
        <v>1610</v>
      </c>
      <c r="AF179" s="1310" t="s">
        <v>1530</v>
      </c>
    </row>
    <row r="180" spans="1:32" x14ac:dyDescent="0.3">
      <c r="A180" s="1310" t="s">
        <v>1480</v>
      </c>
      <c r="B180" s="1310" t="s">
        <v>114</v>
      </c>
      <c r="C180" s="1310" t="s">
        <v>1483</v>
      </c>
      <c r="D180" s="1310" t="s">
        <v>1507</v>
      </c>
      <c r="E180" s="1310" t="s">
        <v>1523</v>
      </c>
      <c r="F180" s="1310" t="s">
        <v>1446</v>
      </c>
      <c r="G180" s="1310" t="s">
        <v>1560</v>
      </c>
      <c r="H180" s="1310" t="s">
        <v>263</v>
      </c>
      <c r="I180" s="1310" t="s">
        <v>127</v>
      </c>
      <c r="J180" s="1310" t="s">
        <v>1453</v>
      </c>
      <c r="K180" s="1310" t="s">
        <v>1561</v>
      </c>
      <c r="L180" s="1310" t="s">
        <v>1444</v>
      </c>
      <c r="M180" s="1310" t="s">
        <v>127</v>
      </c>
      <c r="N180" s="1310" t="s">
        <v>1523</v>
      </c>
      <c r="O180" s="1310" t="s">
        <v>1446</v>
      </c>
      <c r="P180" s="1310" t="s">
        <v>1581</v>
      </c>
      <c r="Q180" s="1310" t="s">
        <v>1580</v>
      </c>
      <c r="R180" s="1310" t="s">
        <v>1547</v>
      </c>
      <c r="S180" s="1310" t="s">
        <v>111</v>
      </c>
      <c r="T180" s="1310" t="s">
        <v>1638</v>
      </c>
      <c r="U180" s="1310" t="s">
        <v>1443</v>
      </c>
      <c r="V180" s="1310" t="s">
        <v>1450</v>
      </c>
      <c r="W180" s="1310" t="s">
        <v>1626</v>
      </c>
      <c r="X180" s="1310" t="s">
        <v>1594</v>
      </c>
      <c r="Y180" s="1310" t="s">
        <v>111</v>
      </c>
      <c r="Z180" s="1310" t="s">
        <v>1548</v>
      </c>
      <c r="AA180" s="1310" t="s">
        <v>1602</v>
      </c>
      <c r="AB180" s="1310" t="s">
        <v>1486</v>
      </c>
      <c r="AC180" s="1310" t="s">
        <v>1498</v>
      </c>
      <c r="AD180" s="1310" t="s">
        <v>1531</v>
      </c>
      <c r="AE180" s="1310" t="s">
        <v>1559</v>
      </c>
      <c r="AF180" s="1310" t="s">
        <v>1476</v>
      </c>
    </row>
    <row r="181" spans="1:32" x14ac:dyDescent="0.3">
      <c r="A181" s="1310" t="s">
        <v>1597</v>
      </c>
      <c r="B181" s="1310" t="s">
        <v>1637</v>
      </c>
      <c r="C181" s="1310" t="s">
        <v>1466</v>
      </c>
      <c r="D181" s="1310" t="s">
        <v>125</v>
      </c>
      <c r="E181" s="1310" t="s">
        <v>1595</v>
      </c>
      <c r="F181" s="1310" t="s">
        <v>1649</v>
      </c>
      <c r="G181" s="1310" t="s">
        <v>1496</v>
      </c>
      <c r="H181" s="1310" t="s">
        <v>1461</v>
      </c>
      <c r="I181" s="1310" t="s">
        <v>1543</v>
      </c>
      <c r="J181" s="1310" t="s">
        <v>115</v>
      </c>
      <c r="K181" s="1310" t="s">
        <v>1610</v>
      </c>
      <c r="L181" s="1310" t="s">
        <v>1443</v>
      </c>
      <c r="M181" s="1310" t="s">
        <v>1450</v>
      </c>
      <c r="N181" s="1310" t="s">
        <v>1460</v>
      </c>
      <c r="O181" s="1310" t="s">
        <v>1494</v>
      </c>
      <c r="P181" s="1310" t="s">
        <v>1443</v>
      </c>
      <c r="Q181" s="1310" t="s">
        <v>1450</v>
      </c>
      <c r="R181" s="1310" t="s">
        <v>1568</v>
      </c>
      <c r="S181" s="1310" t="s">
        <v>1511</v>
      </c>
      <c r="T181" s="1310" t="s">
        <v>1475</v>
      </c>
      <c r="U181" s="1310" t="s">
        <v>1499</v>
      </c>
      <c r="V181" s="1310" t="s">
        <v>1607</v>
      </c>
      <c r="W181" s="1310" t="s">
        <v>1597</v>
      </c>
      <c r="X181" s="1310" t="s">
        <v>1495</v>
      </c>
      <c r="Y181" s="1310" t="s">
        <v>1521</v>
      </c>
      <c r="Z181" s="1310" t="s">
        <v>127</v>
      </c>
      <c r="AA181" s="1310" t="s">
        <v>1522</v>
      </c>
      <c r="AB181" s="1310" t="s">
        <v>268</v>
      </c>
      <c r="AC181" s="1310" t="s">
        <v>1610</v>
      </c>
      <c r="AD181" s="1310" t="s">
        <v>269</v>
      </c>
      <c r="AE181" s="1310" t="s">
        <v>1619</v>
      </c>
      <c r="AF181" s="1310" t="s">
        <v>1529</v>
      </c>
    </row>
    <row r="182" spans="1:32" x14ac:dyDescent="0.3">
      <c r="A182" s="1310" t="s">
        <v>133</v>
      </c>
      <c r="B182" s="1310" t="s">
        <v>1577</v>
      </c>
      <c r="C182" s="1310" t="s">
        <v>1576</v>
      </c>
      <c r="D182" s="1310" t="s">
        <v>1592</v>
      </c>
      <c r="E182" s="1310" t="s">
        <v>1583</v>
      </c>
      <c r="F182" s="1310" t="s">
        <v>1545</v>
      </c>
      <c r="G182" s="1310" t="s">
        <v>1451</v>
      </c>
      <c r="H182" s="1310" t="s">
        <v>1631</v>
      </c>
      <c r="I182" s="1310" t="s">
        <v>1513</v>
      </c>
      <c r="J182" s="1310" t="s">
        <v>1568</v>
      </c>
      <c r="K182" s="1310" t="s">
        <v>112</v>
      </c>
      <c r="L182" s="1310" t="s">
        <v>1488</v>
      </c>
      <c r="M182" s="1310" t="s">
        <v>1481</v>
      </c>
      <c r="N182" s="1310" t="s">
        <v>1520</v>
      </c>
      <c r="O182" s="1310" t="s">
        <v>1477</v>
      </c>
      <c r="P182" s="1310" t="s">
        <v>1638</v>
      </c>
      <c r="Q182" s="1310" t="s">
        <v>1516</v>
      </c>
      <c r="R182" s="1310" t="s">
        <v>1486</v>
      </c>
      <c r="S182" s="1310" t="s">
        <v>1639</v>
      </c>
      <c r="T182" s="1310" t="s">
        <v>1546</v>
      </c>
      <c r="U182" s="1310" t="s">
        <v>1560</v>
      </c>
      <c r="V182" s="1310" t="s">
        <v>1536</v>
      </c>
      <c r="W182" s="1310" t="s">
        <v>1493</v>
      </c>
      <c r="X182" s="1310" t="s">
        <v>1638</v>
      </c>
      <c r="Y182" s="1310" t="s">
        <v>1553</v>
      </c>
      <c r="Z182" s="1310" t="s">
        <v>1567</v>
      </c>
      <c r="AA182" s="1310" t="s">
        <v>1633</v>
      </c>
      <c r="AB182" s="1310" t="s">
        <v>1625</v>
      </c>
      <c r="AC182" s="1310" t="s">
        <v>1567</v>
      </c>
      <c r="AD182" s="1310" t="s">
        <v>1518</v>
      </c>
      <c r="AE182" s="1310" t="s">
        <v>1617</v>
      </c>
      <c r="AF182" s="1310" t="s">
        <v>1649</v>
      </c>
    </row>
    <row r="183" spans="1:32" x14ac:dyDescent="0.3">
      <c r="A183" s="1310" t="s">
        <v>268</v>
      </c>
      <c r="B183" s="1310" t="s">
        <v>1582</v>
      </c>
      <c r="C183" s="1310" t="s">
        <v>1650</v>
      </c>
      <c r="D183" s="1310" t="s">
        <v>266</v>
      </c>
      <c r="E183" s="1310" t="s">
        <v>1633</v>
      </c>
      <c r="F183" s="1310" t="s">
        <v>1645</v>
      </c>
      <c r="G183" s="1310" t="s">
        <v>1525</v>
      </c>
      <c r="H183" s="1310" t="s">
        <v>1499</v>
      </c>
      <c r="I183" s="1310" t="s">
        <v>1565</v>
      </c>
      <c r="J183" s="1310" t="s">
        <v>1484</v>
      </c>
      <c r="K183" s="1310" t="s">
        <v>1481</v>
      </c>
      <c r="L183" s="1310" t="s">
        <v>1505</v>
      </c>
      <c r="M183" s="1310" t="s">
        <v>1530</v>
      </c>
      <c r="N183" s="1310" t="s">
        <v>1447</v>
      </c>
      <c r="O183" s="1310" t="s">
        <v>1527</v>
      </c>
      <c r="P183" s="1310" t="s">
        <v>129</v>
      </c>
      <c r="Q183" s="1310" t="s">
        <v>128</v>
      </c>
      <c r="R183" s="1310" t="s">
        <v>1453</v>
      </c>
      <c r="S183" s="1310" t="s">
        <v>1506</v>
      </c>
      <c r="T183" s="1310" t="s">
        <v>1489</v>
      </c>
      <c r="U183" s="1310" t="s">
        <v>110</v>
      </c>
      <c r="V183" s="1310" t="s">
        <v>1626</v>
      </c>
      <c r="W183" s="1310" t="s">
        <v>1537</v>
      </c>
      <c r="X183" s="1310" t="s">
        <v>1633</v>
      </c>
      <c r="Y183" s="1310" t="s">
        <v>1507</v>
      </c>
      <c r="Z183" s="1310" t="s">
        <v>1642</v>
      </c>
      <c r="AA183" s="1310" t="s">
        <v>1651</v>
      </c>
      <c r="AB183" s="1310" t="s">
        <v>115</v>
      </c>
      <c r="AC183" s="1310" t="s">
        <v>262</v>
      </c>
      <c r="AD183" s="1310" t="s">
        <v>1638</v>
      </c>
      <c r="AE183" s="1310" t="s">
        <v>1517</v>
      </c>
      <c r="AF183" s="1310" t="s">
        <v>1640</v>
      </c>
    </row>
    <row r="184" spans="1:32" x14ac:dyDescent="0.3">
      <c r="A184" s="1310" t="s">
        <v>1568</v>
      </c>
      <c r="B184" s="1310" t="s">
        <v>1465</v>
      </c>
      <c r="C184" s="1310" t="s">
        <v>1639</v>
      </c>
      <c r="D184" s="1310" t="s">
        <v>1570</v>
      </c>
      <c r="E184" s="1310" t="s">
        <v>1467</v>
      </c>
      <c r="F184" s="1310" t="s">
        <v>1616</v>
      </c>
      <c r="G184" s="1310" t="s">
        <v>1646</v>
      </c>
      <c r="H184" s="1310" t="s">
        <v>1609</v>
      </c>
      <c r="I184" s="1310" t="s">
        <v>1488</v>
      </c>
      <c r="J184" s="1310" t="s">
        <v>1566</v>
      </c>
      <c r="K184" s="1310" t="s">
        <v>1588</v>
      </c>
      <c r="L184" s="1310" t="s">
        <v>1590</v>
      </c>
      <c r="M184" s="1310" t="s">
        <v>1453</v>
      </c>
      <c r="N184" s="1310" t="s">
        <v>1566</v>
      </c>
      <c r="O184" s="1310" t="s">
        <v>1590</v>
      </c>
      <c r="P184" s="1310" t="s">
        <v>1588</v>
      </c>
      <c r="Q184" s="1310" t="s">
        <v>1623</v>
      </c>
      <c r="R184" s="1310" t="s">
        <v>1595</v>
      </c>
      <c r="S184" s="1310" t="s">
        <v>1645</v>
      </c>
      <c r="T184" s="1310" t="s">
        <v>121</v>
      </c>
      <c r="U184" s="1310" t="s">
        <v>116</v>
      </c>
      <c r="V184" s="1310" t="s">
        <v>1616</v>
      </c>
      <c r="W184" s="1310" t="s">
        <v>114</v>
      </c>
      <c r="X184" s="1310" t="s">
        <v>1606</v>
      </c>
      <c r="Y184" s="1310" t="s">
        <v>1577</v>
      </c>
      <c r="Z184" s="1310" t="s">
        <v>1621</v>
      </c>
      <c r="AA184" s="1310" t="s">
        <v>116</v>
      </c>
      <c r="AB184" s="1310" t="s">
        <v>1483</v>
      </c>
      <c r="AC184" s="1310" t="s">
        <v>1455</v>
      </c>
      <c r="AD184" s="1310" t="s">
        <v>1454</v>
      </c>
      <c r="AE184" s="1310" t="s">
        <v>6</v>
      </c>
      <c r="AF184" s="1310" t="s">
        <v>1652</v>
      </c>
    </row>
    <row r="185" spans="1:32" x14ac:dyDescent="0.3">
      <c r="A185" s="1310" t="s">
        <v>1559</v>
      </c>
      <c r="B185" s="1310" t="s">
        <v>1640</v>
      </c>
      <c r="C185" s="1310" t="s">
        <v>1638</v>
      </c>
      <c r="D185" s="1310" t="s">
        <v>1476</v>
      </c>
      <c r="E185" s="1310" t="s">
        <v>1473</v>
      </c>
      <c r="F185" s="1310" t="s">
        <v>1488</v>
      </c>
      <c r="G185" s="1310" t="s">
        <v>1446</v>
      </c>
      <c r="H185" s="1310" t="s">
        <v>1563</v>
      </c>
      <c r="I185" s="1310" t="s">
        <v>471</v>
      </c>
      <c r="J185" s="1310" t="s">
        <v>1616</v>
      </c>
      <c r="K185" s="1310" t="s">
        <v>1532</v>
      </c>
      <c r="L185" s="1310" t="s">
        <v>1479</v>
      </c>
      <c r="M185" s="1310" t="s">
        <v>1633</v>
      </c>
      <c r="N185" s="1310" t="s">
        <v>1445</v>
      </c>
      <c r="O185" s="1310" t="s">
        <v>1648</v>
      </c>
      <c r="P185" s="1310" t="s">
        <v>1588</v>
      </c>
      <c r="Q185" s="1310" t="s">
        <v>1566</v>
      </c>
      <c r="R185" s="1310" t="s">
        <v>1648</v>
      </c>
      <c r="S185" s="1310" t="s">
        <v>1475</v>
      </c>
      <c r="T185" s="1310" t="s">
        <v>1604</v>
      </c>
      <c r="U185" s="1310" t="s">
        <v>1456</v>
      </c>
      <c r="V185" s="1310" t="s">
        <v>1450</v>
      </c>
      <c r="W185" s="1310" t="s">
        <v>1638</v>
      </c>
      <c r="X185" s="1310" t="s">
        <v>1619</v>
      </c>
      <c r="Y185" s="1310" t="s">
        <v>1443</v>
      </c>
      <c r="Z185" s="1310" t="s">
        <v>1450</v>
      </c>
      <c r="AA185" s="1310" t="s">
        <v>1485</v>
      </c>
      <c r="AB185" s="1310" t="s">
        <v>263</v>
      </c>
      <c r="AC185" s="1310" t="s">
        <v>465</v>
      </c>
      <c r="AD185" s="1310" t="s">
        <v>1608</v>
      </c>
      <c r="AE185" s="1310" t="s">
        <v>1583</v>
      </c>
      <c r="AF185" s="1310" t="s">
        <v>1574</v>
      </c>
    </row>
    <row r="186" spans="1:32" x14ac:dyDescent="0.3">
      <c r="A186" s="1310" t="s">
        <v>1538</v>
      </c>
      <c r="B186" s="1310" t="s">
        <v>1517</v>
      </c>
      <c r="C186" s="1310" t="s">
        <v>1492</v>
      </c>
      <c r="D186" s="1310" t="s">
        <v>1599</v>
      </c>
      <c r="E186" s="1310" t="s">
        <v>1443</v>
      </c>
      <c r="F186" s="1310" t="s">
        <v>1450</v>
      </c>
      <c r="G186" s="1310" t="s">
        <v>1462</v>
      </c>
      <c r="H186" s="1310" t="s">
        <v>1617</v>
      </c>
      <c r="I186" s="1310" t="s">
        <v>1636</v>
      </c>
      <c r="J186" s="1310" t="s">
        <v>1583</v>
      </c>
      <c r="K186" s="1310" t="s">
        <v>1472</v>
      </c>
      <c r="L186" s="1310" t="s">
        <v>1650</v>
      </c>
      <c r="M186" s="1310" t="s">
        <v>1579</v>
      </c>
      <c r="N186" s="1310" t="s">
        <v>1583</v>
      </c>
      <c r="O186" s="1310" t="s">
        <v>1481</v>
      </c>
      <c r="P186" s="1310" t="s">
        <v>1552</v>
      </c>
      <c r="Q186" s="1310" t="s">
        <v>1491</v>
      </c>
      <c r="R186" s="1310" t="s">
        <v>1554</v>
      </c>
      <c r="S186" s="1310" t="s">
        <v>1653</v>
      </c>
      <c r="T186" s="1310" t="s">
        <v>1572</v>
      </c>
      <c r="U186" s="1310" t="s">
        <v>1511</v>
      </c>
      <c r="V186" s="1310" t="s">
        <v>1631</v>
      </c>
      <c r="W186" s="1310" t="s">
        <v>1509</v>
      </c>
      <c r="X186" s="1310" t="s">
        <v>1644</v>
      </c>
      <c r="Y186" s="1310" t="s">
        <v>1577</v>
      </c>
      <c r="Z186" s="1310" t="s">
        <v>1549</v>
      </c>
      <c r="AA186" s="1310" t="s">
        <v>1484</v>
      </c>
      <c r="AB186" s="1310" t="s">
        <v>1517</v>
      </c>
      <c r="AC186" s="1310" t="s">
        <v>1560</v>
      </c>
      <c r="AD186" s="1310" t="s">
        <v>1548</v>
      </c>
      <c r="AE186" s="1310" t="s">
        <v>1622</v>
      </c>
      <c r="AF186" s="1310" t="s">
        <v>1603</v>
      </c>
    </row>
    <row r="187" spans="1:32" x14ac:dyDescent="0.3">
      <c r="A187" s="1310" t="s">
        <v>1561</v>
      </c>
      <c r="B187" s="1310" t="s">
        <v>1525</v>
      </c>
      <c r="C187" s="1310" t="s">
        <v>133</v>
      </c>
      <c r="D187" s="1310" t="s">
        <v>1457</v>
      </c>
      <c r="E187" s="1310" t="s">
        <v>1549</v>
      </c>
      <c r="F187" s="1310" t="s">
        <v>1516</v>
      </c>
      <c r="G187" s="1310" t="s">
        <v>1509</v>
      </c>
      <c r="H187" s="1310" t="s">
        <v>1027</v>
      </c>
      <c r="I187" s="1310" t="s">
        <v>1554</v>
      </c>
      <c r="J187" s="1310" t="s">
        <v>1600</v>
      </c>
      <c r="K187" s="1310" t="s">
        <v>1646</v>
      </c>
      <c r="L187" s="1310" t="s">
        <v>1468</v>
      </c>
      <c r="M187" s="1310" t="s">
        <v>1540</v>
      </c>
      <c r="N187" s="1310" t="s">
        <v>1494</v>
      </c>
      <c r="O187" s="1310" t="s">
        <v>1552</v>
      </c>
      <c r="P187" s="1310" t="s">
        <v>1564</v>
      </c>
      <c r="Q187" s="1310" t="s">
        <v>1654</v>
      </c>
      <c r="R187" s="1310" t="s">
        <v>1030</v>
      </c>
      <c r="S187" s="1310" t="s">
        <v>1488</v>
      </c>
      <c r="T187" s="1310" t="s">
        <v>1647</v>
      </c>
      <c r="U187" s="1310" t="s">
        <v>1655</v>
      </c>
      <c r="V187" s="1310" t="s">
        <v>1639</v>
      </c>
      <c r="W187" s="1310" t="s">
        <v>1463</v>
      </c>
      <c r="X187" s="1310" t="s">
        <v>122</v>
      </c>
      <c r="Y187" s="1310" t="s">
        <v>1586</v>
      </c>
      <c r="Z187" s="1310" t="s">
        <v>1464</v>
      </c>
      <c r="AA187" s="1310" t="s">
        <v>1550</v>
      </c>
      <c r="AB187" s="1310" t="s">
        <v>1575</v>
      </c>
      <c r="AC187" s="1310" t="s">
        <v>1553</v>
      </c>
      <c r="AD187" s="1310" t="s">
        <v>1481</v>
      </c>
      <c r="AE187" s="1310" t="s">
        <v>1468</v>
      </c>
      <c r="AF187" s="1310" t="s">
        <v>121</v>
      </c>
    </row>
    <row r="188" spans="1:32" x14ac:dyDescent="0.3">
      <c r="A188" s="1310" t="s">
        <v>1482</v>
      </c>
      <c r="B188" s="1310" t="s">
        <v>1503</v>
      </c>
      <c r="C188" s="1310" t="s">
        <v>120</v>
      </c>
      <c r="D188" s="1310" t="s">
        <v>1605</v>
      </c>
      <c r="E188" s="1310" t="s">
        <v>1450</v>
      </c>
      <c r="F188" s="1310" t="s">
        <v>1623</v>
      </c>
      <c r="G188" s="1310" t="s">
        <v>6</v>
      </c>
      <c r="H188" s="1310" t="s">
        <v>110</v>
      </c>
      <c r="I188" s="1310" t="s">
        <v>1647</v>
      </c>
      <c r="J188" s="1310" t="s">
        <v>1485</v>
      </c>
      <c r="K188" s="1310" t="s">
        <v>1636</v>
      </c>
      <c r="L188" s="1310" t="s">
        <v>1506</v>
      </c>
      <c r="M188" s="1310" t="s">
        <v>1027</v>
      </c>
      <c r="N188" s="1310" t="s">
        <v>1633</v>
      </c>
      <c r="O188" s="1310" t="s">
        <v>1534</v>
      </c>
      <c r="P188" s="1310" t="s">
        <v>1480</v>
      </c>
      <c r="Q188" s="1310" t="s">
        <v>1449</v>
      </c>
      <c r="R188" s="1310" t="s">
        <v>1576</v>
      </c>
      <c r="S188" s="1310" t="s">
        <v>1568</v>
      </c>
      <c r="T188" s="1310" t="s">
        <v>1459</v>
      </c>
      <c r="U188" s="1310" t="s">
        <v>1632</v>
      </c>
      <c r="V188" s="1310" t="s">
        <v>1449</v>
      </c>
      <c r="W188" s="1310" t="s">
        <v>128</v>
      </c>
      <c r="X188" s="1310" t="s">
        <v>1473</v>
      </c>
      <c r="Y188" s="1310" t="s">
        <v>1473</v>
      </c>
      <c r="Z188" s="1310" t="s">
        <v>1598</v>
      </c>
      <c r="AA188" s="1310" t="s">
        <v>1466</v>
      </c>
      <c r="AB188" s="1310" t="s">
        <v>1606</v>
      </c>
      <c r="AC188" s="1310" t="s">
        <v>129</v>
      </c>
      <c r="AD188" s="1310" t="s">
        <v>1520</v>
      </c>
      <c r="AE188" s="1310" t="s">
        <v>1613</v>
      </c>
      <c r="AF188" s="1310" t="s">
        <v>1507</v>
      </c>
    </row>
    <row r="189" spans="1:32" x14ac:dyDescent="0.3">
      <c r="A189" s="1310" t="s">
        <v>1497</v>
      </c>
      <c r="B189" s="1310" t="s">
        <v>1467</v>
      </c>
      <c r="C189" s="1310" t="s">
        <v>1623</v>
      </c>
      <c r="D189" s="1310" t="s">
        <v>1644</v>
      </c>
      <c r="E189" s="1310" t="s">
        <v>1526</v>
      </c>
      <c r="F189" s="1310" t="s">
        <v>1529</v>
      </c>
      <c r="G189" s="1310" t="s">
        <v>1586</v>
      </c>
      <c r="H189" s="1310" t="s">
        <v>1621</v>
      </c>
      <c r="I189" s="1310" t="s">
        <v>1645</v>
      </c>
      <c r="J189" s="1310" t="s">
        <v>1443</v>
      </c>
      <c r="K189" s="1310" t="s">
        <v>1634</v>
      </c>
      <c r="L189" s="1310" t="s">
        <v>1552</v>
      </c>
      <c r="M189" s="1310" t="s">
        <v>1541</v>
      </c>
      <c r="N189" s="1310" t="s">
        <v>1646</v>
      </c>
      <c r="O189" s="1310" t="s">
        <v>1552</v>
      </c>
      <c r="P189" s="1310" t="s">
        <v>1464</v>
      </c>
      <c r="Q189" s="1310" t="s">
        <v>1635</v>
      </c>
      <c r="R189" s="1310" t="s">
        <v>125</v>
      </c>
      <c r="S189" s="1310" t="s">
        <v>133</v>
      </c>
      <c r="T189" s="1310" t="s">
        <v>1504</v>
      </c>
      <c r="U189" s="1310" t="s">
        <v>1537</v>
      </c>
      <c r="V189" s="1310" t="s">
        <v>1489</v>
      </c>
      <c r="W189" s="1310" t="s">
        <v>1527</v>
      </c>
      <c r="X189" s="1310" t="s">
        <v>1637</v>
      </c>
      <c r="Y189" s="1310" t="s">
        <v>1476</v>
      </c>
      <c r="Z189" s="1310" t="s">
        <v>1558</v>
      </c>
      <c r="AA189" s="1310" t="s">
        <v>114</v>
      </c>
      <c r="AB189" s="1310" t="s">
        <v>1509</v>
      </c>
      <c r="AC189" s="1310" t="s">
        <v>1541</v>
      </c>
      <c r="AD189" s="1310" t="s">
        <v>1487</v>
      </c>
      <c r="AE189" s="1310" t="s">
        <v>1626</v>
      </c>
      <c r="AF189" s="1310" t="s">
        <v>1483</v>
      </c>
    </row>
    <row r="190" spans="1:32" x14ac:dyDescent="0.3">
      <c r="A190" s="1310" t="s">
        <v>1517</v>
      </c>
      <c r="B190" s="1310" t="s">
        <v>1640</v>
      </c>
      <c r="C190" s="1310" t="s">
        <v>1532</v>
      </c>
      <c r="D190" s="1310" t="s">
        <v>1569</v>
      </c>
      <c r="E190" s="1310" t="s">
        <v>133</v>
      </c>
      <c r="F190" s="1310" t="s">
        <v>1587</v>
      </c>
      <c r="G190" s="1310" t="s">
        <v>1562</v>
      </c>
      <c r="H190" s="1310" t="s">
        <v>1618</v>
      </c>
      <c r="I190" s="1310" t="s">
        <v>1622</v>
      </c>
      <c r="J190" s="1310" t="s">
        <v>1608</v>
      </c>
      <c r="K190" s="1310" t="s">
        <v>1559</v>
      </c>
      <c r="L190" s="1310" t="s">
        <v>1647</v>
      </c>
      <c r="M190" s="1310" t="s">
        <v>1565</v>
      </c>
      <c r="N190" s="1310" t="s">
        <v>1496</v>
      </c>
      <c r="O190" s="1310" t="s">
        <v>1553</v>
      </c>
      <c r="P190" s="1310" t="s">
        <v>117</v>
      </c>
      <c r="Q190" s="1310" t="s">
        <v>1565</v>
      </c>
      <c r="R190" s="1310" t="s">
        <v>1629</v>
      </c>
      <c r="S190" s="1310" t="s">
        <v>1443</v>
      </c>
      <c r="T190" s="1310" t="s">
        <v>1450</v>
      </c>
      <c r="U190" s="1310" t="s">
        <v>1592</v>
      </c>
      <c r="V190" s="1310" t="s">
        <v>1517</v>
      </c>
      <c r="W190" s="1310" t="s">
        <v>1561</v>
      </c>
      <c r="X190" s="1310" t="s">
        <v>1610</v>
      </c>
      <c r="Y190" s="1310" t="s">
        <v>1485</v>
      </c>
      <c r="Z190" s="1310" t="s">
        <v>1517</v>
      </c>
      <c r="AA190" s="1310" t="s">
        <v>1607</v>
      </c>
      <c r="AB190" s="1310" t="s">
        <v>1505</v>
      </c>
      <c r="AC190" s="1310" t="s">
        <v>1639</v>
      </c>
      <c r="AD190" s="1310" t="s">
        <v>1501</v>
      </c>
      <c r="AE190" s="1310" t="s">
        <v>1495</v>
      </c>
      <c r="AF190" s="1310" t="s">
        <v>1030</v>
      </c>
    </row>
    <row r="191" spans="1:32" x14ac:dyDescent="0.3">
      <c r="A191" s="1310" t="s">
        <v>1547</v>
      </c>
      <c r="B191" s="1310" t="s">
        <v>1468</v>
      </c>
      <c r="C191" s="1310" t="s">
        <v>1583</v>
      </c>
      <c r="D191" s="1310" t="s">
        <v>1466</v>
      </c>
      <c r="E191" s="1310" t="s">
        <v>1573</v>
      </c>
      <c r="F191" s="1310" t="s">
        <v>1624</v>
      </c>
      <c r="G191" s="1310" t="s">
        <v>1564</v>
      </c>
      <c r="H191" s="1310" t="s">
        <v>1550</v>
      </c>
      <c r="I191" s="1310" t="s">
        <v>1613</v>
      </c>
      <c r="J191" s="1310" t="s">
        <v>1630</v>
      </c>
      <c r="K191" s="1310" t="s">
        <v>1649</v>
      </c>
      <c r="L191" s="1310" t="s">
        <v>1550</v>
      </c>
      <c r="M191" s="1310" t="s">
        <v>1491</v>
      </c>
      <c r="N191" s="1310" t="s">
        <v>1545</v>
      </c>
      <c r="O191" s="1310" t="s">
        <v>1639</v>
      </c>
      <c r="P191" s="1310" t="s">
        <v>1480</v>
      </c>
      <c r="Q191" s="1310" t="s">
        <v>1591</v>
      </c>
      <c r="R191" s="1310" t="s">
        <v>1598</v>
      </c>
      <c r="S191" s="1310" t="s">
        <v>1622</v>
      </c>
      <c r="T191" s="1310" t="s">
        <v>1597</v>
      </c>
      <c r="U191" s="1310" t="s">
        <v>1645</v>
      </c>
      <c r="V191" s="1310" t="s">
        <v>1539</v>
      </c>
      <c r="W191" s="1310" t="s">
        <v>1587</v>
      </c>
      <c r="X191" s="1310" t="s">
        <v>1559</v>
      </c>
      <c r="Y191" s="1310" t="s">
        <v>1455</v>
      </c>
      <c r="Z191" s="1310" t="s">
        <v>1633</v>
      </c>
      <c r="AA191" s="1310" t="s">
        <v>1500</v>
      </c>
      <c r="AB191" s="1310" t="s">
        <v>1449</v>
      </c>
      <c r="AC191" s="1310" t="s">
        <v>126</v>
      </c>
      <c r="AD191" s="1310" t="s">
        <v>1499</v>
      </c>
      <c r="AE191" s="1310" t="s">
        <v>1548</v>
      </c>
      <c r="AF191" s="1310" t="s">
        <v>1560</v>
      </c>
    </row>
    <row r="192" spans="1:32" x14ac:dyDescent="0.3">
      <c r="A192" s="1310" t="s">
        <v>1030</v>
      </c>
      <c r="B192" s="1310" t="s">
        <v>121</v>
      </c>
      <c r="C192" s="1310" t="s">
        <v>124</v>
      </c>
      <c r="D192" s="1310" t="s">
        <v>1607</v>
      </c>
      <c r="E192" s="1310" t="s">
        <v>1648</v>
      </c>
      <c r="F192" s="1310" t="s">
        <v>1611</v>
      </c>
      <c r="G192" s="1310" t="s">
        <v>1554</v>
      </c>
      <c r="H192" s="1310" t="s">
        <v>1622</v>
      </c>
      <c r="I192" s="1310" t="s">
        <v>1495</v>
      </c>
      <c r="J192" s="1310" t="s">
        <v>1500</v>
      </c>
      <c r="K192" s="1310" t="s">
        <v>1618</v>
      </c>
      <c r="L192" s="1310" t="s">
        <v>1450</v>
      </c>
      <c r="M192" s="1310" t="s">
        <v>1656</v>
      </c>
      <c r="N192" s="1310" t="s">
        <v>1492</v>
      </c>
      <c r="O192" s="1310" t="s">
        <v>1564</v>
      </c>
      <c r="P192" s="1310" t="s">
        <v>1623</v>
      </c>
      <c r="Q192" s="1310" t="s">
        <v>1553</v>
      </c>
      <c r="R192" s="1310" t="s">
        <v>1443</v>
      </c>
      <c r="S192" s="1310" t="s">
        <v>1450</v>
      </c>
      <c r="T192" s="1310" t="s">
        <v>1537</v>
      </c>
      <c r="U192" s="1310" t="s">
        <v>1657</v>
      </c>
      <c r="V192" s="1310" t="s">
        <v>1577</v>
      </c>
      <c r="W192" s="1310" t="s">
        <v>1658</v>
      </c>
      <c r="X192" s="1310" t="s">
        <v>1510</v>
      </c>
      <c r="Y192" s="1310" t="s">
        <v>1495</v>
      </c>
      <c r="Z192" s="1310" t="s">
        <v>117</v>
      </c>
      <c r="AA192" s="1310" t="s">
        <v>1480</v>
      </c>
      <c r="AB192" s="1310" t="s">
        <v>1575</v>
      </c>
      <c r="AC192" s="1310" t="s">
        <v>111</v>
      </c>
      <c r="AD192" s="1310" t="s">
        <v>1599</v>
      </c>
      <c r="AE192" s="1310" t="s">
        <v>1531</v>
      </c>
      <c r="AF192" s="1310" t="s">
        <v>1576</v>
      </c>
    </row>
    <row r="193" spans="1:32" x14ac:dyDescent="0.3">
      <c r="A193" s="1310" t="s">
        <v>1633</v>
      </c>
      <c r="B193" s="1310" t="s">
        <v>1549</v>
      </c>
      <c r="C193" s="1310" t="s">
        <v>1639</v>
      </c>
      <c r="D193" s="1310" t="s">
        <v>1443</v>
      </c>
      <c r="E193" s="1310" t="s">
        <v>1450</v>
      </c>
      <c r="F193" s="1310" t="s">
        <v>471</v>
      </c>
      <c r="G193" s="1310" t="s">
        <v>1636</v>
      </c>
      <c r="H193" s="1310" t="s">
        <v>1600</v>
      </c>
      <c r="I193" s="1310" t="s">
        <v>1589</v>
      </c>
      <c r="J193" s="1310" t="s">
        <v>1656</v>
      </c>
      <c r="K193" s="1310" t="s">
        <v>1583</v>
      </c>
      <c r="L193" s="1310" t="s">
        <v>1565</v>
      </c>
      <c r="M193" s="1310" t="s">
        <v>1545</v>
      </c>
      <c r="N193" s="1310" t="s">
        <v>1604</v>
      </c>
      <c r="O193" s="1310" t="s">
        <v>1584</v>
      </c>
      <c r="P193" s="1310" t="s">
        <v>1464</v>
      </c>
      <c r="Q193" s="1310" t="s">
        <v>1534</v>
      </c>
      <c r="R193" s="1310" t="s">
        <v>1563</v>
      </c>
      <c r="S193" s="1310" t="s">
        <v>129</v>
      </c>
      <c r="T193" s="1310" t="s">
        <v>1577</v>
      </c>
      <c r="U193" s="1310" t="s">
        <v>1547</v>
      </c>
      <c r="V193" s="1310" t="s">
        <v>1594</v>
      </c>
      <c r="W193" s="1310" t="s">
        <v>1565</v>
      </c>
      <c r="X193" s="1310" t="s">
        <v>1488</v>
      </c>
      <c r="Y193" s="1310" t="s">
        <v>115</v>
      </c>
      <c r="Z193" s="1310" t="s">
        <v>1650</v>
      </c>
      <c r="AA193" s="1310" t="s">
        <v>1630</v>
      </c>
      <c r="AB193" s="1310" t="s">
        <v>1635</v>
      </c>
      <c r="AC193" s="1310" t="s">
        <v>1602</v>
      </c>
      <c r="AD193" s="1310" t="s">
        <v>1549</v>
      </c>
      <c r="AE193" s="1310" t="s">
        <v>1659</v>
      </c>
      <c r="AF193" s="1310" t="s">
        <v>1638</v>
      </c>
    </row>
    <row r="194" spans="1:32" x14ac:dyDescent="0.3">
      <c r="A194" s="1310" t="s">
        <v>1602</v>
      </c>
      <c r="B194" s="1310" t="s">
        <v>1588</v>
      </c>
      <c r="C194" s="1310" t="s">
        <v>1456</v>
      </c>
      <c r="D194" s="1310" t="s">
        <v>1630</v>
      </c>
      <c r="E194" s="1310" t="s">
        <v>1555</v>
      </c>
      <c r="F194" s="1310" t="s">
        <v>1648</v>
      </c>
      <c r="G194" s="1310" t="s">
        <v>1623</v>
      </c>
      <c r="H194" s="1310" t="s">
        <v>1522</v>
      </c>
      <c r="I194" s="1310" t="s">
        <v>1547</v>
      </c>
      <c r="J194" s="1310" t="s">
        <v>111</v>
      </c>
      <c r="K194" s="1310" t="s">
        <v>1528</v>
      </c>
      <c r="L194" s="1310" t="s">
        <v>1519</v>
      </c>
      <c r="M194" s="1310" t="s">
        <v>1626</v>
      </c>
      <c r="N194" s="1310" t="s">
        <v>1501</v>
      </c>
      <c r="O194" s="1310" t="s">
        <v>131</v>
      </c>
      <c r="P194" s="1310" t="s">
        <v>1595</v>
      </c>
      <c r="Q194" s="1310" t="s">
        <v>1575</v>
      </c>
      <c r="R194" s="1310" t="s">
        <v>1512</v>
      </c>
      <c r="S194" s="1310" t="s">
        <v>1622</v>
      </c>
      <c r="T194" s="1310" t="s">
        <v>1541</v>
      </c>
      <c r="U194" s="1310" t="s">
        <v>1509</v>
      </c>
      <c r="V194" s="1310" t="s">
        <v>1617</v>
      </c>
      <c r="W194" s="1310" t="s">
        <v>1520</v>
      </c>
      <c r="X194" s="1310" t="s">
        <v>1636</v>
      </c>
      <c r="Y194" s="1310" t="s">
        <v>1457</v>
      </c>
      <c r="Z194" s="1310" t="s">
        <v>1603</v>
      </c>
      <c r="AA194" s="1310" t="s">
        <v>1516</v>
      </c>
      <c r="AB194" s="1310" t="s">
        <v>1513</v>
      </c>
      <c r="AC194" s="1310" t="s">
        <v>1573</v>
      </c>
      <c r="AD194" s="1310" t="s">
        <v>1484</v>
      </c>
      <c r="AE194" s="1310" t="s">
        <v>1619</v>
      </c>
      <c r="AF194" s="1310" t="s">
        <v>1584</v>
      </c>
    </row>
    <row r="195" spans="1:32" x14ac:dyDescent="0.3">
      <c r="A195" s="1310" t="s">
        <v>1638</v>
      </c>
      <c r="B195" s="1310" t="s">
        <v>1563</v>
      </c>
      <c r="C195" s="1310" t="s">
        <v>1468</v>
      </c>
      <c r="D195" s="1310" t="s">
        <v>1027</v>
      </c>
      <c r="E195" s="1310" t="s">
        <v>1607</v>
      </c>
      <c r="F195" s="1310" t="s">
        <v>1632</v>
      </c>
      <c r="G195" s="1310" t="s">
        <v>1552</v>
      </c>
      <c r="H195" s="1310" t="s">
        <v>1027</v>
      </c>
      <c r="I195" s="1310" t="s">
        <v>1655</v>
      </c>
      <c r="J195" s="1310" t="s">
        <v>1638</v>
      </c>
      <c r="K195" s="1310" t="s">
        <v>1481</v>
      </c>
      <c r="L195" s="1310" t="s">
        <v>114</v>
      </c>
      <c r="M195" s="1310" t="s">
        <v>1639</v>
      </c>
      <c r="N195" s="1310" t="s">
        <v>1586</v>
      </c>
      <c r="O195" s="1310" t="s">
        <v>1651</v>
      </c>
      <c r="P195" s="1310" t="s">
        <v>1450</v>
      </c>
      <c r="Q195" s="1310" t="s">
        <v>1540</v>
      </c>
      <c r="R195" s="1310" t="s">
        <v>1529</v>
      </c>
      <c r="S195" s="1310" t="s">
        <v>1639</v>
      </c>
      <c r="T195" s="1310" t="s">
        <v>1498</v>
      </c>
      <c r="U195" s="1310" t="s">
        <v>1443</v>
      </c>
      <c r="V195" s="1310" t="s">
        <v>1450</v>
      </c>
      <c r="W195" s="1310" t="s">
        <v>1546</v>
      </c>
      <c r="X195" s="1310" t="s">
        <v>1649</v>
      </c>
      <c r="Y195" s="1310" t="s">
        <v>130</v>
      </c>
      <c r="Z195" s="1310" t="s">
        <v>1644</v>
      </c>
      <c r="AA195" s="1310" t="s">
        <v>1607</v>
      </c>
      <c r="AB195" s="1310" t="s">
        <v>1569</v>
      </c>
      <c r="AC195" s="1310" t="s">
        <v>1633</v>
      </c>
      <c r="AD195" s="1310" t="s">
        <v>1496</v>
      </c>
      <c r="AE195" s="1310" t="s">
        <v>1027</v>
      </c>
      <c r="AF195" s="1310" t="s">
        <v>1577</v>
      </c>
    </row>
    <row r="196" spans="1:32" x14ac:dyDescent="0.3">
      <c r="A196" s="1310" t="s">
        <v>1576</v>
      </c>
      <c r="B196" s="1310" t="s">
        <v>1504</v>
      </c>
      <c r="C196" s="1310" t="s">
        <v>1574</v>
      </c>
      <c r="D196" s="1310" t="s">
        <v>1576</v>
      </c>
      <c r="E196" s="1310" t="s">
        <v>1569</v>
      </c>
      <c r="F196" s="1310" t="s">
        <v>1559</v>
      </c>
      <c r="G196" s="1310" t="s">
        <v>1639</v>
      </c>
      <c r="H196" s="1310" t="s">
        <v>1602</v>
      </c>
      <c r="I196" s="1310" t="s">
        <v>1575</v>
      </c>
      <c r="J196" s="1310" t="s">
        <v>1532</v>
      </c>
      <c r="K196" s="1310" t="s">
        <v>1571</v>
      </c>
      <c r="L196" s="1310" t="s">
        <v>1648</v>
      </c>
      <c r="M196" s="1310" t="s">
        <v>1555</v>
      </c>
      <c r="N196" s="1310" t="s">
        <v>1608</v>
      </c>
      <c r="O196" s="1310" t="s">
        <v>1598</v>
      </c>
      <c r="P196" s="1310" t="s">
        <v>1447</v>
      </c>
      <c r="Q196" s="1310" t="s">
        <v>266</v>
      </c>
      <c r="R196" s="1310" t="s">
        <v>1556</v>
      </c>
      <c r="S196" s="1310" t="s">
        <v>1559</v>
      </c>
      <c r="T196" s="1310" t="s">
        <v>1456</v>
      </c>
      <c r="U196" s="1310" t="s">
        <v>1656</v>
      </c>
      <c r="V196" s="1310" t="s">
        <v>1492</v>
      </c>
      <c r="W196" s="1310" t="s">
        <v>1600</v>
      </c>
      <c r="X196" s="1310" t="s">
        <v>1488</v>
      </c>
      <c r="Y196" s="1310" t="s">
        <v>1591</v>
      </c>
      <c r="Z196" s="1310" t="s">
        <v>1623</v>
      </c>
      <c r="AA196" s="1310" t="s">
        <v>1532</v>
      </c>
      <c r="AB196" s="1310" t="s">
        <v>1641</v>
      </c>
      <c r="AC196" s="1310" t="s">
        <v>1477</v>
      </c>
      <c r="AD196" s="1310" t="s">
        <v>1596</v>
      </c>
      <c r="AE196" s="1310" t="s">
        <v>1606</v>
      </c>
      <c r="AF196" s="1310" t="s">
        <v>1653</v>
      </c>
    </row>
    <row r="197" spans="1:32" x14ac:dyDescent="0.3">
      <c r="A197" s="1310" t="s">
        <v>1513</v>
      </c>
      <c r="B197" s="1310" t="s">
        <v>1539</v>
      </c>
      <c r="C197" s="1310" t="s">
        <v>1539</v>
      </c>
      <c r="D197" s="1310" t="s">
        <v>1572</v>
      </c>
      <c r="E197" s="1310" t="s">
        <v>1482</v>
      </c>
      <c r="F197" s="1310" t="s">
        <v>1658</v>
      </c>
      <c r="G197" s="1310" t="s">
        <v>1548</v>
      </c>
      <c r="H197" s="1310" t="s">
        <v>1621</v>
      </c>
      <c r="I197" s="1310" t="s">
        <v>1618</v>
      </c>
      <c r="J197" s="1310" t="s">
        <v>1606</v>
      </c>
      <c r="K197" s="1310" t="s">
        <v>1614</v>
      </c>
      <c r="L197" s="1310" t="s">
        <v>1551</v>
      </c>
      <c r="M197" s="1310" t="s">
        <v>1485</v>
      </c>
      <c r="N197" s="1310" t="s">
        <v>1468</v>
      </c>
      <c r="O197" s="1310" t="s">
        <v>1598</v>
      </c>
      <c r="P197" s="1310" t="s">
        <v>1027</v>
      </c>
      <c r="Q197" s="1310" t="s">
        <v>1443</v>
      </c>
      <c r="R197" s="1310" t="s">
        <v>1450</v>
      </c>
      <c r="S197" s="1310" t="s">
        <v>1508</v>
      </c>
      <c r="T197" s="1310" t="s">
        <v>1451</v>
      </c>
      <c r="U197" s="1310" t="s">
        <v>1556</v>
      </c>
      <c r="V197" s="1310" t="s">
        <v>1550</v>
      </c>
      <c r="W197" s="1310" t="s">
        <v>1622</v>
      </c>
      <c r="X197" s="1310" t="s">
        <v>1626</v>
      </c>
      <c r="Y197" s="1310" t="s">
        <v>264</v>
      </c>
      <c r="Z197" s="1310" t="s">
        <v>1638</v>
      </c>
      <c r="AA197" s="1310" t="s">
        <v>1551</v>
      </c>
      <c r="AB197" s="1310" t="s">
        <v>1606</v>
      </c>
      <c r="AC197" s="1310" t="s">
        <v>1587</v>
      </c>
      <c r="AD197" s="1310" t="s">
        <v>1494</v>
      </c>
      <c r="AE197" s="1310" t="s">
        <v>1456</v>
      </c>
      <c r="AF197" s="1310" t="s">
        <v>1583</v>
      </c>
    </row>
    <row r="198" spans="1:32" x14ac:dyDescent="0.3">
      <c r="A198" s="1310" t="s">
        <v>1618</v>
      </c>
      <c r="B198" s="1310" t="s">
        <v>1616</v>
      </c>
      <c r="C198" s="1310" t="s">
        <v>128</v>
      </c>
      <c r="D198" s="1310" t="s">
        <v>1575</v>
      </c>
      <c r="E198" s="1310" t="s">
        <v>1533</v>
      </c>
      <c r="F198" s="1310" t="s">
        <v>1027</v>
      </c>
      <c r="G198" s="1310" t="s">
        <v>1463</v>
      </c>
      <c r="H198" s="1310" t="s">
        <v>1566</v>
      </c>
      <c r="I198" s="1310" t="s">
        <v>1658</v>
      </c>
      <c r="J198" s="1310" t="s">
        <v>127</v>
      </c>
      <c r="K198" s="1310" t="s">
        <v>1459</v>
      </c>
      <c r="L198" s="1310" t="s">
        <v>1635</v>
      </c>
      <c r="M198" s="1310" t="s">
        <v>1528</v>
      </c>
      <c r="N198" s="1310" t="s">
        <v>1503</v>
      </c>
      <c r="O198" s="1310" t="s">
        <v>1645</v>
      </c>
      <c r="P198" s="1310" t="s">
        <v>1583</v>
      </c>
      <c r="Q198" s="1310" t="s">
        <v>1569</v>
      </c>
      <c r="R198" s="1310" t="s">
        <v>1559</v>
      </c>
      <c r="S198" s="1310" t="s">
        <v>116</v>
      </c>
      <c r="T198" s="1310" t="s">
        <v>1518</v>
      </c>
      <c r="U198" s="1310" t="s">
        <v>1640</v>
      </c>
      <c r="V198" s="1310" t="s">
        <v>133</v>
      </c>
      <c r="W198" s="1310" t="s">
        <v>131</v>
      </c>
      <c r="X198" s="1310" t="s">
        <v>1459</v>
      </c>
      <c r="Y198" s="1310" t="s">
        <v>1626</v>
      </c>
      <c r="Z198" s="1310" t="s">
        <v>471</v>
      </c>
      <c r="AA198" s="1310" t="s">
        <v>1615</v>
      </c>
      <c r="AB198" s="1310" t="s">
        <v>1586</v>
      </c>
      <c r="AC198" s="1310" t="s">
        <v>1590</v>
      </c>
      <c r="AD198" s="1310" t="s">
        <v>1626</v>
      </c>
      <c r="AE198" s="1310" t="s">
        <v>1541</v>
      </c>
      <c r="AF198" s="1310" t="s">
        <v>1623</v>
      </c>
    </row>
    <row r="199" spans="1:32" x14ac:dyDescent="0.3">
      <c r="A199" s="1310" t="s">
        <v>117</v>
      </c>
      <c r="B199" s="1310" t="s">
        <v>1475</v>
      </c>
      <c r="C199" s="1310" t="s">
        <v>1501</v>
      </c>
      <c r="D199" s="1310" t="s">
        <v>1636</v>
      </c>
      <c r="E199" s="1310" t="s">
        <v>1590</v>
      </c>
      <c r="F199" s="1310" t="s">
        <v>124</v>
      </c>
      <c r="G199" s="1310" t="s">
        <v>1635</v>
      </c>
      <c r="H199" s="1310" t="s">
        <v>1486</v>
      </c>
      <c r="I199" s="1310" t="s">
        <v>1636</v>
      </c>
      <c r="J199" s="1310" t="s">
        <v>1475</v>
      </c>
      <c r="K199" s="1310" t="s">
        <v>1575</v>
      </c>
      <c r="L199" s="1310" t="s">
        <v>118</v>
      </c>
      <c r="M199" s="1310" t="s">
        <v>1457</v>
      </c>
      <c r="N199" s="1310" t="s">
        <v>133</v>
      </c>
      <c r="O199" s="1310" t="s">
        <v>1645</v>
      </c>
      <c r="P199" s="1310" t="s">
        <v>1496</v>
      </c>
      <c r="Q199" s="1310" t="s">
        <v>1622</v>
      </c>
      <c r="R199" s="1310" t="s">
        <v>1602</v>
      </c>
      <c r="S199" s="1310" t="s">
        <v>121</v>
      </c>
      <c r="T199" s="1310" t="s">
        <v>1443</v>
      </c>
      <c r="U199" s="1310" t="s">
        <v>1450</v>
      </c>
      <c r="V199" s="1310" t="s">
        <v>1606</v>
      </c>
      <c r="W199" s="1310" t="s">
        <v>116</v>
      </c>
      <c r="X199" s="1310" t="s">
        <v>1577</v>
      </c>
      <c r="Y199" s="1310" t="s">
        <v>1488</v>
      </c>
      <c r="Z199" s="1310" t="s">
        <v>132</v>
      </c>
      <c r="AA199" s="1310" t="s">
        <v>1603</v>
      </c>
      <c r="AB199" s="1310" t="s">
        <v>1536</v>
      </c>
      <c r="AC199" s="1310" t="s">
        <v>1443</v>
      </c>
      <c r="AD199" s="1310" t="s">
        <v>1450</v>
      </c>
      <c r="AE199" s="1310" t="s">
        <v>1653</v>
      </c>
      <c r="AF199" s="1310" t="s">
        <v>1443</v>
      </c>
    </row>
    <row r="200" spans="1:32" x14ac:dyDescent="0.3">
      <c r="A200" s="1310" t="s">
        <v>1450</v>
      </c>
      <c r="B200" s="1310" t="s">
        <v>1581</v>
      </c>
      <c r="C200" s="1310" t="s">
        <v>1443</v>
      </c>
      <c r="D200" s="1310" t="s">
        <v>1450</v>
      </c>
      <c r="E200" s="1310" t="s">
        <v>471</v>
      </c>
      <c r="F200" s="1310" t="s">
        <v>1558</v>
      </c>
      <c r="G200" s="1310" t="s">
        <v>1604</v>
      </c>
      <c r="H200" s="1310" t="s">
        <v>1645</v>
      </c>
      <c r="I200" s="1310" t="s">
        <v>1600</v>
      </c>
      <c r="J200" s="1310" t="s">
        <v>1620</v>
      </c>
      <c r="K200" s="1310" t="s">
        <v>1532</v>
      </c>
      <c r="L200" s="1310" t="s">
        <v>1503</v>
      </c>
      <c r="M200" s="1310" t="s">
        <v>1548</v>
      </c>
      <c r="N200" s="1310" t="s">
        <v>1541</v>
      </c>
      <c r="O200" s="1310" t="s">
        <v>1456</v>
      </c>
      <c r="P200" s="1310" t="s">
        <v>1583</v>
      </c>
      <c r="Q200" s="1310" t="s">
        <v>1646</v>
      </c>
      <c r="R200" s="1310" t="s">
        <v>1464</v>
      </c>
      <c r="S200" s="1310" t="s">
        <v>1584</v>
      </c>
      <c r="T200" s="1310" t="s">
        <v>133</v>
      </c>
      <c r="U200" s="1310" t="s">
        <v>1575</v>
      </c>
      <c r="V200" s="1310" t="s">
        <v>1570</v>
      </c>
      <c r="W200" s="1310" t="s">
        <v>117</v>
      </c>
      <c r="X200" s="1310" t="s">
        <v>1475</v>
      </c>
      <c r="Y200" s="1310" t="s">
        <v>1571</v>
      </c>
      <c r="Z200" s="1310" t="s">
        <v>1583</v>
      </c>
      <c r="AA200" s="1310" t="s">
        <v>1605</v>
      </c>
      <c r="AB200" s="1310" t="s">
        <v>130</v>
      </c>
      <c r="AC200" s="1310" t="s">
        <v>1531</v>
      </c>
      <c r="AD200" s="1310" t="s">
        <v>1641</v>
      </c>
      <c r="AE200" s="1310" t="s">
        <v>1647</v>
      </c>
      <c r="AF200" s="1310" t="s">
        <v>1517</v>
      </c>
    </row>
    <row r="201" spans="1:32" x14ac:dyDescent="0.3">
      <c r="A201" s="1310" t="s">
        <v>1571</v>
      </c>
      <c r="B201" s="1310" t="s">
        <v>1603</v>
      </c>
      <c r="C201" s="1310" t="s">
        <v>1560</v>
      </c>
      <c r="D201" s="1310" t="s">
        <v>1520</v>
      </c>
      <c r="E201" s="1310" t="s">
        <v>1560</v>
      </c>
      <c r="F201" s="1310" t="s">
        <v>1481</v>
      </c>
      <c r="G201" s="1310" t="s">
        <v>115</v>
      </c>
      <c r="H201" s="1310" t="s">
        <v>1491</v>
      </c>
      <c r="I201" s="1310" t="s">
        <v>1575</v>
      </c>
      <c r="J201" s="1310" t="s">
        <v>1451</v>
      </c>
      <c r="K201" s="1310" t="s">
        <v>1579</v>
      </c>
      <c r="L201" s="1310" t="s">
        <v>1588</v>
      </c>
      <c r="M201" s="1310" t="s">
        <v>1627</v>
      </c>
      <c r="N201" s="1310" t="s">
        <v>264</v>
      </c>
      <c r="O201" s="1310" t="s">
        <v>1492</v>
      </c>
      <c r="P201" s="1310" t="s">
        <v>1649</v>
      </c>
      <c r="Q201" s="1310" t="s">
        <v>1516</v>
      </c>
      <c r="R201" s="1310" t="s">
        <v>1618</v>
      </c>
      <c r="S201" s="1310" t="s">
        <v>1453</v>
      </c>
      <c r="T201" s="1310" t="s">
        <v>1595</v>
      </c>
      <c r="U201" s="1310" t="s">
        <v>1604</v>
      </c>
      <c r="V201" s="1310" t="s">
        <v>1627</v>
      </c>
      <c r="W201" s="1310" t="s">
        <v>1624</v>
      </c>
      <c r="X201" s="1310" t="s">
        <v>1560</v>
      </c>
      <c r="Y201" s="1310" t="s">
        <v>1581</v>
      </c>
      <c r="Z201" s="1310" t="s">
        <v>1566</v>
      </c>
      <c r="AA201" s="1310" t="s">
        <v>1598</v>
      </c>
      <c r="AB201" s="1310" t="s">
        <v>1601</v>
      </c>
      <c r="AC201" s="1310" t="s">
        <v>1480</v>
      </c>
      <c r="AD201" s="1310" t="s">
        <v>1503</v>
      </c>
      <c r="AE201" s="1310" t="s">
        <v>465</v>
      </c>
      <c r="AF201" s="1310" t="s">
        <v>1535</v>
      </c>
    </row>
    <row r="202" spans="1:32" x14ac:dyDescent="0.3">
      <c r="A202" s="1310" t="s">
        <v>1634</v>
      </c>
      <c r="B202" s="1310" t="s">
        <v>1597</v>
      </c>
      <c r="C202" s="1310" t="s">
        <v>1558</v>
      </c>
      <c r="D202" s="1310" t="s">
        <v>1602</v>
      </c>
      <c r="E202" s="1310" t="s">
        <v>1495</v>
      </c>
      <c r="F202" s="1310" t="s">
        <v>1615</v>
      </c>
      <c r="G202" s="1310" t="s">
        <v>1491</v>
      </c>
      <c r="H202" s="1310" t="s">
        <v>1483</v>
      </c>
      <c r="I202" s="1310" t="s">
        <v>1619</v>
      </c>
      <c r="J202" s="1310" t="s">
        <v>1557</v>
      </c>
      <c r="K202" s="1310" t="s">
        <v>1564</v>
      </c>
      <c r="L202" s="1310" t="s">
        <v>1639</v>
      </c>
      <c r="M202" s="1310" t="s">
        <v>1650</v>
      </c>
      <c r="N202" s="1310" t="s">
        <v>1639</v>
      </c>
      <c r="O202" s="1310" t="s">
        <v>1603</v>
      </c>
      <c r="P202" s="1310" t="s">
        <v>1547</v>
      </c>
      <c r="Q202" s="1310" t="s">
        <v>1542</v>
      </c>
      <c r="R202" s="1310" t="s">
        <v>1550</v>
      </c>
      <c r="S202" s="1310" t="s">
        <v>1581</v>
      </c>
      <c r="T202" s="1310" t="s">
        <v>1557</v>
      </c>
      <c r="U202" s="1310" t="s">
        <v>1573</v>
      </c>
      <c r="V202" s="1310" t="s">
        <v>1567</v>
      </c>
      <c r="W202" s="1310" t="s">
        <v>1535</v>
      </c>
      <c r="X202" s="1310" t="s">
        <v>1569</v>
      </c>
      <c r="Y202" s="1310" t="s">
        <v>1474</v>
      </c>
      <c r="Z202" s="1310" t="s">
        <v>1539</v>
      </c>
      <c r="AA202" s="1310" t="s">
        <v>471</v>
      </c>
      <c r="AB202" s="1310" t="s">
        <v>1569</v>
      </c>
      <c r="AC202" s="1310" t="s">
        <v>1646</v>
      </c>
      <c r="AD202" s="1310" t="s">
        <v>1654</v>
      </c>
      <c r="AE202" s="1310" t="s">
        <v>1465</v>
      </c>
      <c r="AF202" s="1310" t="s">
        <v>1579</v>
      </c>
    </row>
    <row r="203" spans="1:32" x14ac:dyDescent="0.3">
      <c r="A203" s="1310" t="s">
        <v>1604</v>
      </c>
      <c r="B203" s="1310" t="s">
        <v>1559</v>
      </c>
      <c r="C203" s="1310" t="s">
        <v>1456</v>
      </c>
      <c r="D203" s="1310" t="s">
        <v>112</v>
      </c>
      <c r="E203" s="1310" t="s">
        <v>1475</v>
      </c>
      <c r="F203" s="1310" t="s">
        <v>1505</v>
      </c>
      <c r="G203" s="1310" t="s">
        <v>1657</v>
      </c>
      <c r="H203" s="1310" t="s">
        <v>1532</v>
      </c>
      <c r="I203" s="1310" t="s">
        <v>1511</v>
      </c>
      <c r="J203" s="1310" t="s">
        <v>1615</v>
      </c>
      <c r="K203" s="1310" t="s">
        <v>1591</v>
      </c>
      <c r="L203" s="1310" t="s">
        <v>1583</v>
      </c>
      <c r="M203" s="1310" t="s">
        <v>1489</v>
      </c>
      <c r="N203" s="1310" t="s">
        <v>1496</v>
      </c>
      <c r="O203" s="1310" t="s">
        <v>1579</v>
      </c>
      <c r="P203" s="1310" t="s">
        <v>1635</v>
      </c>
      <c r="Q203" s="1310" t="s">
        <v>1575</v>
      </c>
      <c r="R203" s="1310" t="s">
        <v>1566</v>
      </c>
      <c r="S203" s="1310" t="s">
        <v>1468</v>
      </c>
      <c r="T203" s="1310" t="s">
        <v>126</v>
      </c>
      <c r="U203" s="1310" t="s">
        <v>1626</v>
      </c>
      <c r="V203" s="1310" t="s">
        <v>1480</v>
      </c>
      <c r="W203" s="1310" t="s">
        <v>1443</v>
      </c>
      <c r="X203" s="1310" t="s">
        <v>1450</v>
      </c>
      <c r="Y203" s="1310" t="s">
        <v>130</v>
      </c>
      <c r="Z203" s="1310" t="s">
        <v>1492</v>
      </c>
      <c r="AA203" s="1310" t="s">
        <v>1545</v>
      </c>
      <c r="AB203" s="1310" t="s">
        <v>1468</v>
      </c>
      <c r="AC203" s="1310" t="s">
        <v>1569</v>
      </c>
      <c r="AD203" s="1310" t="s">
        <v>133</v>
      </c>
      <c r="AE203" s="1310" t="s">
        <v>1554</v>
      </c>
      <c r="AF203" s="1310" t="s">
        <v>1580</v>
      </c>
    </row>
    <row r="204" spans="1:32" x14ac:dyDescent="0.3">
      <c r="A204" s="1310" t="s">
        <v>1502</v>
      </c>
      <c r="B204" s="1310" t="s">
        <v>1636</v>
      </c>
      <c r="C204" s="1310" t="s">
        <v>1590</v>
      </c>
      <c r="D204" s="1310" t="s">
        <v>133</v>
      </c>
      <c r="E204" s="1310" t="s">
        <v>1563</v>
      </c>
      <c r="F204" s="1310" t="s">
        <v>133</v>
      </c>
      <c r="G204" s="1310" t="s">
        <v>1633</v>
      </c>
      <c r="H204" s="1310" t="s">
        <v>1612</v>
      </c>
      <c r="I204" s="1310" t="s">
        <v>1528</v>
      </c>
      <c r="J204" s="1310" t="s">
        <v>120</v>
      </c>
      <c r="K204" s="1310" t="s">
        <v>1590</v>
      </c>
      <c r="L204" s="1310" t="s">
        <v>1570</v>
      </c>
      <c r="M204" s="1310" t="s">
        <v>1464</v>
      </c>
      <c r="N204" s="1310" t="s">
        <v>1568</v>
      </c>
      <c r="O204" s="1310" t="s">
        <v>1581</v>
      </c>
      <c r="P204" s="1310" t="s">
        <v>115</v>
      </c>
      <c r="Q204" s="1310" t="s">
        <v>1447</v>
      </c>
      <c r="R204" s="1310" t="s">
        <v>1447</v>
      </c>
      <c r="S204" s="1310" t="s">
        <v>1545</v>
      </c>
      <c r="T204" s="1310" t="s">
        <v>1569</v>
      </c>
      <c r="U204" s="1310" t="s">
        <v>1598</v>
      </c>
      <c r="V204" s="1310" t="s">
        <v>1653</v>
      </c>
      <c r="W204" s="1310" t="s">
        <v>1555</v>
      </c>
      <c r="X204" s="1310" t="s">
        <v>1626</v>
      </c>
      <c r="Y204" s="1310" t="s">
        <v>1584</v>
      </c>
      <c r="Z204" s="1310" t="s">
        <v>1505</v>
      </c>
      <c r="AA204" s="1310" t="s">
        <v>1589</v>
      </c>
      <c r="AB204" s="1310" t="s">
        <v>1521</v>
      </c>
      <c r="AC204" s="1310" t="s">
        <v>1481</v>
      </c>
      <c r="AD204" s="1310" t="s">
        <v>1443</v>
      </c>
      <c r="AE204" s="1310" t="s">
        <v>1450</v>
      </c>
      <c r="AF204" s="1310" t="s">
        <v>1530</v>
      </c>
    </row>
    <row r="205" spans="1:32" x14ac:dyDescent="0.3">
      <c r="A205" s="1310" t="s">
        <v>1622</v>
      </c>
      <c r="B205" s="1310" t="s">
        <v>1557</v>
      </c>
      <c r="C205" s="1310" t="s">
        <v>1583</v>
      </c>
      <c r="D205" s="1310" t="s">
        <v>1627</v>
      </c>
      <c r="E205" s="1310" t="s">
        <v>1568</v>
      </c>
      <c r="F205" s="1310" t="s">
        <v>118</v>
      </c>
      <c r="G205" s="1310" t="s">
        <v>1496</v>
      </c>
      <c r="H205" s="1310" t="s">
        <v>1583</v>
      </c>
      <c r="I205" s="1310" t="s">
        <v>1457</v>
      </c>
      <c r="J205" s="1310" t="s">
        <v>1568</v>
      </c>
      <c r="K205" s="1310" t="s">
        <v>1540</v>
      </c>
      <c r="L205" s="1310" t="s">
        <v>1510</v>
      </c>
      <c r="M205" s="1310" t="s">
        <v>1614</v>
      </c>
      <c r="N205" s="1310" t="s">
        <v>1647</v>
      </c>
      <c r="O205" s="1310" t="s">
        <v>1590</v>
      </c>
      <c r="P205" s="1310" t="s">
        <v>1512</v>
      </c>
      <c r="Q205" s="1310" t="s">
        <v>1604</v>
      </c>
      <c r="R205" s="1310" t="s">
        <v>1634</v>
      </c>
      <c r="S205" s="1310" t="s">
        <v>1610</v>
      </c>
      <c r="T205" s="1310" t="s">
        <v>1475</v>
      </c>
      <c r="U205" s="1310" t="s">
        <v>1604</v>
      </c>
      <c r="V205" s="1310" t="s">
        <v>1484</v>
      </c>
      <c r="W205" s="1310" t="s">
        <v>268</v>
      </c>
      <c r="X205" s="1310" t="s">
        <v>120</v>
      </c>
      <c r="Y205" s="1310" t="s">
        <v>1509</v>
      </c>
      <c r="Z205" s="1310" t="s">
        <v>1595</v>
      </c>
      <c r="AA205" s="1310" t="s">
        <v>1520</v>
      </c>
      <c r="AB205" s="1310" t="s">
        <v>1633</v>
      </c>
      <c r="AC205" s="1310" t="s">
        <v>1626</v>
      </c>
      <c r="AD205" s="1310" t="s">
        <v>1508</v>
      </c>
      <c r="AE205" s="1310" t="s">
        <v>1628</v>
      </c>
      <c r="AF205" s="1310" t="s">
        <v>110</v>
      </c>
    </row>
    <row r="206" spans="1:32" x14ac:dyDescent="0.3">
      <c r="A206" s="1310" t="s">
        <v>120</v>
      </c>
      <c r="B206" s="1310" t="s">
        <v>1613</v>
      </c>
      <c r="C206" s="1310" t="s">
        <v>1592</v>
      </c>
      <c r="D206" s="1310" t="s">
        <v>1543</v>
      </c>
      <c r="E206" s="1310" t="s">
        <v>1555</v>
      </c>
      <c r="F206" s="1310" t="s">
        <v>1533</v>
      </c>
      <c r="G206" s="1310" t="s">
        <v>1575</v>
      </c>
      <c r="H206" s="1310" t="s">
        <v>1563</v>
      </c>
      <c r="I206" s="1310" t="s">
        <v>1636</v>
      </c>
      <c r="J206" s="1310" t="s">
        <v>1592</v>
      </c>
      <c r="K206" s="1310" t="s">
        <v>1574</v>
      </c>
      <c r="L206" s="1310" t="s">
        <v>127</v>
      </c>
      <c r="M206" s="1310" t="s">
        <v>132</v>
      </c>
      <c r="N206" s="1310" t="s">
        <v>1540</v>
      </c>
      <c r="O206" s="1310" t="s">
        <v>1494</v>
      </c>
      <c r="P206" s="1310" t="s">
        <v>1550</v>
      </c>
      <c r="Q206" s="1310" t="s">
        <v>1443</v>
      </c>
      <c r="R206" s="1310" t="s">
        <v>1450</v>
      </c>
      <c r="S206" s="1310" t="s">
        <v>1551</v>
      </c>
      <c r="T206" s="1310" t="s">
        <v>1540</v>
      </c>
      <c r="U206" s="1310" t="s">
        <v>1480</v>
      </c>
      <c r="V206" s="1310" t="s">
        <v>1607</v>
      </c>
      <c r="W206" s="1310" t="s">
        <v>1570</v>
      </c>
      <c r="X206" s="1310" t="s">
        <v>1452</v>
      </c>
      <c r="Y206" s="1310" t="s">
        <v>1568</v>
      </c>
      <c r="Z206" s="1310" t="s">
        <v>1590</v>
      </c>
      <c r="AA206" s="1310" t="s">
        <v>1614</v>
      </c>
      <c r="AB206" s="1310" t="s">
        <v>1502</v>
      </c>
      <c r="AC206" s="1310" t="s">
        <v>1593</v>
      </c>
      <c r="AD206" s="1310" t="s">
        <v>1637</v>
      </c>
      <c r="AE206" s="1310" t="s">
        <v>1534</v>
      </c>
      <c r="AF206" s="1310" t="s">
        <v>1464</v>
      </c>
    </row>
    <row r="207" spans="1:32" x14ac:dyDescent="0.3">
      <c r="A207" s="1310" t="s">
        <v>121</v>
      </c>
      <c r="B207" s="1310" t="s">
        <v>1501</v>
      </c>
      <c r="C207" s="1310" t="s">
        <v>1654</v>
      </c>
      <c r="D207" s="1310" t="s">
        <v>1443</v>
      </c>
      <c r="E207" s="1310" t="s">
        <v>1450</v>
      </c>
      <c r="F207" s="1310" t="s">
        <v>1599</v>
      </c>
      <c r="G207" s="1310" t="s">
        <v>1642</v>
      </c>
      <c r="H207" s="1310" t="s">
        <v>1481</v>
      </c>
      <c r="I207" s="1310" t="s">
        <v>1639</v>
      </c>
      <c r="J207" s="1310" t="s">
        <v>1444</v>
      </c>
      <c r="K207" s="1310" t="s">
        <v>1641</v>
      </c>
      <c r="L207" s="1310" t="s">
        <v>1580</v>
      </c>
      <c r="M207" s="1310" t="s">
        <v>1517</v>
      </c>
      <c r="N207" s="1310" t="s">
        <v>1579</v>
      </c>
      <c r="O207" s="1310" t="s">
        <v>1030</v>
      </c>
      <c r="P207" s="1310" t="s">
        <v>1607</v>
      </c>
      <c r="Q207" s="1310" t="s">
        <v>120</v>
      </c>
      <c r="R207" s="1310" t="s">
        <v>1639</v>
      </c>
      <c r="S207" s="1310" t="s">
        <v>1488</v>
      </c>
      <c r="T207" s="1310" t="s">
        <v>1456</v>
      </c>
      <c r="U207" s="1310" t="s">
        <v>1616</v>
      </c>
      <c r="V207" s="1310" t="s">
        <v>1449</v>
      </c>
      <c r="W207" s="1310" t="s">
        <v>1500</v>
      </c>
      <c r="X207" s="1310" t="s">
        <v>1659</v>
      </c>
      <c r="Y207" s="1310" t="s">
        <v>1653</v>
      </c>
      <c r="Z207" s="1310" t="s">
        <v>1454</v>
      </c>
      <c r="AA207" s="1310" t="s">
        <v>1623</v>
      </c>
      <c r="AB207" s="1310" t="s">
        <v>1503</v>
      </c>
      <c r="AC207" s="1310" t="s">
        <v>1588</v>
      </c>
      <c r="AD207" s="1310" t="s">
        <v>1574</v>
      </c>
      <c r="AE207" s="1310" t="s">
        <v>1600</v>
      </c>
      <c r="AF207" s="1310" t="s">
        <v>1499</v>
      </c>
    </row>
    <row r="208" spans="1:32" x14ac:dyDescent="0.3">
      <c r="A208" s="1310" t="s">
        <v>1637</v>
      </c>
      <c r="B208" s="1310" t="s">
        <v>1520</v>
      </c>
      <c r="C208" s="1310" t="s">
        <v>1551</v>
      </c>
      <c r="D208" s="1310" t="s">
        <v>1549</v>
      </c>
      <c r="E208" s="1310" t="s">
        <v>1615</v>
      </c>
      <c r="F208" s="1310" t="s">
        <v>1570</v>
      </c>
      <c r="G208" s="1310" t="s">
        <v>1644</v>
      </c>
      <c r="H208" s="1310" t="s">
        <v>1636</v>
      </c>
      <c r="I208" s="1310" t="s">
        <v>1537</v>
      </c>
      <c r="J208" s="1310" t="s">
        <v>1030</v>
      </c>
      <c r="K208" s="1310" t="s">
        <v>1570</v>
      </c>
      <c r="L208" s="1310" t="s">
        <v>119</v>
      </c>
      <c r="M208" s="1310" t="s">
        <v>1484</v>
      </c>
      <c r="N208" s="1310" t="s">
        <v>1522</v>
      </c>
      <c r="O208" s="1310" t="s">
        <v>1639</v>
      </c>
      <c r="P208" s="1310" t="s">
        <v>1631</v>
      </c>
      <c r="Q208" s="1310" t="s">
        <v>1602</v>
      </c>
      <c r="R208" s="1310" t="s">
        <v>1563</v>
      </c>
      <c r="S208" s="1310" t="s">
        <v>1602</v>
      </c>
      <c r="T208" s="1310" t="s">
        <v>1601</v>
      </c>
      <c r="U208" s="1310" t="s">
        <v>1488</v>
      </c>
      <c r="V208" s="1310" t="s">
        <v>1451</v>
      </c>
      <c r="W208" s="1310" t="s">
        <v>1481</v>
      </c>
      <c r="X208" s="1310" t="s">
        <v>1602</v>
      </c>
      <c r="Y208" s="1310" t="s">
        <v>1535</v>
      </c>
      <c r="Z208" s="1310" t="s">
        <v>1030</v>
      </c>
      <c r="AA208" s="1310" t="s">
        <v>1490</v>
      </c>
      <c r="AB208" s="1310" t="s">
        <v>118</v>
      </c>
      <c r="AC208" s="1310" t="s">
        <v>1499</v>
      </c>
      <c r="AD208" s="1310" t="s">
        <v>1504</v>
      </c>
      <c r="AE208" s="1310" t="s">
        <v>1510</v>
      </c>
      <c r="AF208" s="1310" t="s">
        <v>1583</v>
      </c>
    </row>
    <row r="209" spans="1:32" x14ac:dyDescent="0.3">
      <c r="A209" s="1310" t="s">
        <v>1646</v>
      </c>
      <c r="B209" s="1310" t="s">
        <v>1621</v>
      </c>
      <c r="C209" s="1310" t="s">
        <v>1501</v>
      </c>
      <c r="D209" s="1310" t="s">
        <v>1488</v>
      </c>
      <c r="E209" s="1310" t="s">
        <v>1572</v>
      </c>
      <c r="F209" s="1310" t="s">
        <v>1586</v>
      </c>
      <c r="G209" s="1310" t="s">
        <v>123</v>
      </c>
      <c r="H209" s="1310" t="s">
        <v>1452</v>
      </c>
      <c r="I209" s="1310" t="s">
        <v>267</v>
      </c>
      <c r="J209" s="1310" t="s">
        <v>1630</v>
      </c>
      <c r="K209" s="1310" t="s">
        <v>110</v>
      </c>
      <c r="L209" s="1310" t="s">
        <v>1582</v>
      </c>
      <c r="M209" s="1310" t="s">
        <v>1623</v>
      </c>
      <c r="N209" s="1310" t="s">
        <v>1620</v>
      </c>
      <c r="O209" s="1310" t="s">
        <v>1496</v>
      </c>
      <c r="P209" s="1310" t="s">
        <v>1517</v>
      </c>
      <c r="Q209" s="1310" t="s">
        <v>1596</v>
      </c>
      <c r="R209" s="1310" t="s">
        <v>1559</v>
      </c>
      <c r="S209" s="1310" t="s">
        <v>1631</v>
      </c>
      <c r="T209" s="1310" t="s">
        <v>1509</v>
      </c>
      <c r="U209" s="1310" t="s">
        <v>1510</v>
      </c>
      <c r="V209" s="1310" t="s">
        <v>1620</v>
      </c>
      <c r="W209" s="1310" t="s">
        <v>1542</v>
      </c>
      <c r="X209" s="1310" t="s">
        <v>1523</v>
      </c>
      <c r="Y209" s="1310" t="s">
        <v>1601</v>
      </c>
      <c r="Z209" s="1310" t="s">
        <v>1630</v>
      </c>
      <c r="AA209" s="1310" t="s">
        <v>1569</v>
      </c>
      <c r="AB209" s="1310" t="s">
        <v>1653</v>
      </c>
      <c r="AC209" s="1310" t="s">
        <v>122</v>
      </c>
      <c r="AD209" s="1310" t="s">
        <v>1575</v>
      </c>
      <c r="AE209" s="1310" t="s">
        <v>110</v>
      </c>
      <c r="AF209" s="1310" t="s">
        <v>1494</v>
      </c>
    </row>
    <row r="210" spans="1:32" x14ac:dyDescent="0.3">
      <c r="A210" s="1310" t="s">
        <v>1656</v>
      </c>
      <c r="B210" s="1310" t="s">
        <v>1512</v>
      </c>
      <c r="C210" s="1310" t="s">
        <v>1552</v>
      </c>
      <c r="D210" s="1310" t="s">
        <v>1633</v>
      </c>
      <c r="E210" s="1310" t="s">
        <v>1496</v>
      </c>
      <c r="F210" s="1310" t="s">
        <v>1553</v>
      </c>
      <c r="G210" s="1310" t="s">
        <v>1623</v>
      </c>
      <c r="H210" s="1310" t="s">
        <v>1613</v>
      </c>
      <c r="I210" s="1310" t="s">
        <v>1510</v>
      </c>
      <c r="J210" s="1310" t="s">
        <v>122</v>
      </c>
      <c r="K210" s="1310" t="s">
        <v>125</v>
      </c>
      <c r="L210" s="1310" t="s">
        <v>1521</v>
      </c>
      <c r="M210" s="1310" t="s">
        <v>1576</v>
      </c>
      <c r="N210" s="1310" t="s">
        <v>1567</v>
      </c>
      <c r="O210" s="1310" t="s">
        <v>1600</v>
      </c>
      <c r="P210" s="1310" t="s">
        <v>1636</v>
      </c>
      <c r="Q210" s="1310" t="s">
        <v>1523</v>
      </c>
      <c r="R210" s="1310" t="s">
        <v>1636</v>
      </c>
      <c r="S210" s="1310" t="s">
        <v>1590</v>
      </c>
      <c r="T210" s="1310" t="s">
        <v>132</v>
      </c>
      <c r="U210" s="1310" t="s">
        <v>1521</v>
      </c>
      <c r="V210" s="1310" t="s">
        <v>1630</v>
      </c>
      <c r="W210" s="1310" t="s">
        <v>1641</v>
      </c>
      <c r="X210" s="1310" t="s">
        <v>1580</v>
      </c>
      <c r="Y210" s="1310" t="s">
        <v>1599</v>
      </c>
      <c r="Z210" s="1310" t="s">
        <v>124</v>
      </c>
      <c r="AA210" s="1310" t="s">
        <v>1546</v>
      </c>
      <c r="AB210" s="1310" t="s">
        <v>1620</v>
      </c>
      <c r="AC210" s="1310" t="s">
        <v>1647</v>
      </c>
      <c r="AD210" s="1310" t="s">
        <v>1635</v>
      </c>
      <c r="AE210" s="1310" t="s">
        <v>1637</v>
      </c>
      <c r="AF210" s="1310" t="s">
        <v>1639</v>
      </c>
    </row>
    <row r="211" spans="1:32" x14ac:dyDescent="0.3">
      <c r="A211" s="1310" t="s">
        <v>1536</v>
      </c>
      <c r="B211" s="1310" t="s">
        <v>1577</v>
      </c>
      <c r="C211" s="1310" t="s">
        <v>1607</v>
      </c>
      <c r="D211" s="1310" t="s">
        <v>1443</v>
      </c>
      <c r="E211" s="1310" t="s">
        <v>1450</v>
      </c>
      <c r="F211" s="1310" t="s">
        <v>1574</v>
      </c>
      <c r="G211" s="1310" t="s">
        <v>1491</v>
      </c>
      <c r="H211" s="1310" t="s">
        <v>1574</v>
      </c>
      <c r="I211" s="1310" t="s">
        <v>1641</v>
      </c>
      <c r="J211" s="1310" t="s">
        <v>1472</v>
      </c>
      <c r="K211" s="1310" t="s">
        <v>1443</v>
      </c>
      <c r="L211" s="1310" t="s">
        <v>1450</v>
      </c>
      <c r="M211" s="1310" t="s">
        <v>1490</v>
      </c>
      <c r="N211" s="1310" t="s">
        <v>125</v>
      </c>
      <c r="O211" s="1310" t="s">
        <v>1446</v>
      </c>
      <c r="P211" s="1310" t="s">
        <v>1631</v>
      </c>
      <c r="Q211" s="1310" t="s">
        <v>1640</v>
      </c>
      <c r="R211" s="1310" t="s">
        <v>1634</v>
      </c>
      <c r="S211" s="1310" t="s">
        <v>1453</v>
      </c>
      <c r="T211" s="1310" t="s">
        <v>1496</v>
      </c>
      <c r="U211" s="1310" t="s">
        <v>1639</v>
      </c>
      <c r="V211" s="1310" t="s">
        <v>1613</v>
      </c>
      <c r="W211" s="1310" t="s">
        <v>1498</v>
      </c>
      <c r="X211" s="1310" t="s">
        <v>1596</v>
      </c>
      <c r="Y211" s="1310" t="s">
        <v>1580</v>
      </c>
      <c r="Z211" s="1310" t="s">
        <v>1494</v>
      </c>
      <c r="AA211" s="1310" t="s">
        <v>1528</v>
      </c>
      <c r="AB211" s="1310" t="s">
        <v>1611</v>
      </c>
      <c r="AC211" s="1310" t="s">
        <v>1030</v>
      </c>
      <c r="AD211" s="1310" t="s">
        <v>133</v>
      </c>
      <c r="AE211" s="1310" t="s">
        <v>1580</v>
      </c>
      <c r="AF211" s="1310" t="s">
        <v>1630</v>
      </c>
    </row>
    <row r="212" spans="1:32" x14ac:dyDescent="0.3">
      <c r="A212" s="1310" t="s">
        <v>1552</v>
      </c>
      <c r="B212" s="1310" t="s">
        <v>465</v>
      </c>
      <c r="C212" s="1310" t="s">
        <v>1443</v>
      </c>
      <c r="D212" s="1310" t="s">
        <v>1450</v>
      </c>
      <c r="E212" s="1310" t="s">
        <v>268</v>
      </c>
      <c r="F212" s="1310" t="s">
        <v>1581</v>
      </c>
      <c r="G212" s="1310" t="s">
        <v>1446</v>
      </c>
      <c r="H212" s="1310" t="s">
        <v>128</v>
      </c>
      <c r="I212" s="1310" t="s">
        <v>1602</v>
      </c>
      <c r="J212" s="1310" t="s">
        <v>126</v>
      </c>
      <c r="K212" s="1310" t="s">
        <v>123</v>
      </c>
      <c r="L212" s="1310" t="s">
        <v>1443</v>
      </c>
      <c r="M212" s="1310" t="s">
        <v>1450</v>
      </c>
      <c r="N212" s="1310" t="s">
        <v>1540</v>
      </c>
      <c r="O212" s="1310" t="s">
        <v>1599</v>
      </c>
      <c r="P212" s="1310" t="s">
        <v>1602</v>
      </c>
      <c r="Q212" s="1310" t="s">
        <v>1612</v>
      </c>
      <c r="R212" s="1310" t="s">
        <v>1652</v>
      </c>
      <c r="S212" s="1310" t="s">
        <v>1030</v>
      </c>
      <c r="T212" s="1310" t="s">
        <v>110</v>
      </c>
      <c r="U212" s="1310" t="s">
        <v>1568</v>
      </c>
      <c r="V212" s="1310" t="s">
        <v>132</v>
      </c>
      <c r="W212" s="1310" t="s">
        <v>1589</v>
      </c>
      <c r="X212" s="1310" t="s">
        <v>1443</v>
      </c>
      <c r="Y212" s="1310" t="s">
        <v>1450</v>
      </c>
      <c r="Z212" s="1310" t="s">
        <v>1633</v>
      </c>
      <c r="AA212" s="1310" t="s">
        <v>1622</v>
      </c>
      <c r="AB212" s="1310" t="s">
        <v>1657</v>
      </c>
      <c r="AC212" s="1310" t="s">
        <v>1560</v>
      </c>
      <c r="AD212" s="1310" t="s">
        <v>1569</v>
      </c>
      <c r="AE212" s="1310" t="s">
        <v>1482</v>
      </c>
      <c r="AF212" s="1310" t="s">
        <v>1486</v>
      </c>
    </row>
    <row r="213" spans="1:32" x14ac:dyDescent="0.3">
      <c r="A213" s="1310" t="s">
        <v>1545</v>
      </c>
      <c r="B213" s="1310" t="s">
        <v>1614</v>
      </c>
      <c r="C213" s="1310" t="s">
        <v>1550</v>
      </c>
      <c r="D213" s="1310" t="s">
        <v>1557</v>
      </c>
      <c r="E213" s="1310" t="s">
        <v>1443</v>
      </c>
      <c r="F213" s="1310" t="s">
        <v>1450</v>
      </c>
      <c r="G213" s="1310" t="s">
        <v>1443</v>
      </c>
      <c r="H213" s="1310" t="s">
        <v>1617</v>
      </c>
      <c r="I213" s="1310" t="s">
        <v>1574</v>
      </c>
      <c r="J213" s="1310" t="s">
        <v>1524</v>
      </c>
      <c r="K213" s="1310" t="s">
        <v>1573</v>
      </c>
      <c r="L213" s="1310" t="s">
        <v>1451</v>
      </c>
      <c r="M213" s="1310" t="s">
        <v>265</v>
      </c>
      <c r="N213" s="1310" t="s">
        <v>1518</v>
      </c>
      <c r="O213" s="1310" t="s">
        <v>1450</v>
      </c>
      <c r="P213" s="1310" t="s">
        <v>1450</v>
      </c>
      <c r="Q213" s="1310" t="s">
        <v>1450</v>
      </c>
      <c r="R213" s="1310" t="s">
        <v>1450</v>
      </c>
      <c r="S213" s="1310" t="s">
        <v>1450</v>
      </c>
      <c r="T213" s="1310" t="s">
        <v>1620</v>
      </c>
      <c r="U213" s="1310" t="s">
        <v>1450</v>
      </c>
      <c r="V213" s="1310" t="s">
        <v>1450</v>
      </c>
      <c r="W213" s="1310" t="s">
        <v>1450</v>
      </c>
      <c r="X213" s="1310" t="s">
        <v>262</v>
      </c>
      <c r="Y213" s="1310" t="s">
        <v>262</v>
      </c>
      <c r="Z213" s="1310" t="s">
        <v>1450</v>
      </c>
      <c r="AA213" s="1310" t="s">
        <v>1450</v>
      </c>
      <c r="AB213" s="1310" t="s">
        <v>1450</v>
      </c>
      <c r="AC213" s="1310" t="s">
        <v>1511</v>
      </c>
      <c r="AD213" s="1310" t="s">
        <v>1450</v>
      </c>
      <c r="AE213" s="1310" t="s">
        <v>1472</v>
      </c>
      <c r="AF213" s="1310" t="s">
        <v>1450</v>
      </c>
    </row>
    <row r="214" spans="1:32" x14ac:dyDescent="0.3">
      <c r="A214" s="1310" t="s">
        <v>1473</v>
      </c>
      <c r="B214" s="1310" t="s">
        <v>1450</v>
      </c>
      <c r="C214" s="1310" t="s">
        <v>1474</v>
      </c>
      <c r="D214" s="1310" t="s">
        <v>1450</v>
      </c>
      <c r="E214" s="1310" t="s">
        <v>1455</v>
      </c>
      <c r="F214" s="1310" t="s">
        <v>1450</v>
      </c>
      <c r="G214" s="1310" t="s">
        <v>1475</v>
      </c>
      <c r="H214" s="1310" t="s">
        <v>1450</v>
      </c>
      <c r="I214" s="1310" t="s">
        <v>1476</v>
      </c>
      <c r="J214" s="1310" t="s">
        <v>1450</v>
      </c>
      <c r="K214" s="1310" t="s">
        <v>1477</v>
      </c>
      <c r="L214" s="1310" t="s">
        <v>1450</v>
      </c>
      <c r="M214" s="1310" t="s">
        <v>1478</v>
      </c>
      <c r="N214" s="1310" t="s">
        <v>1450</v>
      </c>
      <c r="O214" s="1310" t="s">
        <v>1474</v>
      </c>
      <c r="P214" s="1310" t="s">
        <v>1450</v>
      </c>
      <c r="Q214" s="1310" t="s">
        <v>1479</v>
      </c>
      <c r="R214" s="1310" t="s">
        <v>1450</v>
      </c>
      <c r="S214" s="1310" t="s">
        <v>1474</v>
      </c>
      <c r="T214" s="1310" t="s">
        <v>1450</v>
      </c>
      <c r="U214" s="1310" t="s">
        <v>1480</v>
      </c>
      <c r="V214" s="1310" t="s">
        <v>1450</v>
      </c>
      <c r="W214" s="1310" t="s">
        <v>1478</v>
      </c>
      <c r="X214" s="1310" t="s">
        <v>1450</v>
      </c>
      <c r="Y214" s="1310" t="s">
        <v>1474</v>
      </c>
      <c r="Z214" s="1310" t="s">
        <v>1450</v>
      </c>
      <c r="AA214" s="1310" t="s">
        <v>1481</v>
      </c>
      <c r="AB214" s="1310" t="s">
        <v>1450</v>
      </c>
      <c r="AC214" s="1310" t="s">
        <v>1476</v>
      </c>
      <c r="AD214" s="1310" t="s">
        <v>1450</v>
      </c>
      <c r="AE214" s="1310" t="s">
        <v>1446</v>
      </c>
      <c r="AF214" s="1310" t="s">
        <v>1450</v>
      </c>
    </row>
    <row r="215" spans="1:32" x14ac:dyDescent="0.3">
      <c r="A215" s="1310" t="s">
        <v>1482</v>
      </c>
      <c r="B215" s="1310" t="s">
        <v>1450</v>
      </c>
      <c r="C215" s="1310" t="s">
        <v>1475</v>
      </c>
      <c r="D215" s="1310" t="s">
        <v>1450</v>
      </c>
      <c r="E215" s="1310" t="s">
        <v>1483</v>
      </c>
      <c r="F215" s="1310" t="s">
        <v>1450</v>
      </c>
      <c r="G215" s="1310" t="s">
        <v>1475</v>
      </c>
      <c r="H215" s="1310" t="s">
        <v>1450</v>
      </c>
      <c r="I215" s="1310" t="s">
        <v>1484</v>
      </c>
      <c r="J215" s="1310" t="s">
        <v>1450</v>
      </c>
      <c r="K215" s="1310" t="s">
        <v>1479</v>
      </c>
      <c r="L215" s="1310" t="s">
        <v>1450</v>
      </c>
      <c r="M215" s="1310" t="s">
        <v>1480</v>
      </c>
      <c r="N215" s="1310" t="s">
        <v>1450</v>
      </c>
      <c r="O215" s="1310" t="s">
        <v>1450</v>
      </c>
      <c r="P215" s="1310" t="s">
        <v>1450</v>
      </c>
      <c r="Q215" s="1310" t="s">
        <v>1598</v>
      </c>
      <c r="R215" s="1310" t="s">
        <v>1450</v>
      </c>
      <c r="S215" s="1310" t="s">
        <v>1472</v>
      </c>
      <c r="T215" s="1310" t="s">
        <v>1450</v>
      </c>
      <c r="U215" s="1310" t="s">
        <v>1473</v>
      </c>
      <c r="V215" s="1310" t="s">
        <v>1450</v>
      </c>
      <c r="W215" s="1310" t="s">
        <v>1474</v>
      </c>
      <c r="X215" s="1310" t="s">
        <v>1450</v>
      </c>
      <c r="Y215" s="1310" t="s">
        <v>1455</v>
      </c>
      <c r="Z215" s="1310" t="s">
        <v>1450</v>
      </c>
      <c r="AA215" s="1310" t="s">
        <v>1475</v>
      </c>
      <c r="AB215" s="1310" t="s">
        <v>1450</v>
      </c>
      <c r="AC215" s="1310" t="s">
        <v>1476</v>
      </c>
      <c r="AD215" s="1310" t="s">
        <v>1450</v>
      </c>
      <c r="AE215" s="1310" t="s">
        <v>1477</v>
      </c>
      <c r="AF215" s="1310" t="s">
        <v>1450</v>
      </c>
    </row>
    <row r="216" spans="1:32" x14ac:dyDescent="0.3">
      <c r="A216" s="1310" t="s">
        <v>1478</v>
      </c>
      <c r="B216" s="1310" t="s">
        <v>1450</v>
      </c>
      <c r="C216" s="1310" t="s">
        <v>1474</v>
      </c>
      <c r="D216" s="1310" t="s">
        <v>1450</v>
      </c>
      <c r="E216" s="1310" t="s">
        <v>1479</v>
      </c>
      <c r="F216" s="1310" t="s">
        <v>1450</v>
      </c>
      <c r="G216" s="1310" t="s">
        <v>1474</v>
      </c>
      <c r="H216" s="1310" t="s">
        <v>1450</v>
      </c>
      <c r="I216" s="1310" t="s">
        <v>1480</v>
      </c>
      <c r="J216" s="1310" t="s">
        <v>1450</v>
      </c>
      <c r="K216" s="1310" t="s">
        <v>1478</v>
      </c>
      <c r="L216" s="1310" t="s">
        <v>1450</v>
      </c>
      <c r="M216" s="1310" t="s">
        <v>1474</v>
      </c>
      <c r="N216" s="1310" t="s">
        <v>1450</v>
      </c>
      <c r="O216" s="1310" t="s">
        <v>1481</v>
      </c>
      <c r="P216" s="1310" t="s">
        <v>1450</v>
      </c>
      <c r="Q216" s="1310" t="s">
        <v>1476</v>
      </c>
      <c r="R216" s="1310" t="s">
        <v>1450</v>
      </c>
      <c r="S216" s="1310" t="s">
        <v>1446</v>
      </c>
      <c r="T216" s="1310" t="s">
        <v>1450</v>
      </c>
      <c r="U216" s="1310" t="s">
        <v>1482</v>
      </c>
      <c r="V216" s="1310" t="s">
        <v>1450</v>
      </c>
      <c r="W216" s="1310" t="s">
        <v>1475</v>
      </c>
      <c r="X216" s="1310" t="s">
        <v>1450</v>
      </c>
      <c r="Y216" s="1310" t="s">
        <v>1483</v>
      </c>
      <c r="Z216" s="1310" t="s">
        <v>1450</v>
      </c>
      <c r="AA216" s="1310" t="s">
        <v>1475</v>
      </c>
      <c r="AB216" s="1310" t="s">
        <v>1450</v>
      </c>
      <c r="AC216" s="1310" t="s">
        <v>1484</v>
      </c>
      <c r="AD216" s="1310" t="s">
        <v>1450</v>
      </c>
      <c r="AE216" s="1310" t="s">
        <v>1479</v>
      </c>
      <c r="AF216" s="1310" t="s">
        <v>1450</v>
      </c>
    </row>
    <row r="217" spans="1:32" x14ac:dyDescent="0.3">
      <c r="A217" s="1310" t="s">
        <v>1480</v>
      </c>
      <c r="B217" s="1310" t="s">
        <v>1450</v>
      </c>
      <c r="C217" s="1310" t="s">
        <v>1476</v>
      </c>
      <c r="D217" s="1310" t="s">
        <v>1450</v>
      </c>
      <c r="E217" s="1310" t="s">
        <v>1459</v>
      </c>
      <c r="F217" s="1310" t="s">
        <v>1450</v>
      </c>
      <c r="G217" s="1310" t="s">
        <v>1485</v>
      </c>
      <c r="H217" s="1310" t="s">
        <v>1450</v>
      </c>
      <c r="I217" s="1310" t="s">
        <v>1486</v>
      </c>
      <c r="J217" s="1310" t="s">
        <v>1450</v>
      </c>
      <c r="K217" s="1310" t="s">
        <v>1487</v>
      </c>
      <c r="L217" s="1310" t="s">
        <v>1450</v>
      </c>
      <c r="M217" s="1310" t="s">
        <v>1450</v>
      </c>
      <c r="N217" s="1310" t="s">
        <v>1450</v>
      </c>
      <c r="O217" s="1310" t="s">
        <v>262</v>
      </c>
      <c r="P217" s="1310" t="s">
        <v>1450</v>
      </c>
      <c r="Q217" s="1310" t="s">
        <v>1574</v>
      </c>
      <c r="R217" s="1310" t="s">
        <v>1524</v>
      </c>
      <c r="S217" s="1310" t="s">
        <v>1573</v>
      </c>
      <c r="T217" s="1310" t="s">
        <v>1451</v>
      </c>
      <c r="U217" s="1310" t="s">
        <v>265</v>
      </c>
      <c r="V217" s="1310" t="s">
        <v>268</v>
      </c>
      <c r="W217" s="1310" t="s">
        <v>1450</v>
      </c>
      <c r="X217" s="1310" t="s">
        <v>1450</v>
      </c>
      <c r="Y217" s="1310" t="s">
        <v>1450</v>
      </c>
      <c r="Z217" s="1310" t="s">
        <v>1450</v>
      </c>
      <c r="AA217" s="1310" t="s">
        <v>1450</v>
      </c>
      <c r="AB217" s="1310" t="s">
        <v>267</v>
      </c>
      <c r="AC217" s="1310" t="s">
        <v>1450</v>
      </c>
      <c r="AD217" s="1310" t="s">
        <v>266</v>
      </c>
      <c r="AE217" s="1310" t="s">
        <v>1450</v>
      </c>
      <c r="AF217" s="1310" t="s">
        <v>1450</v>
      </c>
    </row>
    <row r="218" spans="1:32" x14ac:dyDescent="0.3">
      <c r="A218" s="1310" t="s">
        <v>1450</v>
      </c>
      <c r="B218" s="1310" t="s">
        <v>262</v>
      </c>
      <c r="C218" s="1310" t="s">
        <v>262</v>
      </c>
      <c r="D218" s="1310" t="s">
        <v>1450</v>
      </c>
      <c r="E218" s="1310" t="s">
        <v>1443</v>
      </c>
      <c r="F218" s="1310" t="s">
        <v>125</v>
      </c>
      <c r="G218" s="1310" t="s">
        <v>1504</v>
      </c>
      <c r="H218" s="1310" t="s">
        <v>1448</v>
      </c>
      <c r="I218" s="1310" t="s">
        <v>1478</v>
      </c>
      <c r="J218" s="1310" t="s">
        <v>1479</v>
      </c>
      <c r="K218" s="1310" t="s">
        <v>1479</v>
      </c>
      <c r="L218" s="1310" t="s">
        <v>1481</v>
      </c>
      <c r="M218" s="1310" t="s">
        <v>1491</v>
      </c>
      <c r="N218" s="1310" t="s">
        <v>1645</v>
      </c>
      <c r="O218" s="1310" t="s">
        <v>1645</v>
      </c>
      <c r="P218" s="1310" t="s">
        <v>1484</v>
      </c>
      <c r="Q218" s="1310" t="s">
        <v>1480</v>
      </c>
      <c r="R218" s="1310" t="s">
        <v>1486</v>
      </c>
      <c r="S218" s="1310" t="s">
        <v>1520</v>
      </c>
      <c r="T218" s="1310" t="s">
        <v>1473</v>
      </c>
      <c r="U218" s="1310" t="s">
        <v>1474</v>
      </c>
      <c r="V218" s="1310" t="s">
        <v>1455</v>
      </c>
      <c r="W218" s="1310" t="s">
        <v>1475</v>
      </c>
      <c r="X218" s="1310" t="s">
        <v>1486</v>
      </c>
      <c r="Y218" s="1310" t="s">
        <v>1532</v>
      </c>
      <c r="Z218" s="1310" t="s">
        <v>1474</v>
      </c>
      <c r="AA218" s="1310" t="s">
        <v>1483</v>
      </c>
      <c r="AB218" s="1310" t="s">
        <v>1645</v>
      </c>
      <c r="AC218" s="1310" t="s">
        <v>1447</v>
      </c>
      <c r="AD218" s="1310" t="s">
        <v>1520</v>
      </c>
      <c r="AE218" s="1310" t="s">
        <v>1481</v>
      </c>
      <c r="AF218" s="1310" t="s">
        <v>1645</v>
      </c>
    </row>
    <row r="219" spans="1:32" x14ac:dyDescent="0.3">
      <c r="A219" s="1310" t="s">
        <v>1459</v>
      </c>
      <c r="B219" s="1310" t="s">
        <v>1486</v>
      </c>
      <c r="C219" s="1310" t="s">
        <v>1487</v>
      </c>
      <c r="D219" s="1310" t="s">
        <v>1645</v>
      </c>
      <c r="E219" s="1310" t="s">
        <v>1450</v>
      </c>
      <c r="F219" s="1310" t="s">
        <v>1660</v>
      </c>
      <c r="G219" s="1310" t="s">
        <v>1517</v>
      </c>
      <c r="H219" s="1310" t="s">
        <v>1447</v>
      </c>
      <c r="I219" s="1310" t="s">
        <v>1481</v>
      </c>
      <c r="J219" s="1310" t="s">
        <v>1520</v>
      </c>
      <c r="K219" s="1310" t="s">
        <v>1532</v>
      </c>
      <c r="L219" s="1310" t="s">
        <v>1596</v>
      </c>
      <c r="M219" s="1310" t="s">
        <v>1475</v>
      </c>
      <c r="N219" s="1310" t="s">
        <v>1479</v>
      </c>
      <c r="O219" s="1310" t="s">
        <v>1476</v>
      </c>
      <c r="P219" s="1310" t="s">
        <v>1455</v>
      </c>
      <c r="Q219" s="1310" t="s">
        <v>1475</v>
      </c>
      <c r="R219" s="1310" t="s">
        <v>1564</v>
      </c>
      <c r="S219" s="1310" t="s">
        <v>1448</v>
      </c>
      <c r="T219" s="1310" t="s">
        <v>1484</v>
      </c>
      <c r="U219" s="1310" t="s">
        <v>1627</v>
      </c>
      <c r="V219" s="1310" t="s">
        <v>1515</v>
      </c>
      <c r="W219" s="1310" t="s">
        <v>1614</v>
      </c>
      <c r="X219" s="1310" t="s">
        <v>1600</v>
      </c>
      <c r="Y219" s="1310" t="s">
        <v>1575</v>
      </c>
      <c r="Z219" s="1310" t="s">
        <v>1515</v>
      </c>
      <c r="AA219" s="1310" t="s">
        <v>1476</v>
      </c>
      <c r="AB219" s="1310" t="s">
        <v>1448</v>
      </c>
      <c r="AC219" s="1310" t="s">
        <v>1473</v>
      </c>
      <c r="AD219" s="1310" t="s">
        <v>1627</v>
      </c>
      <c r="AE219" s="1310" t="s">
        <v>1515</v>
      </c>
      <c r="AF219" s="1310" t="s">
        <v>1488</v>
      </c>
    </row>
    <row r="220" spans="1:32" x14ac:dyDescent="0.3">
      <c r="A220" s="1310" t="s">
        <v>1492</v>
      </c>
      <c r="B220" s="1310" t="s">
        <v>1451</v>
      </c>
      <c r="C220" s="1310" t="s">
        <v>1487</v>
      </c>
      <c r="D220" s="1310" t="s">
        <v>1451</v>
      </c>
      <c r="E220" s="1310" t="s">
        <v>1481</v>
      </c>
      <c r="F220" s="1310" t="s">
        <v>1502</v>
      </c>
      <c r="G220" s="1310" t="s">
        <v>1475</v>
      </c>
      <c r="H220" s="1310" t="s">
        <v>1478</v>
      </c>
      <c r="I220" s="1310" t="s">
        <v>1448</v>
      </c>
      <c r="J220" s="1310" t="s">
        <v>1498</v>
      </c>
      <c r="K220" s="1310" t="s">
        <v>1610</v>
      </c>
      <c r="L220" s="1310" t="s">
        <v>1460</v>
      </c>
      <c r="M220" s="1310" t="s">
        <v>1475</v>
      </c>
      <c r="N220" s="1310" t="s">
        <v>1530</v>
      </c>
      <c r="O220" s="1310" t="s">
        <v>1610</v>
      </c>
      <c r="P220" s="1310" t="s">
        <v>1624</v>
      </c>
      <c r="Q220" s="1310" t="s">
        <v>1538</v>
      </c>
      <c r="R220" s="1310" t="s">
        <v>1532</v>
      </c>
      <c r="S220" s="1310" t="s">
        <v>1610</v>
      </c>
      <c r="T220" s="1310" t="s">
        <v>1596</v>
      </c>
      <c r="U220" s="1310" t="s">
        <v>1532</v>
      </c>
      <c r="V220" s="1310" t="s">
        <v>1631</v>
      </c>
      <c r="W220" s="1310" t="s">
        <v>1473</v>
      </c>
      <c r="X220" s="1310" t="s">
        <v>1515</v>
      </c>
      <c r="Y220" s="1310" t="s">
        <v>1517</v>
      </c>
      <c r="Z220" s="1310" t="s">
        <v>1608</v>
      </c>
      <c r="AA220" s="1310" t="s">
        <v>1476</v>
      </c>
      <c r="AB220" s="1310" t="s">
        <v>1660</v>
      </c>
      <c r="AC220" s="1310" t="s">
        <v>1447</v>
      </c>
      <c r="AD220" s="1310" t="s">
        <v>1491</v>
      </c>
      <c r="AE220" s="1310" t="s">
        <v>1447</v>
      </c>
      <c r="AF220" s="1310" t="s">
        <v>1483</v>
      </c>
    </row>
    <row r="221" spans="1:32" x14ac:dyDescent="0.3">
      <c r="A221" s="1310" t="s">
        <v>1481</v>
      </c>
      <c r="B221" s="1310" t="s">
        <v>1483</v>
      </c>
      <c r="C221" s="1310" t="s">
        <v>1475</v>
      </c>
      <c r="D221" s="1310" t="s">
        <v>1479</v>
      </c>
      <c r="E221" s="1310" t="s">
        <v>1520</v>
      </c>
      <c r="F221" s="1310" t="s">
        <v>1476</v>
      </c>
      <c r="G221" s="1310" t="s">
        <v>1447</v>
      </c>
      <c r="H221" s="1310" t="s">
        <v>1483</v>
      </c>
      <c r="I221" s="1310" t="s">
        <v>1482</v>
      </c>
      <c r="J221" s="1310" t="s">
        <v>1484</v>
      </c>
      <c r="K221" s="1310" t="s">
        <v>1480</v>
      </c>
      <c r="L221" s="1310" t="s">
        <v>1491</v>
      </c>
      <c r="M221" s="1310" t="s">
        <v>1447</v>
      </c>
      <c r="N221" s="1310" t="s">
        <v>1627</v>
      </c>
      <c r="O221" s="1310" t="s">
        <v>1515</v>
      </c>
      <c r="P221" s="1310" t="s">
        <v>1520</v>
      </c>
      <c r="Q221" s="1310" t="s">
        <v>1473</v>
      </c>
      <c r="R221" s="1310" t="s">
        <v>1474</v>
      </c>
      <c r="S221" s="1310" t="s">
        <v>1455</v>
      </c>
      <c r="T221" s="1310" t="s">
        <v>1475</v>
      </c>
      <c r="U221" s="1310" t="s">
        <v>1491</v>
      </c>
      <c r="V221" s="1310" t="s">
        <v>1484</v>
      </c>
      <c r="W221" s="1310" t="s">
        <v>1480</v>
      </c>
      <c r="X221" s="1310" t="s">
        <v>1491</v>
      </c>
      <c r="Y221" s="1310" t="s">
        <v>1483</v>
      </c>
      <c r="Z221" s="1310" t="s">
        <v>1475</v>
      </c>
      <c r="AA221" s="1310" t="s">
        <v>1479</v>
      </c>
      <c r="AB221" s="1310" t="s">
        <v>1520</v>
      </c>
      <c r="AC221" s="1310" t="s">
        <v>1645</v>
      </c>
      <c r="AD221" s="1310" t="s">
        <v>1515</v>
      </c>
      <c r="AE221" s="1310" t="s">
        <v>1476</v>
      </c>
      <c r="AF221" s="1310" t="s">
        <v>1447</v>
      </c>
    </row>
    <row r="222" spans="1:32" x14ac:dyDescent="0.3">
      <c r="A222" s="1310" t="s">
        <v>1491</v>
      </c>
      <c r="B222" s="1310" t="s">
        <v>1447</v>
      </c>
      <c r="C222" s="1310" t="s">
        <v>1483</v>
      </c>
      <c r="D222" s="1310" t="s">
        <v>1481</v>
      </c>
      <c r="E222" s="1310" t="s">
        <v>1479</v>
      </c>
      <c r="F222" s="1310" t="s">
        <v>1596</v>
      </c>
      <c r="G222" s="1310" t="s">
        <v>1627</v>
      </c>
      <c r="H222" s="1310" t="s">
        <v>1515</v>
      </c>
      <c r="I222" s="1310" t="s">
        <v>1472</v>
      </c>
      <c r="J222" s="1310" t="s">
        <v>1473</v>
      </c>
      <c r="K222" s="1310" t="s">
        <v>1474</v>
      </c>
      <c r="L222" s="1310" t="s">
        <v>1455</v>
      </c>
      <c r="M222" s="1310" t="s">
        <v>1475</v>
      </c>
      <c r="N222" s="1310" t="s">
        <v>1476</v>
      </c>
      <c r="O222" s="1310" t="s">
        <v>1588</v>
      </c>
      <c r="P222" s="1310" t="s">
        <v>1451</v>
      </c>
      <c r="Q222" s="1310" t="s">
        <v>1477</v>
      </c>
      <c r="R222" s="1310" t="s">
        <v>1476</v>
      </c>
      <c r="S222" s="1310" t="s">
        <v>1502</v>
      </c>
      <c r="T222" s="1310" t="s">
        <v>1474</v>
      </c>
      <c r="U222" s="1310" t="s">
        <v>1460</v>
      </c>
      <c r="V222" s="1310" t="s">
        <v>1475</v>
      </c>
      <c r="W222" s="1310" t="s">
        <v>1476</v>
      </c>
      <c r="X222" s="1310" t="s">
        <v>1492</v>
      </c>
      <c r="Y222" s="1310" t="s">
        <v>1486</v>
      </c>
      <c r="Z222" s="1310" t="s">
        <v>1539</v>
      </c>
      <c r="AA222" s="1310" t="s">
        <v>1654</v>
      </c>
      <c r="AB222" s="1310" t="s">
        <v>1532</v>
      </c>
      <c r="AC222" s="1310" t="s">
        <v>1459</v>
      </c>
      <c r="AD222" s="1310" t="s">
        <v>1493</v>
      </c>
      <c r="AE222" s="1310" t="s">
        <v>1492</v>
      </c>
      <c r="AF222" s="1310" t="s">
        <v>1476</v>
      </c>
    </row>
    <row r="223" spans="1:32" x14ac:dyDescent="0.3">
      <c r="A223" s="1310" t="s">
        <v>1485</v>
      </c>
      <c r="B223" s="1310" t="s">
        <v>1631</v>
      </c>
      <c r="C223" s="1310" t="s">
        <v>1486</v>
      </c>
      <c r="D223" s="1310" t="s">
        <v>1459</v>
      </c>
      <c r="E223" s="1310" t="s">
        <v>1539</v>
      </c>
      <c r="F223" s="1310" t="s">
        <v>1461</v>
      </c>
      <c r="G223" s="1310" t="s">
        <v>1494</v>
      </c>
      <c r="H223" s="1310" t="s">
        <v>1459</v>
      </c>
      <c r="I223" s="1310" t="s">
        <v>1631</v>
      </c>
      <c r="J223" s="1310" t="s">
        <v>1625</v>
      </c>
      <c r="K223" s="1310" t="s">
        <v>1476</v>
      </c>
      <c r="L223" s="1310" t="s">
        <v>1461</v>
      </c>
      <c r="M223" s="1310" t="s">
        <v>1487</v>
      </c>
      <c r="N223" s="1310" t="s">
        <v>1459</v>
      </c>
      <c r="O223" s="1310" t="s">
        <v>1574</v>
      </c>
      <c r="P223" s="1310" t="s">
        <v>1645</v>
      </c>
      <c r="Q223" s="1310" t="s">
        <v>1487</v>
      </c>
      <c r="R223" s="1310" t="s">
        <v>1461</v>
      </c>
      <c r="S223" s="1310" t="s">
        <v>1645</v>
      </c>
      <c r="T223" s="1310" t="s">
        <v>1459</v>
      </c>
      <c r="U223" s="1310" t="s">
        <v>1492</v>
      </c>
      <c r="V223" s="1310" t="s">
        <v>1654</v>
      </c>
      <c r="W223" s="1310" t="s">
        <v>1461</v>
      </c>
      <c r="X223" s="1310" t="s">
        <v>1487</v>
      </c>
      <c r="Y223" s="1310" t="s">
        <v>1491</v>
      </c>
      <c r="Z223" s="1310" t="s">
        <v>1461</v>
      </c>
      <c r="AA223" s="1310" t="s">
        <v>1631</v>
      </c>
      <c r="AB223" s="1310" t="s">
        <v>1491</v>
      </c>
      <c r="AC223" s="1310" t="s">
        <v>1493</v>
      </c>
      <c r="AD223" s="1310" t="s">
        <v>1494</v>
      </c>
      <c r="AE223" s="1310" t="s">
        <v>1476</v>
      </c>
      <c r="AF223" s="1310" t="s">
        <v>1476</v>
      </c>
    </row>
    <row r="224" spans="1:32" x14ac:dyDescent="0.3">
      <c r="A224" s="1310" t="s">
        <v>1476</v>
      </c>
      <c r="B224" s="1310" t="s">
        <v>1476</v>
      </c>
      <c r="C224" s="1310" t="s">
        <v>1476</v>
      </c>
      <c r="D224" s="1310" t="s">
        <v>1476</v>
      </c>
      <c r="E224" s="1310" t="s">
        <v>1476</v>
      </c>
      <c r="F224" s="1310" t="s">
        <v>1476</v>
      </c>
      <c r="G224" s="1310" t="s">
        <v>1515</v>
      </c>
      <c r="H224" s="1310" t="s">
        <v>1608</v>
      </c>
      <c r="I224" s="1310" t="s">
        <v>1476</v>
      </c>
      <c r="J224" s="1310" t="s">
        <v>1660</v>
      </c>
      <c r="K224" s="1310" t="s">
        <v>1460</v>
      </c>
      <c r="L224" s="1310" t="s">
        <v>1473</v>
      </c>
      <c r="M224" s="1310" t="s">
        <v>1449</v>
      </c>
      <c r="N224" s="1310" t="s">
        <v>1491</v>
      </c>
      <c r="O224" s="1310" t="s">
        <v>1527</v>
      </c>
      <c r="P224" s="1310" t="s">
        <v>1536</v>
      </c>
      <c r="Q224" s="1310" t="s">
        <v>1543</v>
      </c>
      <c r="R224" s="1310" t="s">
        <v>1476</v>
      </c>
      <c r="S224" s="1310" t="s">
        <v>1447</v>
      </c>
      <c r="T224" s="1310" t="s">
        <v>1483</v>
      </c>
      <c r="U224" s="1310" t="s">
        <v>1482</v>
      </c>
      <c r="V224" s="1310" t="s">
        <v>1484</v>
      </c>
      <c r="W224" s="1310" t="s">
        <v>1480</v>
      </c>
      <c r="X224" s="1310" t="s">
        <v>1491</v>
      </c>
      <c r="Y224" s="1310" t="s">
        <v>1460</v>
      </c>
      <c r="Z224" s="1310" t="s">
        <v>1473</v>
      </c>
      <c r="AA224" s="1310" t="s">
        <v>1449</v>
      </c>
      <c r="AB224" s="1310" t="s">
        <v>1627</v>
      </c>
      <c r="AC224" s="1310" t="s">
        <v>1515</v>
      </c>
      <c r="AD224" s="1310" t="s">
        <v>1478</v>
      </c>
      <c r="AE224" s="1310" t="s">
        <v>1479</v>
      </c>
      <c r="AF224" s="1310" t="s">
        <v>1479</v>
      </c>
    </row>
    <row r="225" spans="1:32" x14ac:dyDescent="0.3">
      <c r="A225" s="1310" t="s">
        <v>1481</v>
      </c>
      <c r="B225" s="1310" t="s">
        <v>1491</v>
      </c>
      <c r="C225" s="1310" t="s">
        <v>1645</v>
      </c>
      <c r="D225" s="1310" t="s">
        <v>1645</v>
      </c>
      <c r="E225" s="1310" t="s">
        <v>1489</v>
      </c>
      <c r="F225" s="1310" t="s">
        <v>1489</v>
      </c>
      <c r="G225" s="1310" t="s">
        <v>1489</v>
      </c>
      <c r="H225" s="1310" t="s">
        <v>1486</v>
      </c>
      <c r="I225" s="1310" t="s">
        <v>1489</v>
      </c>
      <c r="J225" s="1310" t="s">
        <v>1494</v>
      </c>
      <c r="K225" s="1310" t="s">
        <v>1486</v>
      </c>
      <c r="L225" s="1310" t="s">
        <v>1474</v>
      </c>
      <c r="M225" s="1310" t="s">
        <v>1460</v>
      </c>
      <c r="N225" s="1310" t="s">
        <v>1564</v>
      </c>
      <c r="O225" s="1310" t="s">
        <v>1645</v>
      </c>
      <c r="P225" s="1310" t="s">
        <v>1459</v>
      </c>
      <c r="Q225" s="1310" t="s">
        <v>1631</v>
      </c>
      <c r="R225" s="1310" t="s">
        <v>1631</v>
      </c>
      <c r="S225" s="1310" t="s">
        <v>1631</v>
      </c>
      <c r="T225" s="1310" t="s">
        <v>1645</v>
      </c>
      <c r="U225" s="1310" t="s">
        <v>1487</v>
      </c>
      <c r="V225" s="1310" t="s">
        <v>1461</v>
      </c>
      <c r="W225" s="1310" t="s">
        <v>1645</v>
      </c>
      <c r="X225" s="1310" t="s">
        <v>1461</v>
      </c>
      <c r="Y225" s="1310" t="s">
        <v>1461</v>
      </c>
      <c r="Z225" s="1310" t="s">
        <v>1654</v>
      </c>
      <c r="AA225" s="1310" t="s">
        <v>1460</v>
      </c>
      <c r="AB225" s="1310" t="s">
        <v>1473</v>
      </c>
      <c r="AC225" s="1310" t="s">
        <v>1449</v>
      </c>
      <c r="AD225" s="1310" t="s">
        <v>1654</v>
      </c>
      <c r="AE225" s="1310" t="s">
        <v>1480</v>
      </c>
      <c r="AF225" s="1310" t="s">
        <v>1585</v>
      </c>
    </row>
    <row r="226" spans="1:32" x14ac:dyDescent="0.3">
      <c r="A226" s="1310" t="s">
        <v>1484</v>
      </c>
      <c r="B226" s="1310" t="s">
        <v>1479</v>
      </c>
      <c r="C226" s="1310" t="s">
        <v>1520</v>
      </c>
      <c r="D226" s="1310" t="s">
        <v>1447</v>
      </c>
      <c r="E226" s="1310" t="s">
        <v>1654</v>
      </c>
      <c r="F226" s="1310" t="s">
        <v>1484</v>
      </c>
      <c r="G226" s="1310" t="s">
        <v>1480</v>
      </c>
      <c r="H226" s="1310" t="s">
        <v>1525</v>
      </c>
      <c r="I226" s="1310" t="s">
        <v>1515</v>
      </c>
      <c r="J226" s="1310" t="s">
        <v>1608</v>
      </c>
      <c r="K226" s="1310" t="s">
        <v>1476</v>
      </c>
      <c r="L226" s="1310" t="s">
        <v>1660</v>
      </c>
      <c r="M226" s="1310" t="s">
        <v>1460</v>
      </c>
      <c r="N226" s="1310" t="s">
        <v>1473</v>
      </c>
      <c r="O226" s="1310" t="s">
        <v>1449</v>
      </c>
      <c r="P226" s="1310" t="s">
        <v>1491</v>
      </c>
      <c r="Q226" s="1310" t="s">
        <v>1536</v>
      </c>
      <c r="R226" s="1310" t="s">
        <v>1475</v>
      </c>
      <c r="S226" s="1310" t="s">
        <v>1480</v>
      </c>
      <c r="T226" s="1310" t="s">
        <v>1532</v>
      </c>
      <c r="U226" s="1310" t="s">
        <v>1460</v>
      </c>
      <c r="V226" s="1310" t="s">
        <v>1448</v>
      </c>
      <c r="W226" s="1310" t="s">
        <v>1481</v>
      </c>
      <c r="X226" s="1310" t="s">
        <v>1479</v>
      </c>
      <c r="Y226" s="1310" t="s">
        <v>1448</v>
      </c>
      <c r="Z226" s="1310" t="s">
        <v>1474</v>
      </c>
      <c r="AA226" s="1310" t="s">
        <v>1484</v>
      </c>
      <c r="AB226" s="1310" t="s">
        <v>1476</v>
      </c>
      <c r="AC226" s="1310" t="s">
        <v>1460</v>
      </c>
      <c r="AD226" s="1310" t="s">
        <v>1473</v>
      </c>
      <c r="AE226" s="1310" t="s">
        <v>1449</v>
      </c>
      <c r="AF226" s="1310" t="s">
        <v>1491</v>
      </c>
    </row>
    <row r="227" spans="1:32" x14ac:dyDescent="0.3">
      <c r="A227" s="1310" t="s">
        <v>1520</v>
      </c>
      <c r="B227" s="1310" t="s">
        <v>1455</v>
      </c>
      <c r="C227" s="1310" t="s">
        <v>1474</v>
      </c>
      <c r="D227" s="1310" t="s">
        <v>1542</v>
      </c>
      <c r="E227" s="1310" t="s">
        <v>1479</v>
      </c>
      <c r="F227" s="1310" t="s">
        <v>1627</v>
      </c>
      <c r="G227" s="1310" t="s">
        <v>1515</v>
      </c>
      <c r="H227" s="1310" t="s">
        <v>1515</v>
      </c>
      <c r="I227" s="1310" t="s">
        <v>1476</v>
      </c>
      <c r="J227" s="1310" t="s">
        <v>1447</v>
      </c>
      <c r="K227" s="1310" t="s">
        <v>1483</v>
      </c>
      <c r="L227" s="1310" t="s">
        <v>1482</v>
      </c>
      <c r="M227" s="1310" t="s">
        <v>1484</v>
      </c>
      <c r="N227" s="1310" t="s">
        <v>1480</v>
      </c>
      <c r="O227" s="1310" t="s">
        <v>1491</v>
      </c>
      <c r="P227" s="1310" t="s">
        <v>1447</v>
      </c>
      <c r="Q227" s="1310" t="s">
        <v>1483</v>
      </c>
      <c r="R227" s="1310" t="s">
        <v>1481</v>
      </c>
      <c r="S227" s="1310" t="s">
        <v>1627</v>
      </c>
      <c r="T227" s="1310" t="s">
        <v>1515</v>
      </c>
      <c r="U227" s="1310" t="s">
        <v>1478</v>
      </c>
      <c r="V227" s="1310" t="s">
        <v>1479</v>
      </c>
      <c r="W227" s="1310" t="s">
        <v>1479</v>
      </c>
      <c r="X227" s="1310" t="s">
        <v>1481</v>
      </c>
      <c r="Y227" s="1310" t="s">
        <v>1491</v>
      </c>
      <c r="Z227" s="1310" t="s">
        <v>1645</v>
      </c>
      <c r="AA227" s="1310" t="s">
        <v>1645</v>
      </c>
      <c r="AB227" s="1310" t="s">
        <v>1484</v>
      </c>
      <c r="AC227" s="1310" t="s">
        <v>1480</v>
      </c>
      <c r="AD227" s="1310" t="s">
        <v>1486</v>
      </c>
      <c r="AE227" s="1310" t="s">
        <v>1520</v>
      </c>
      <c r="AF227" s="1310" t="s">
        <v>1473</v>
      </c>
    </row>
    <row r="228" spans="1:32" x14ac:dyDescent="0.3">
      <c r="A228" s="1310" t="s">
        <v>1474</v>
      </c>
      <c r="B228" s="1310" t="s">
        <v>1455</v>
      </c>
      <c r="C228" s="1310" t="s">
        <v>1475</v>
      </c>
      <c r="D228" s="1310" t="s">
        <v>1486</v>
      </c>
      <c r="E228" s="1310" t="s">
        <v>1532</v>
      </c>
      <c r="F228" s="1310" t="s">
        <v>1474</v>
      </c>
      <c r="G228" s="1310" t="s">
        <v>1483</v>
      </c>
      <c r="H228" s="1310" t="s">
        <v>1645</v>
      </c>
      <c r="I228" s="1310" t="s">
        <v>1447</v>
      </c>
      <c r="J228" s="1310" t="s">
        <v>1520</v>
      </c>
      <c r="K228" s="1310" t="s">
        <v>1481</v>
      </c>
      <c r="L228" s="1310" t="s">
        <v>1645</v>
      </c>
      <c r="M228" s="1310" t="s">
        <v>1459</v>
      </c>
      <c r="N228" s="1310" t="s">
        <v>1486</v>
      </c>
      <c r="O228" s="1310" t="s">
        <v>1487</v>
      </c>
      <c r="P228" s="1310" t="s">
        <v>1645</v>
      </c>
      <c r="Q228" s="1310" t="s">
        <v>1515</v>
      </c>
      <c r="R228" s="1310" t="s">
        <v>1476</v>
      </c>
      <c r="S228" s="1310" t="s">
        <v>1447</v>
      </c>
      <c r="T228" s="1310" t="s">
        <v>1483</v>
      </c>
      <c r="U228" s="1310" t="s">
        <v>1482</v>
      </c>
      <c r="V228" s="1310" t="s">
        <v>1484</v>
      </c>
      <c r="W228" s="1310" t="s">
        <v>1480</v>
      </c>
      <c r="X228" s="1310" t="s">
        <v>1491</v>
      </c>
      <c r="Y228" s="1310" t="s">
        <v>1473</v>
      </c>
      <c r="Z228" s="1310" t="s">
        <v>1532</v>
      </c>
      <c r="AA228" s="1310" t="s">
        <v>1627</v>
      </c>
      <c r="AB228" s="1310" t="s">
        <v>1515</v>
      </c>
      <c r="AC228" s="1310" t="s">
        <v>1478</v>
      </c>
      <c r="AD228" s="1310" t="s">
        <v>1479</v>
      </c>
      <c r="AE228" s="1310" t="s">
        <v>1479</v>
      </c>
      <c r="AF228" s="1310" t="s">
        <v>1481</v>
      </c>
    </row>
    <row r="229" spans="1:32" x14ac:dyDescent="0.3">
      <c r="A229" s="1310" t="s">
        <v>1491</v>
      </c>
      <c r="B229" s="1310" t="s">
        <v>1645</v>
      </c>
      <c r="C229" s="1310" t="s">
        <v>1645</v>
      </c>
      <c r="D229" s="1310" t="s">
        <v>1481</v>
      </c>
      <c r="E229" s="1310" t="s">
        <v>1542</v>
      </c>
      <c r="F229" s="1310" t="s">
        <v>1460</v>
      </c>
      <c r="G229" s="1310" t="s">
        <v>1482</v>
      </c>
      <c r="H229" s="1310" t="s">
        <v>1486</v>
      </c>
      <c r="I229" s="1310" t="s">
        <v>1474</v>
      </c>
      <c r="J229" s="1310" t="s">
        <v>1460</v>
      </c>
      <c r="K229" s="1310" t="s">
        <v>1564</v>
      </c>
      <c r="L229" s="1310" t="s">
        <v>1645</v>
      </c>
      <c r="M229" s="1310" t="s">
        <v>1473</v>
      </c>
      <c r="N229" s="1310" t="s">
        <v>1532</v>
      </c>
      <c r="O229" s="1310" t="s">
        <v>1645</v>
      </c>
      <c r="P229" s="1310" t="s">
        <v>1475</v>
      </c>
      <c r="Q229" s="1310" t="s">
        <v>1482</v>
      </c>
      <c r="R229" s="1310" t="s">
        <v>1475</v>
      </c>
      <c r="S229" s="1310" t="s">
        <v>1483</v>
      </c>
      <c r="T229" s="1310" t="s">
        <v>1475</v>
      </c>
      <c r="U229" s="1310" t="s">
        <v>1484</v>
      </c>
      <c r="V229" s="1310" t="s">
        <v>1479</v>
      </c>
      <c r="W229" s="1310" t="s">
        <v>1480</v>
      </c>
      <c r="X229" s="1310" t="s">
        <v>1645</v>
      </c>
      <c r="Y229" s="1310" t="s">
        <v>1459</v>
      </c>
      <c r="Z229" s="1310" t="s">
        <v>1486</v>
      </c>
      <c r="AA229" s="1310" t="s">
        <v>1459</v>
      </c>
      <c r="AB229" s="1310" t="s">
        <v>1645</v>
      </c>
      <c r="AC229" s="1310" t="s">
        <v>1515</v>
      </c>
      <c r="AD229" s="1310" t="s">
        <v>1476</v>
      </c>
      <c r="AE229" s="1310" t="s">
        <v>1447</v>
      </c>
      <c r="AF229" s="1310" t="s">
        <v>1483</v>
      </c>
    </row>
    <row r="230" spans="1:32" x14ac:dyDescent="0.3">
      <c r="A230" s="1310" t="s">
        <v>1482</v>
      </c>
      <c r="B230" s="1310" t="s">
        <v>1484</v>
      </c>
      <c r="C230" s="1310" t="s">
        <v>1480</v>
      </c>
      <c r="D230" s="1310" t="s">
        <v>1491</v>
      </c>
      <c r="E230" s="1310" t="s">
        <v>1481</v>
      </c>
      <c r="F230" s="1310" t="s">
        <v>1478</v>
      </c>
      <c r="G230" s="1310" t="s">
        <v>1474</v>
      </c>
      <c r="H230" s="1310" t="s">
        <v>1479</v>
      </c>
      <c r="I230" s="1310" t="s">
        <v>1474</v>
      </c>
      <c r="J230" s="1310" t="s">
        <v>1480</v>
      </c>
      <c r="K230" s="1310" t="s">
        <v>1478</v>
      </c>
      <c r="L230" s="1310" t="s">
        <v>1474</v>
      </c>
      <c r="M230" s="1310" t="s">
        <v>1481</v>
      </c>
      <c r="N230" s="1310" t="s">
        <v>1627</v>
      </c>
      <c r="O230" s="1310" t="s">
        <v>1515</v>
      </c>
      <c r="P230" s="1310" t="s">
        <v>1478</v>
      </c>
      <c r="Q230" s="1310" t="s">
        <v>1479</v>
      </c>
      <c r="R230" s="1310" t="s">
        <v>1479</v>
      </c>
      <c r="S230" s="1310" t="s">
        <v>1481</v>
      </c>
      <c r="T230" s="1310" t="s">
        <v>1491</v>
      </c>
      <c r="U230" s="1310" t="s">
        <v>1645</v>
      </c>
      <c r="V230" s="1310" t="s">
        <v>1645</v>
      </c>
      <c r="W230" s="1310" t="s">
        <v>1484</v>
      </c>
      <c r="X230" s="1310" t="s">
        <v>1480</v>
      </c>
      <c r="Y230" s="1310" t="s">
        <v>1486</v>
      </c>
      <c r="Z230" s="1310" t="s">
        <v>1520</v>
      </c>
      <c r="AA230" s="1310" t="s">
        <v>1473</v>
      </c>
      <c r="AB230" s="1310" t="s">
        <v>1474</v>
      </c>
      <c r="AC230" s="1310" t="s">
        <v>1455</v>
      </c>
      <c r="AD230" s="1310" t="s">
        <v>1475</v>
      </c>
      <c r="AE230" s="1310" t="s">
        <v>1486</v>
      </c>
      <c r="AF230" s="1310" t="s">
        <v>1532</v>
      </c>
    </row>
    <row r="231" spans="1:32" x14ac:dyDescent="0.3">
      <c r="A231" s="1310" t="s">
        <v>1474</v>
      </c>
      <c r="B231" s="1310" t="s">
        <v>1483</v>
      </c>
      <c r="C231" s="1310" t="s">
        <v>1645</v>
      </c>
      <c r="D231" s="1310" t="s">
        <v>1481</v>
      </c>
      <c r="E231" s="1310" t="s">
        <v>1478</v>
      </c>
      <c r="F231" s="1310" t="s">
        <v>1474</v>
      </c>
      <c r="G231" s="1310" t="s">
        <v>1479</v>
      </c>
      <c r="H231" s="1310" t="s">
        <v>1474</v>
      </c>
      <c r="I231" s="1310" t="s">
        <v>1480</v>
      </c>
      <c r="J231" s="1310" t="s">
        <v>1478</v>
      </c>
      <c r="K231" s="1310" t="s">
        <v>1474</v>
      </c>
      <c r="L231" s="1310" t="s">
        <v>1481</v>
      </c>
      <c r="M231" s="1310" t="s">
        <v>1645</v>
      </c>
      <c r="N231" s="1310" t="s">
        <v>1459</v>
      </c>
      <c r="O231" s="1310" t="s">
        <v>1486</v>
      </c>
      <c r="P231" s="1310" t="s">
        <v>1487</v>
      </c>
      <c r="Q231" s="1310" t="s">
        <v>1645</v>
      </c>
      <c r="R231" s="1310" t="s">
        <v>1515</v>
      </c>
      <c r="S231" s="1310" t="s">
        <v>1476</v>
      </c>
      <c r="T231" s="1310" t="s">
        <v>1447</v>
      </c>
      <c r="U231" s="1310" t="s">
        <v>1483</v>
      </c>
      <c r="V231" s="1310" t="s">
        <v>1482</v>
      </c>
      <c r="W231" s="1310" t="s">
        <v>1484</v>
      </c>
      <c r="X231" s="1310" t="s">
        <v>1480</v>
      </c>
      <c r="Y231" s="1310" t="s">
        <v>1491</v>
      </c>
      <c r="Z231" s="1310" t="s">
        <v>1447</v>
      </c>
      <c r="AA231" s="1310" t="s">
        <v>1483</v>
      </c>
      <c r="AB231" s="1310" t="s">
        <v>1481</v>
      </c>
      <c r="AC231" s="1310" t="s">
        <v>1451</v>
      </c>
      <c r="AD231" s="1310" t="s">
        <v>1451</v>
      </c>
      <c r="AE231" s="1310" t="s">
        <v>1627</v>
      </c>
      <c r="AF231" s="1310" t="s">
        <v>1515</v>
      </c>
    </row>
    <row r="232" spans="1:32" x14ac:dyDescent="0.3">
      <c r="A232" s="1310" t="s">
        <v>1478</v>
      </c>
      <c r="B232" s="1310" t="s">
        <v>1479</v>
      </c>
      <c r="C232" s="1310" t="s">
        <v>1479</v>
      </c>
      <c r="D232" s="1310" t="s">
        <v>1481</v>
      </c>
      <c r="E232" s="1310" t="s">
        <v>1491</v>
      </c>
      <c r="F232" s="1310" t="s">
        <v>1645</v>
      </c>
      <c r="G232" s="1310" t="s">
        <v>1645</v>
      </c>
      <c r="H232" s="1310" t="s">
        <v>1484</v>
      </c>
      <c r="I232" s="1310" t="s">
        <v>1480</v>
      </c>
      <c r="J232" s="1310" t="s">
        <v>1486</v>
      </c>
      <c r="K232" s="1310" t="s">
        <v>1520</v>
      </c>
      <c r="L232" s="1310" t="s">
        <v>1473</v>
      </c>
      <c r="M232" s="1310" t="s">
        <v>1474</v>
      </c>
      <c r="N232" s="1310" t="s">
        <v>1455</v>
      </c>
      <c r="O232" s="1310" t="s">
        <v>1475</v>
      </c>
      <c r="P232" s="1310" t="s">
        <v>1486</v>
      </c>
      <c r="Q232" s="1310" t="s">
        <v>1532</v>
      </c>
      <c r="R232" s="1310" t="s">
        <v>1474</v>
      </c>
      <c r="S232" s="1310" t="s">
        <v>1483</v>
      </c>
      <c r="T232" s="1310" t="s">
        <v>1645</v>
      </c>
      <c r="U232" s="1310" t="s">
        <v>1447</v>
      </c>
      <c r="V232" s="1310" t="s">
        <v>1520</v>
      </c>
      <c r="W232" s="1310" t="s">
        <v>1481</v>
      </c>
      <c r="X232" s="1310" t="s">
        <v>1645</v>
      </c>
      <c r="Y232" s="1310" t="s">
        <v>1459</v>
      </c>
      <c r="Z232" s="1310" t="s">
        <v>1486</v>
      </c>
      <c r="AA232" s="1310" t="s">
        <v>1487</v>
      </c>
      <c r="AB232" s="1310" t="s">
        <v>1645</v>
      </c>
      <c r="AC232" s="1310" t="s">
        <v>1483</v>
      </c>
      <c r="AD232" s="1310" t="s">
        <v>1483</v>
      </c>
      <c r="AE232" s="1310" t="s">
        <v>1645</v>
      </c>
      <c r="AF232" s="1310" t="s">
        <v>1515</v>
      </c>
    </row>
    <row r="233" spans="1:32" x14ac:dyDescent="0.3">
      <c r="A233" s="1310" t="s">
        <v>1476</v>
      </c>
      <c r="B233" s="1310" t="s">
        <v>1447</v>
      </c>
      <c r="C233" s="1310" t="s">
        <v>1483</v>
      </c>
      <c r="D233" s="1310" t="s">
        <v>1482</v>
      </c>
      <c r="E233" s="1310" t="s">
        <v>1484</v>
      </c>
      <c r="F233" s="1310" t="s">
        <v>1480</v>
      </c>
      <c r="G233" s="1310" t="s">
        <v>1491</v>
      </c>
      <c r="H233" s="1310" t="s">
        <v>1480</v>
      </c>
      <c r="I233" s="1310" t="s">
        <v>1479</v>
      </c>
      <c r="J233" s="1310" t="s">
        <v>1446</v>
      </c>
      <c r="K233" s="1310" t="s">
        <v>1554</v>
      </c>
      <c r="L233" s="1310" t="s">
        <v>1479</v>
      </c>
      <c r="M233" s="1310" t="s">
        <v>1627</v>
      </c>
      <c r="N233" s="1310" t="s">
        <v>1515</v>
      </c>
      <c r="O233" s="1310" t="s">
        <v>1478</v>
      </c>
      <c r="P233" s="1310" t="s">
        <v>1479</v>
      </c>
      <c r="Q233" s="1310" t="s">
        <v>1479</v>
      </c>
      <c r="R233" s="1310" t="s">
        <v>1481</v>
      </c>
      <c r="S233" s="1310" t="s">
        <v>1491</v>
      </c>
      <c r="T233" s="1310" t="s">
        <v>1645</v>
      </c>
      <c r="U233" s="1310" t="s">
        <v>1645</v>
      </c>
      <c r="V233" s="1310" t="s">
        <v>1484</v>
      </c>
      <c r="W233" s="1310" t="s">
        <v>1480</v>
      </c>
      <c r="X233" s="1310" t="s">
        <v>1486</v>
      </c>
      <c r="Y233" s="1310" t="s">
        <v>1520</v>
      </c>
      <c r="Z233" s="1310" t="s">
        <v>1473</v>
      </c>
      <c r="AA233" s="1310" t="s">
        <v>1474</v>
      </c>
      <c r="AB233" s="1310" t="s">
        <v>1455</v>
      </c>
      <c r="AC233" s="1310" t="s">
        <v>1475</v>
      </c>
      <c r="AD233" s="1310" t="s">
        <v>1486</v>
      </c>
      <c r="AE233" s="1310" t="s">
        <v>1532</v>
      </c>
      <c r="AF233" s="1310" t="s">
        <v>1474</v>
      </c>
    </row>
    <row r="234" spans="1:32" x14ac:dyDescent="0.3">
      <c r="A234" s="1310" t="s">
        <v>1483</v>
      </c>
      <c r="B234" s="1310" t="s">
        <v>1645</v>
      </c>
      <c r="C234" s="1310" t="s">
        <v>1447</v>
      </c>
      <c r="D234" s="1310" t="s">
        <v>1520</v>
      </c>
      <c r="E234" s="1310" t="s">
        <v>1481</v>
      </c>
      <c r="F234" s="1310" t="s">
        <v>1645</v>
      </c>
      <c r="G234" s="1310" t="s">
        <v>1459</v>
      </c>
      <c r="H234" s="1310" t="s">
        <v>1486</v>
      </c>
      <c r="I234" s="1310" t="s">
        <v>1487</v>
      </c>
      <c r="J234" s="1310" t="s">
        <v>1645</v>
      </c>
      <c r="K234" s="1310" t="s">
        <v>1480</v>
      </c>
      <c r="L234" s="1310" t="s">
        <v>1538</v>
      </c>
      <c r="M234" s="1310" t="s">
        <v>1585</v>
      </c>
      <c r="N234" s="1310" t="s">
        <v>1481</v>
      </c>
      <c r="O234" s="1310" t="s">
        <v>1475</v>
      </c>
      <c r="P234" s="1310" t="s">
        <v>1645</v>
      </c>
      <c r="Q234" s="1310" t="s">
        <v>1527</v>
      </c>
      <c r="R234" s="1310" t="s">
        <v>1475</v>
      </c>
      <c r="S234" s="1310" t="s">
        <v>1480</v>
      </c>
      <c r="T234" s="1310" t="s">
        <v>1474</v>
      </c>
      <c r="U234" s="1310" t="s">
        <v>1542</v>
      </c>
      <c r="V234" s="1310" t="s">
        <v>1460</v>
      </c>
      <c r="W234" s="1310" t="s">
        <v>1532</v>
      </c>
      <c r="X234" s="1310" t="s">
        <v>1475</v>
      </c>
      <c r="Y234" s="1310" t="s">
        <v>1446</v>
      </c>
      <c r="Z234" s="1310" t="s">
        <v>1554</v>
      </c>
      <c r="AA234" s="1310" t="s">
        <v>1475</v>
      </c>
      <c r="AB234" s="1310" t="s">
        <v>1484</v>
      </c>
      <c r="AC234" s="1310" t="s">
        <v>1479</v>
      </c>
      <c r="AD234" s="1310" t="s">
        <v>1525</v>
      </c>
      <c r="AE234" s="1310" t="s">
        <v>1515</v>
      </c>
      <c r="AF234" s="1310" t="s">
        <v>1476</v>
      </c>
    </row>
    <row r="235" spans="1:32" x14ac:dyDescent="0.3">
      <c r="A235" s="1310" t="s">
        <v>1447</v>
      </c>
      <c r="B235" s="1310" t="s">
        <v>1483</v>
      </c>
      <c r="C235" s="1310" t="s">
        <v>1481</v>
      </c>
      <c r="D235" s="1310" t="s">
        <v>1491</v>
      </c>
      <c r="E235" s="1310" t="s">
        <v>1502</v>
      </c>
      <c r="F235" s="1310" t="s">
        <v>1460</v>
      </c>
      <c r="G235" s="1310" t="s">
        <v>1475</v>
      </c>
      <c r="H235" s="1310" t="s">
        <v>1520</v>
      </c>
      <c r="I235" s="1310" t="s">
        <v>1479</v>
      </c>
      <c r="J235" s="1310" t="s">
        <v>1474</v>
      </c>
      <c r="K235" s="1310" t="s">
        <v>1460</v>
      </c>
      <c r="L235" s="1310" t="s">
        <v>1538</v>
      </c>
      <c r="M235" s="1310" t="s">
        <v>1474</v>
      </c>
      <c r="N235" s="1310" t="s">
        <v>1474</v>
      </c>
      <c r="O235" s="1310" t="s">
        <v>1482</v>
      </c>
      <c r="P235" s="1310" t="s">
        <v>1627</v>
      </c>
      <c r="Q235" s="1310" t="s">
        <v>1515</v>
      </c>
      <c r="R235" s="1310" t="s">
        <v>1472</v>
      </c>
      <c r="S235" s="1310" t="s">
        <v>1473</v>
      </c>
      <c r="T235" s="1310" t="s">
        <v>1474</v>
      </c>
      <c r="U235" s="1310" t="s">
        <v>1455</v>
      </c>
      <c r="V235" s="1310" t="s">
        <v>1475</v>
      </c>
      <c r="W235" s="1310" t="s">
        <v>1476</v>
      </c>
      <c r="X235" s="1310" t="s">
        <v>1477</v>
      </c>
      <c r="Y235" s="1310" t="s">
        <v>1478</v>
      </c>
      <c r="Z235" s="1310" t="s">
        <v>1474</v>
      </c>
      <c r="AA235" s="1310" t="s">
        <v>1479</v>
      </c>
      <c r="AB235" s="1310" t="s">
        <v>1474</v>
      </c>
      <c r="AC235" s="1310" t="s">
        <v>1480</v>
      </c>
      <c r="AD235" s="1310" t="s">
        <v>1478</v>
      </c>
      <c r="AE235" s="1310" t="s">
        <v>1474</v>
      </c>
      <c r="AF235" s="1310" t="s">
        <v>1481</v>
      </c>
    </row>
    <row r="236" spans="1:32" x14ac:dyDescent="0.3">
      <c r="A236" s="1310" t="s">
        <v>1476</v>
      </c>
      <c r="B236" s="1310" t="s">
        <v>1446</v>
      </c>
      <c r="C236" s="1310" t="s">
        <v>1482</v>
      </c>
      <c r="D236" s="1310" t="s">
        <v>1475</v>
      </c>
      <c r="E236" s="1310" t="s">
        <v>1483</v>
      </c>
      <c r="F236" s="1310" t="s">
        <v>1475</v>
      </c>
      <c r="G236" s="1310" t="s">
        <v>1484</v>
      </c>
      <c r="H236" s="1310" t="s">
        <v>1479</v>
      </c>
      <c r="I236" s="1310" t="s">
        <v>1480</v>
      </c>
      <c r="J236" s="1310" t="s">
        <v>1476</v>
      </c>
      <c r="K236" s="1310" t="s">
        <v>1459</v>
      </c>
      <c r="L236" s="1310" t="s">
        <v>1485</v>
      </c>
      <c r="M236" s="1310" t="s">
        <v>1486</v>
      </c>
      <c r="N236" s="1310" t="s">
        <v>1487</v>
      </c>
      <c r="O236" s="1310" t="s">
        <v>1476</v>
      </c>
      <c r="P236" s="1310" t="s">
        <v>1458</v>
      </c>
      <c r="Q236" s="1310" t="s">
        <v>1488</v>
      </c>
      <c r="R236" s="1310" t="s">
        <v>1448</v>
      </c>
      <c r="S236" s="1310" t="s">
        <v>1484</v>
      </c>
      <c r="T236" s="1310" t="s">
        <v>1473</v>
      </c>
      <c r="U236" s="1310" t="s">
        <v>1474</v>
      </c>
      <c r="V236" s="1310" t="s">
        <v>1489</v>
      </c>
      <c r="W236" s="1310" t="s">
        <v>1480</v>
      </c>
      <c r="X236" s="1310" t="s">
        <v>1490</v>
      </c>
      <c r="Y236" s="1310" t="s">
        <v>1515</v>
      </c>
      <c r="Z236" s="1310" t="s">
        <v>1476</v>
      </c>
      <c r="AA236" s="1310" t="s">
        <v>1447</v>
      </c>
      <c r="AB236" s="1310" t="s">
        <v>1483</v>
      </c>
      <c r="AC236" s="1310" t="s">
        <v>1481</v>
      </c>
      <c r="AD236" s="1310" t="s">
        <v>1491</v>
      </c>
      <c r="AE236" s="1310" t="s">
        <v>1502</v>
      </c>
      <c r="AF236" s="1310" t="s">
        <v>1460</v>
      </c>
    </row>
    <row r="237" spans="1:32" x14ac:dyDescent="0.3">
      <c r="A237" s="1310" t="s">
        <v>1475</v>
      </c>
      <c r="B237" s="1310" t="s">
        <v>1520</v>
      </c>
      <c r="C237" s="1310" t="s">
        <v>1479</v>
      </c>
      <c r="D237" s="1310" t="s">
        <v>1475</v>
      </c>
      <c r="E237" s="1310" t="s">
        <v>1536</v>
      </c>
      <c r="F237" s="1310" t="s">
        <v>1520</v>
      </c>
      <c r="G237" s="1310" t="s">
        <v>1479</v>
      </c>
      <c r="H237" s="1310" t="s">
        <v>1475</v>
      </c>
      <c r="I237" s="1310" t="s">
        <v>1627</v>
      </c>
      <c r="J237" s="1310" t="s">
        <v>1515</v>
      </c>
      <c r="K237" s="1310" t="s">
        <v>1461</v>
      </c>
      <c r="L237" s="1310" t="s">
        <v>1487</v>
      </c>
      <c r="M237" s="1310" t="s">
        <v>1461</v>
      </c>
      <c r="N237" s="1310" t="s">
        <v>1459</v>
      </c>
      <c r="O237" s="1310" t="s">
        <v>1654</v>
      </c>
      <c r="P237" s="1310" t="s">
        <v>1487</v>
      </c>
      <c r="Q237" s="1310" t="s">
        <v>1492</v>
      </c>
      <c r="R237" s="1310" t="s">
        <v>1654</v>
      </c>
      <c r="S237" s="1310" t="s">
        <v>1459</v>
      </c>
      <c r="T237" s="1310" t="s">
        <v>1459</v>
      </c>
      <c r="U237" s="1310" t="s">
        <v>1538</v>
      </c>
      <c r="V237" s="1310" t="s">
        <v>1461</v>
      </c>
      <c r="W237" s="1310" t="s">
        <v>1459</v>
      </c>
      <c r="X237" s="1310" t="s">
        <v>1491</v>
      </c>
      <c r="Y237" s="1310" t="s">
        <v>1493</v>
      </c>
      <c r="Z237" s="1310" t="s">
        <v>1485</v>
      </c>
      <c r="AA237" s="1310" t="s">
        <v>1491</v>
      </c>
      <c r="AB237" s="1310" t="s">
        <v>1494</v>
      </c>
      <c r="AC237" s="1310" t="s">
        <v>1494</v>
      </c>
      <c r="AD237" s="1310" t="s">
        <v>1657</v>
      </c>
      <c r="AE237" s="1310" t="s">
        <v>1487</v>
      </c>
      <c r="AF237" s="1310" t="s">
        <v>1461</v>
      </c>
    </row>
    <row r="238" spans="1:32" x14ac:dyDescent="0.3">
      <c r="A238" s="1310" t="s">
        <v>1491</v>
      </c>
      <c r="B238" s="1310" t="s">
        <v>1487</v>
      </c>
      <c r="C238" s="1310" t="s">
        <v>1487</v>
      </c>
      <c r="D238" s="1310" t="s">
        <v>1515</v>
      </c>
      <c r="E238" s="1310" t="s">
        <v>1476</v>
      </c>
      <c r="F238" s="1310" t="s">
        <v>1447</v>
      </c>
      <c r="G238" s="1310" t="s">
        <v>1483</v>
      </c>
      <c r="H238" s="1310" t="s">
        <v>1481</v>
      </c>
      <c r="I238" s="1310" t="s">
        <v>1491</v>
      </c>
      <c r="J238" s="1310" t="s">
        <v>1451</v>
      </c>
      <c r="K238" s="1310" t="s">
        <v>1474</v>
      </c>
      <c r="L238" s="1310" t="s">
        <v>1473</v>
      </c>
      <c r="M238" s="1310" t="s">
        <v>1448</v>
      </c>
      <c r="N238" s="1310" t="s">
        <v>1449</v>
      </c>
      <c r="O238" s="1310" t="s">
        <v>1585</v>
      </c>
      <c r="P238" s="1310" t="s">
        <v>1536</v>
      </c>
      <c r="Q238" s="1310" t="s">
        <v>1520</v>
      </c>
      <c r="R238" s="1310" t="s">
        <v>1479</v>
      </c>
      <c r="S238" s="1310" t="s">
        <v>1475</v>
      </c>
      <c r="T238" s="1310" t="s">
        <v>1627</v>
      </c>
      <c r="U238" s="1310" t="s">
        <v>1515</v>
      </c>
      <c r="V238" s="1310" t="s">
        <v>1461</v>
      </c>
      <c r="W238" s="1310" t="s">
        <v>1487</v>
      </c>
      <c r="X238" s="1310" t="s">
        <v>1461</v>
      </c>
      <c r="Y238" s="1310" t="s">
        <v>1459</v>
      </c>
      <c r="Z238" s="1310" t="s">
        <v>1654</v>
      </c>
      <c r="AA238" s="1310" t="s">
        <v>1487</v>
      </c>
      <c r="AB238" s="1310" t="s">
        <v>1492</v>
      </c>
      <c r="AC238" s="1310" t="s">
        <v>1654</v>
      </c>
      <c r="AD238" s="1310" t="s">
        <v>1459</v>
      </c>
      <c r="AE238" s="1310" t="s">
        <v>1459</v>
      </c>
      <c r="AF238" s="1310" t="s">
        <v>1538</v>
      </c>
    </row>
    <row r="239" spans="1:32" x14ac:dyDescent="0.3">
      <c r="A239" s="1310" t="s">
        <v>1461</v>
      </c>
      <c r="B239" s="1310" t="s">
        <v>1459</v>
      </c>
      <c r="C239" s="1310" t="s">
        <v>1491</v>
      </c>
      <c r="D239" s="1310" t="s">
        <v>1492</v>
      </c>
      <c r="E239" s="1310" t="s">
        <v>1461</v>
      </c>
      <c r="F239" s="1310" t="s">
        <v>1491</v>
      </c>
      <c r="G239" s="1310" t="s">
        <v>1493</v>
      </c>
      <c r="H239" s="1310" t="s">
        <v>1494</v>
      </c>
      <c r="I239" s="1310" t="s">
        <v>1657</v>
      </c>
      <c r="J239" s="1310" t="s">
        <v>1487</v>
      </c>
      <c r="K239" s="1310" t="s">
        <v>1461</v>
      </c>
      <c r="L239" s="1310" t="s">
        <v>1491</v>
      </c>
      <c r="M239" s="1310" t="s">
        <v>1487</v>
      </c>
      <c r="N239" s="1310" t="s">
        <v>1487</v>
      </c>
      <c r="O239" s="1310" t="s">
        <v>1515</v>
      </c>
      <c r="P239" s="1310" t="s">
        <v>1476</v>
      </c>
      <c r="Q239" s="1310" t="s">
        <v>1447</v>
      </c>
      <c r="R239" s="1310" t="s">
        <v>1483</v>
      </c>
      <c r="S239" s="1310" t="s">
        <v>1481</v>
      </c>
      <c r="T239" s="1310" t="s">
        <v>1491</v>
      </c>
      <c r="U239" s="1310" t="s">
        <v>1451</v>
      </c>
      <c r="V239" s="1310" t="s">
        <v>1475</v>
      </c>
      <c r="W239" s="1310" t="s">
        <v>1479</v>
      </c>
      <c r="X239" s="1310" t="s">
        <v>1520</v>
      </c>
      <c r="Y239" s="1310" t="s">
        <v>1473</v>
      </c>
      <c r="Z239" s="1310" t="s">
        <v>1520</v>
      </c>
      <c r="AA239" s="1310" t="s">
        <v>1479</v>
      </c>
      <c r="AB239" s="1310" t="s">
        <v>1520</v>
      </c>
      <c r="AC239" s="1310" t="s">
        <v>1536</v>
      </c>
      <c r="AD239" s="1310" t="s">
        <v>1520</v>
      </c>
      <c r="AE239" s="1310" t="s">
        <v>1479</v>
      </c>
      <c r="AF239" s="1310" t="s">
        <v>1475</v>
      </c>
    </row>
    <row r="240" spans="1:32" x14ac:dyDescent="0.3">
      <c r="A240" s="1310" t="s">
        <v>1627</v>
      </c>
      <c r="B240" s="1310" t="s">
        <v>1515</v>
      </c>
      <c r="C240" s="1310" t="s">
        <v>1461</v>
      </c>
      <c r="D240" s="1310" t="s">
        <v>1487</v>
      </c>
      <c r="E240" s="1310" t="s">
        <v>1461</v>
      </c>
      <c r="F240" s="1310" t="s">
        <v>1459</v>
      </c>
      <c r="G240" s="1310" t="s">
        <v>1654</v>
      </c>
      <c r="H240" s="1310" t="s">
        <v>1487</v>
      </c>
      <c r="I240" s="1310" t="s">
        <v>1492</v>
      </c>
      <c r="J240" s="1310" t="s">
        <v>1654</v>
      </c>
      <c r="K240" s="1310" t="s">
        <v>1459</v>
      </c>
      <c r="L240" s="1310" t="s">
        <v>1459</v>
      </c>
      <c r="M240" s="1310" t="s">
        <v>1538</v>
      </c>
      <c r="N240" s="1310" t="s">
        <v>1461</v>
      </c>
      <c r="O240" s="1310" t="s">
        <v>1459</v>
      </c>
      <c r="P240" s="1310" t="s">
        <v>1491</v>
      </c>
      <c r="Q240" s="1310" t="s">
        <v>1492</v>
      </c>
      <c r="R240" s="1310" t="s">
        <v>1461</v>
      </c>
      <c r="S240" s="1310" t="s">
        <v>1491</v>
      </c>
      <c r="T240" s="1310" t="s">
        <v>1493</v>
      </c>
      <c r="U240" s="1310" t="s">
        <v>1494</v>
      </c>
      <c r="V240" s="1310" t="s">
        <v>1657</v>
      </c>
      <c r="W240" s="1310" t="s">
        <v>1487</v>
      </c>
      <c r="X240" s="1310" t="s">
        <v>1461</v>
      </c>
      <c r="Y240" s="1310" t="s">
        <v>1491</v>
      </c>
      <c r="Z240" s="1310" t="s">
        <v>1487</v>
      </c>
      <c r="AA240" s="1310" t="s">
        <v>1487</v>
      </c>
      <c r="AB240" s="1310" t="s">
        <v>1515</v>
      </c>
      <c r="AC240" s="1310" t="s">
        <v>1476</v>
      </c>
      <c r="AD240" s="1310" t="s">
        <v>1473</v>
      </c>
      <c r="AE240" s="1310" t="s">
        <v>1532</v>
      </c>
      <c r="AF240" s="1310" t="s">
        <v>1491</v>
      </c>
    </row>
    <row r="241" spans="1:32" x14ac:dyDescent="0.3">
      <c r="A241" s="1310" t="s">
        <v>1449</v>
      </c>
      <c r="B241" s="1310" t="s">
        <v>1474</v>
      </c>
      <c r="C241" s="1310" t="s">
        <v>1460</v>
      </c>
      <c r="D241" s="1310" t="s">
        <v>1483</v>
      </c>
      <c r="E241" s="1310" t="s">
        <v>1520</v>
      </c>
      <c r="F241" s="1310" t="s">
        <v>1479</v>
      </c>
      <c r="G241" s="1310" t="s">
        <v>1627</v>
      </c>
      <c r="H241" s="1310" t="s">
        <v>1515</v>
      </c>
      <c r="I241" s="1310" t="s">
        <v>1448</v>
      </c>
      <c r="J241" s="1310" t="s">
        <v>1483</v>
      </c>
      <c r="K241" s="1310" t="s">
        <v>1520</v>
      </c>
      <c r="L241" s="1310" t="s">
        <v>1564</v>
      </c>
      <c r="M241" s="1310" t="s">
        <v>1475</v>
      </c>
      <c r="N241" s="1310" t="s">
        <v>1645</v>
      </c>
      <c r="O241" s="1310" t="s">
        <v>1457</v>
      </c>
      <c r="P241" s="1310" t="s">
        <v>1481</v>
      </c>
      <c r="Q241" s="1310" t="s">
        <v>1475</v>
      </c>
      <c r="R241" s="1310" t="s">
        <v>1564</v>
      </c>
      <c r="S241" s="1310" t="s">
        <v>1515</v>
      </c>
      <c r="T241" s="1310" t="s">
        <v>1476</v>
      </c>
      <c r="U241" s="1310" t="s">
        <v>1481</v>
      </c>
      <c r="V241" s="1310" t="s">
        <v>1478</v>
      </c>
      <c r="W241" s="1310" t="s">
        <v>1474</v>
      </c>
      <c r="X241" s="1310" t="s">
        <v>1479</v>
      </c>
      <c r="Y241" s="1310" t="s">
        <v>1474</v>
      </c>
      <c r="Z241" s="1310" t="s">
        <v>1480</v>
      </c>
      <c r="AA241" s="1310" t="s">
        <v>1478</v>
      </c>
      <c r="AB241" s="1310" t="s">
        <v>1474</v>
      </c>
      <c r="AC241" s="1310" t="s">
        <v>1481</v>
      </c>
      <c r="AD241" s="1310" t="s">
        <v>1491</v>
      </c>
      <c r="AE241" s="1310" t="s">
        <v>1502</v>
      </c>
      <c r="AF241" s="1310" t="s">
        <v>1474</v>
      </c>
    </row>
    <row r="242" spans="1:32" x14ac:dyDescent="0.3">
      <c r="A242" s="1310" t="s">
        <v>1482</v>
      </c>
      <c r="B242" s="1310" t="s">
        <v>1474</v>
      </c>
      <c r="C242" s="1310" t="s">
        <v>1460</v>
      </c>
      <c r="D242" s="1310" t="s">
        <v>1451</v>
      </c>
      <c r="E242" s="1310" t="s">
        <v>1474</v>
      </c>
      <c r="F242" s="1310" t="s">
        <v>1473</v>
      </c>
      <c r="G242" s="1310" t="s">
        <v>1475</v>
      </c>
      <c r="H242" s="1310" t="s">
        <v>1627</v>
      </c>
      <c r="I242" s="1310" t="s">
        <v>1515</v>
      </c>
      <c r="J242" s="1310" t="s">
        <v>1494</v>
      </c>
      <c r="K242" s="1310" t="s">
        <v>1515</v>
      </c>
      <c r="L242" s="1310" t="s">
        <v>1476</v>
      </c>
      <c r="M242" s="1310" t="s">
        <v>1481</v>
      </c>
      <c r="N242" s="1310" t="s">
        <v>1478</v>
      </c>
      <c r="O242" s="1310" t="s">
        <v>1474</v>
      </c>
      <c r="P242" s="1310" t="s">
        <v>1479</v>
      </c>
      <c r="Q242" s="1310" t="s">
        <v>1474</v>
      </c>
      <c r="R242" s="1310" t="s">
        <v>1480</v>
      </c>
      <c r="S242" s="1310" t="s">
        <v>1478</v>
      </c>
      <c r="T242" s="1310" t="s">
        <v>1474</v>
      </c>
      <c r="U242" s="1310" t="s">
        <v>1481</v>
      </c>
      <c r="V242" s="1310" t="s">
        <v>1491</v>
      </c>
      <c r="W242" s="1310" t="s">
        <v>1573</v>
      </c>
      <c r="X242" s="1310" t="s">
        <v>1502</v>
      </c>
      <c r="Y242" s="1310" t="s">
        <v>1502</v>
      </c>
      <c r="Z242" s="1310" t="s">
        <v>1477</v>
      </c>
      <c r="AA242" s="1310" t="s">
        <v>1460</v>
      </c>
      <c r="AB242" s="1310" t="s">
        <v>1474</v>
      </c>
      <c r="AC242" s="1310" t="s">
        <v>1449</v>
      </c>
      <c r="AD242" s="1310" t="s">
        <v>1448</v>
      </c>
      <c r="AE242" s="1310" t="s">
        <v>1482</v>
      </c>
      <c r="AF242" s="1310" t="s">
        <v>1475</v>
      </c>
    </row>
    <row r="243" spans="1:32" x14ac:dyDescent="0.3">
      <c r="A243" s="1310" t="s">
        <v>1627</v>
      </c>
      <c r="B243" s="1310" t="s">
        <v>1515</v>
      </c>
      <c r="C243" s="1310" t="s">
        <v>1480</v>
      </c>
      <c r="D243" s="1310" t="s">
        <v>1527</v>
      </c>
      <c r="E243" s="1310" t="s">
        <v>1563</v>
      </c>
      <c r="F243" s="1310" t="s">
        <v>1524</v>
      </c>
      <c r="G243" s="1310" t="s">
        <v>1476</v>
      </c>
      <c r="H243" s="1310" t="s">
        <v>1573</v>
      </c>
      <c r="I243" s="1310" t="s">
        <v>1446</v>
      </c>
      <c r="J243" s="1310" t="s">
        <v>1502</v>
      </c>
      <c r="K243" s="1310" t="s">
        <v>1539</v>
      </c>
      <c r="L243" s="1310" t="s">
        <v>1459</v>
      </c>
      <c r="M243" s="1310" t="s">
        <v>1631</v>
      </c>
      <c r="N243" s="1310" t="s">
        <v>1539</v>
      </c>
      <c r="O243" s="1310" t="s">
        <v>1539</v>
      </c>
      <c r="P243" s="1310" t="s">
        <v>1654</v>
      </c>
      <c r="Q243" s="1310" t="s">
        <v>1461</v>
      </c>
      <c r="R243" s="1310" t="s">
        <v>1486</v>
      </c>
      <c r="S243" s="1310" t="s">
        <v>1459</v>
      </c>
      <c r="T243" s="1310" t="s">
        <v>1515</v>
      </c>
      <c r="U243" s="1310" t="s">
        <v>1476</v>
      </c>
      <c r="V243" s="1310" t="s">
        <v>1447</v>
      </c>
      <c r="W243" s="1310" t="s">
        <v>1483</v>
      </c>
      <c r="X243" s="1310" t="s">
        <v>1481</v>
      </c>
      <c r="Y243" s="1310" t="s">
        <v>1451</v>
      </c>
      <c r="Z243" s="1310" t="s">
        <v>1451</v>
      </c>
      <c r="AA243" s="1310" t="s">
        <v>1491</v>
      </c>
      <c r="AB243" s="1310" t="s">
        <v>1573</v>
      </c>
      <c r="AC243" s="1310" t="s">
        <v>1484</v>
      </c>
      <c r="AD243" s="1310" t="s">
        <v>1480</v>
      </c>
      <c r="AE243" s="1310" t="s">
        <v>1479</v>
      </c>
      <c r="AF243" s="1310" t="s">
        <v>1520</v>
      </c>
    </row>
    <row r="244" spans="1:32" x14ac:dyDescent="0.3">
      <c r="A244" s="1310" t="s">
        <v>1484</v>
      </c>
      <c r="B244" s="1310" t="s">
        <v>1532</v>
      </c>
      <c r="C244" s="1310" t="s">
        <v>1475</v>
      </c>
      <c r="D244" s="1310" t="s">
        <v>1573</v>
      </c>
      <c r="E244" s="1310" t="s">
        <v>1536</v>
      </c>
      <c r="F244" s="1310" t="s">
        <v>1627</v>
      </c>
      <c r="G244" s="1310" t="s">
        <v>1515</v>
      </c>
      <c r="H244" s="1310" t="s">
        <v>1447</v>
      </c>
      <c r="I244" s="1310" t="s">
        <v>1483</v>
      </c>
      <c r="J244" s="1310" t="s">
        <v>1481</v>
      </c>
      <c r="K244" s="1310" t="s">
        <v>1486</v>
      </c>
      <c r="L244" s="1310" t="s">
        <v>1448</v>
      </c>
      <c r="M244" s="1310" t="s">
        <v>1448</v>
      </c>
      <c r="N244" s="1310" t="s">
        <v>1473</v>
      </c>
      <c r="O244" s="1310" t="s">
        <v>1491</v>
      </c>
      <c r="P244" s="1310" t="s">
        <v>1459</v>
      </c>
      <c r="Q244" s="1310" t="s">
        <v>1459</v>
      </c>
      <c r="R244" s="1310" t="s">
        <v>1459</v>
      </c>
      <c r="S244" s="1310" t="s">
        <v>1473</v>
      </c>
      <c r="T244" s="1310" t="s">
        <v>1520</v>
      </c>
      <c r="U244" s="1310" t="s">
        <v>1487</v>
      </c>
      <c r="V244" s="1310" t="s">
        <v>1631</v>
      </c>
      <c r="W244" s="1310" t="s">
        <v>1520</v>
      </c>
      <c r="X244" s="1310" t="s">
        <v>1654</v>
      </c>
      <c r="Y244" s="1310" t="s">
        <v>1493</v>
      </c>
      <c r="Z244" s="1310" t="s">
        <v>1485</v>
      </c>
      <c r="AA244" s="1310" t="s">
        <v>1455</v>
      </c>
      <c r="AB244" s="1310" t="s">
        <v>1461</v>
      </c>
      <c r="AC244" s="1310" t="s">
        <v>1654</v>
      </c>
      <c r="AD244" s="1310" t="s">
        <v>1475</v>
      </c>
      <c r="AE244" s="1310" t="s">
        <v>1631</v>
      </c>
      <c r="AF244" s="1310" t="s">
        <v>1493</v>
      </c>
    </row>
    <row r="245" spans="1:32" x14ac:dyDescent="0.3">
      <c r="A245" s="1310" t="s">
        <v>1449</v>
      </c>
      <c r="B245" s="1310" t="s">
        <v>1654</v>
      </c>
      <c r="C245" s="1310" t="s">
        <v>1455</v>
      </c>
      <c r="D245" s="1310" t="s">
        <v>1493</v>
      </c>
      <c r="E245" s="1310" t="s">
        <v>1574</v>
      </c>
      <c r="F245" s="1310" t="s">
        <v>1493</v>
      </c>
      <c r="G245" s="1310" t="s">
        <v>1654</v>
      </c>
      <c r="H245" s="1310" t="s">
        <v>1475</v>
      </c>
      <c r="I245" s="1310" t="s">
        <v>1532</v>
      </c>
      <c r="J245" s="1310" t="s">
        <v>1461</v>
      </c>
      <c r="K245" s="1310" t="s">
        <v>1494</v>
      </c>
      <c r="L245" s="1310" t="s">
        <v>1455</v>
      </c>
      <c r="M245" s="1310" t="s">
        <v>1493</v>
      </c>
      <c r="N245" s="1310" t="s">
        <v>1487</v>
      </c>
      <c r="O245" s="1310" t="s">
        <v>1455</v>
      </c>
      <c r="P245" s="1310" t="s">
        <v>1485</v>
      </c>
      <c r="Q245" s="1310" t="s">
        <v>1532</v>
      </c>
      <c r="R245" s="1310" t="s">
        <v>1475</v>
      </c>
      <c r="S245" s="1310" t="s">
        <v>1449</v>
      </c>
      <c r="T245" s="1310" t="s">
        <v>1515</v>
      </c>
      <c r="U245" s="1310" t="s">
        <v>1476</v>
      </c>
      <c r="V245" s="1310" t="s">
        <v>1447</v>
      </c>
      <c r="W245" s="1310" t="s">
        <v>1483</v>
      </c>
      <c r="X245" s="1310" t="s">
        <v>1481</v>
      </c>
      <c r="Y245" s="1310" t="s">
        <v>1451</v>
      </c>
      <c r="Z245" s="1310" t="s">
        <v>1451</v>
      </c>
      <c r="AA245" s="1310" t="s">
        <v>1491</v>
      </c>
      <c r="AB245" s="1310" t="s">
        <v>1536</v>
      </c>
      <c r="AC245" s="1310" t="s">
        <v>1474</v>
      </c>
      <c r="AD245" s="1310" t="s">
        <v>1532</v>
      </c>
      <c r="AE245" s="1310" t="s">
        <v>1542</v>
      </c>
      <c r="AF245" s="1310" t="s">
        <v>1483</v>
      </c>
    </row>
    <row r="246" spans="1:32" x14ac:dyDescent="0.3">
      <c r="A246" s="1310" t="s">
        <v>1475</v>
      </c>
      <c r="B246" s="1310" t="s">
        <v>1484</v>
      </c>
      <c r="C246" s="1310" t="s">
        <v>1479</v>
      </c>
      <c r="D246" s="1310" t="s">
        <v>1573</v>
      </c>
      <c r="E246" s="1310" t="s">
        <v>1536</v>
      </c>
      <c r="F246" s="1310" t="s">
        <v>1627</v>
      </c>
      <c r="G246" s="1310" t="s">
        <v>1515</v>
      </c>
      <c r="H246" s="1310" t="s">
        <v>1520</v>
      </c>
      <c r="I246" s="1310" t="s">
        <v>1473</v>
      </c>
      <c r="J246" s="1310" t="s">
        <v>1474</v>
      </c>
      <c r="K246" s="1310" t="s">
        <v>1455</v>
      </c>
      <c r="L246" s="1310" t="s">
        <v>1475</v>
      </c>
      <c r="M246" s="1310" t="s">
        <v>1491</v>
      </c>
      <c r="N246" s="1310" t="s">
        <v>1473</v>
      </c>
      <c r="O246" s="1310" t="s">
        <v>1474</v>
      </c>
      <c r="P246" s="1310" t="s">
        <v>1532</v>
      </c>
      <c r="Q246" s="1310" t="s">
        <v>1448</v>
      </c>
      <c r="R246" s="1310" t="s">
        <v>1473</v>
      </c>
      <c r="S246" s="1310" t="s">
        <v>1491</v>
      </c>
      <c r="T246" s="1310" t="s">
        <v>1481</v>
      </c>
      <c r="U246" s="1310" t="s">
        <v>1478</v>
      </c>
      <c r="V246" s="1310" t="s">
        <v>1474</v>
      </c>
      <c r="W246" s="1310" t="s">
        <v>1479</v>
      </c>
      <c r="X246" s="1310" t="s">
        <v>1474</v>
      </c>
      <c r="Y246" s="1310" t="s">
        <v>1480</v>
      </c>
      <c r="Z246" s="1310" t="s">
        <v>1478</v>
      </c>
      <c r="AA246" s="1310" t="s">
        <v>1474</v>
      </c>
      <c r="AB246" s="1310" t="s">
        <v>1481</v>
      </c>
      <c r="AC246" s="1310" t="s">
        <v>1491</v>
      </c>
      <c r="AD246" s="1310" t="s">
        <v>1539</v>
      </c>
      <c r="AE246" s="1310" t="s">
        <v>1485</v>
      </c>
      <c r="AF246" s="1310" t="s">
        <v>1539</v>
      </c>
    </row>
    <row r="247" spans="1:32" x14ac:dyDescent="0.3">
      <c r="A247" s="1310" t="s">
        <v>1493</v>
      </c>
      <c r="B247" s="1310" t="s">
        <v>1487</v>
      </c>
      <c r="C247" s="1310" t="s">
        <v>1492</v>
      </c>
      <c r="D247" s="1310" t="s">
        <v>1485</v>
      </c>
      <c r="E247" s="1310" t="s">
        <v>1631</v>
      </c>
      <c r="F247" s="1310" t="s">
        <v>1654</v>
      </c>
      <c r="G247" s="1310" t="s">
        <v>1455</v>
      </c>
      <c r="H247" s="1310" t="s">
        <v>1461</v>
      </c>
      <c r="I247" s="1310" t="s">
        <v>1631</v>
      </c>
      <c r="J247" s="1310" t="s">
        <v>1461</v>
      </c>
      <c r="K247" s="1310" t="s">
        <v>1654</v>
      </c>
      <c r="L247" s="1310" t="s">
        <v>1459</v>
      </c>
      <c r="M247" s="1310" t="s">
        <v>1459</v>
      </c>
      <c r="N247" s="1310" t="s">
        <v>1475</v>
      </c>
      <c r="O247" s="1310" t="s">
        <v>1455</v>
      </c>
      <c r="P247" s="1310" t="s">
        <v>1654</v>
      </c>
      <c r="Q247" s="1310" t="s">
        <v>1455</v>
      </c>
      <c r="R247" s="1310" t="s">
        <v>1455</v>
      </c>
      <c r="S247" s="1310" t="s">
        <v>1461</v>
      </c>
      <c r="T247" s="1310" t="s">
        <v>1461</v>
      </c>
      <c r="U247" s="1310" t="s">
        <v>1654</v>
      </c>
      <c r="V247" s="1310" t="s">
        <v>1473</v>
      </c>
      <c r="W247" s="1310" t="s">
        <v>1631</v>
      </c>
      <c r="X247" s="1310" t="s">
        <v>1459</v>
      </c>
      <c r="Y247" s="1310" t="s">
        <v>1475</v>
      </c>
      <c r="Z247" s="1310" t="s">
        <v>1493</v>
      </c>
      <c r="AA247" s="1310" t="s">
        <v>1461</v>
      </c>
      <c r="AB247" s="1310" t="s">
        <v>1532</v>
      </c>
      <c r="AC247" s="1310" t="s">
        <v>1473</v>
      </c>
      <c r="AD247" s="1310" t="s">
        <v>1459</v>
      </c>
      <c r="AE247" s="1310" t="s">
        <v>1455</v>
      </c>
      <c r="AF247" s="1310" t="s">
        <v>1449</v>
      </c>
    </row>
    <row r="248" spans="1:32" x14ac:dyDescent="0.3">
      <c r="A248" s="1310" t="s">
        <v>1459</v>
      </c>
      <c r="B248" s="1310" t="s">
        <v>1515</v>
      </c>
      <c r="C248" s="1310" t="s">
        <v>1476</v>
      </c>
      <c r="D248" s="1310" t="s">
        <v>1447</v>
      </c>
      <c r="E248" s="1310" t="s">
        <v>1483</v>
      </c>
      <c r="F248" s="1310" t="s">
        <v>1481</v>
      </c>
      <c r="G248" s="1310" t="s">
        <v>1451</v>
      </c>
      <c r="H248" s="1310" t="s">
        <v>1451</v>
      </c>
      <c r="I248" s="1310" t="s">
        <v>1491</v>
      </c>
      <c r="J248" s="1310" t="s">
        <v>1633</v>
      </c>
      <c r="K248" s="1310" t="s">
        <v>1460</v>
      </c>
      <c r="L248" s="1310" t="s">
        <v>1448</v>
      </c>
      <c r="M248" s="1310" t="s">
        <v>1564</v>
      </c>
      <c r="N248" s="1310" t="s">
        <v>1448</v>
      </c>
      <c r="O248" s="1310" t="s">
        <v>1484</v>
      </c>
      <c r="P248" s="1310" t="s">
        <v>1520</v>
      </c>
      <c r="Q248" s="1310" t="s">
        <v>1482</v>
      </c>
      <c r="R248" s="1310" t="s">
        <v>1536</v>
      </c>
      <c r="S248" s="1310" t="s">
        <v>1474</v>
      </c>
      <c r="T248" s="1310" t="s">
        <v>1532</v>
      </c>
      <c r="U248" s="1310" t="s">
        <v>1542</v>
      </c>
      <c r="V248" s="1310" t="s">
        <v>1483</v>
      </c>
      <c r="W248" s="1310" t="s">
        <v>1475</v>
      </c>
      <c r="X248" s="1310" t="s">
        <v>1484</v>
      </c>
      <c r="Y248" s="1310" t="s">
        <v>1479</v>
      </c>
      <c r="Z248" s="1310" t="s">
        <v>1573</v>
      </c>
      <c r="AA248" s="1310" t="s">
        <v>1536</v>
      </c>
      <c r="AB248" s="1310" t="s">
        <v>1627</v>
      </c>
      <c r="AC248" s="1310" t="s">
        <v>1515</v>
      </c>
      <c r="AD248" s="1310" t="s">
        <v>1447</v>
      </c>
      <c r="AE248" s="1310" t="s">
        <v>1483</v>
      </c>
      <c r="AF248" s="1310" t="s">
        <v>1481</v>
      </c>
    </row>
    <row r="249" spans="1:32" x14ac:dyDescent="0.3">
      <c r="A249" s="1310" t="s">
        <v>1486</v>
      </c>
      <c r="B249" s="1310" t="s">
        <v>1473</v>
      </c>
      <c r="C249" s="1310" t="s">
        <v>1448</v>
      </c>
      <c r="D249" s="1310" t="s">
        <v>1473</v>
      </c>
      <c r="E249" s="1310" t="s">
        <v>1491</v>
      </c>
      <c r="F249" s="1310" t="s">
        <v>1487</v>
      </c>
      <c r="G249" s="1310" t="s">
        <v>1455</v>
      </c>
      <c r="H249" s="1310" t="s">
        <v>1631</v>
      </c>
      <c r="I249" s="1310" t="s">
        <v>1475</v>
      </c>
      <c r="J249" s="1310" t="s">
        <v>1631</v>
      </c>
      <c r="K249" s="1310" t="s">
        <v>1493</v>
      </c>
      <c r="L249" s="1310" t="s">
        <v>1473</v>
      </c>
      <c r="M249" s="1310" t="s">
        <v>1574</v>
      </c>
      <c r="N249" s="1310" t="s">
        <v>1654</v>
      </c>
      <c r="O249" s="1310" t="s">
        <v>1520</v>
      </c>
      <c r="P249" s="1310" t="s">
        <v>1461</v>
      </c>
      <c r="Q249" s="1310" t="s">
        <v>1494</v>
      </c>
      <c r="R249" s="1310" t="s">
        <v>1532</v>
      </c>
      <c r="S249" s="1310" t="s">
        <v>1654</v>
      </c>
      <c r="T249" s="1310" t="s">
        <v>1461</v>
      </c>
      <c r="U249" s="1310" t="s">
        <v>1532</v>
      </c>
      <c r="V249" s="1310" t="s">
        <v>1493</v>
      </c>
      <c r="W249" s="1310" t="s">
        <v>1449</v>
      </c>
      <c r="X249" s="1310" t="s">
        <v>1654</v>
      </c>
      <c r="Y249" s="1310" t="s">
        <v>1455</v>
      </c>
      <c r="Z249" s="1310" t="s">
        <v>1461</v>
      </c>
      <c r="AA249" s="1310" t="s">
        <v>1494</v>
      </c>
      <c r="AB249" s="1310" t="s">
        <v>1455</v>
      </c>
      <c r="AC249" s="1310" t="s">
        <v>1654</v>
      </c>
      <c r="AD249" s="1310" t="s">
        <v>1492</v>
      </c>
      <c r="AE249" s="1310" t="s">
        <v>1494</v>
      </c>
      <c r="AF249" s="1310" t="s">
        <v>1493</v>
      </c>
    </row>
    <row r="250" spans="1:32" x14ac:dyDescent="0.3">
      <c r="A250" s="1310" t="s">
        <v>1539</v>
      </c>
      <c r="B250" s="1310" t="s">
        <v>1539</v>
      </c>
      <c r="C250" s="1310" t="s">
        <v>1485</v>
      </c>
      <c r="D250" s="1310" t="s">
        <v>1455</v>
      </c>
      <c r="E250" s="1310" t="s">
        <v>1461</v>
      </c>
      <c r="F250" s="1310" t="s">
        <v>1473</v>
      </c>
      <c r="G250" s="1310" t="s">
        <v>1473</v>
      </c>
      <c r="H250" s="1310" t="s">
        <v>1461</v>
      </c>
      <c r="I250" s="1310" t="s">
        <v>1493</v>
      </c>
      <c r="J250" s="1310" t="s">
        <v>1515</v>
      </c>
      <c r="K250" s="1310" t="s">
        <v>1608</v>
      </c>
      <c r="L250" s="1310" t="s">
        <v>1476</v>
      </c>
      <c r="M250" s="1310" t="s">
        <v>1660</v>
      </c>
      <c r="N250" s="1310" t="s">
        <v>1447</v>
      </c>
      <c r="O250" s="1310" t="s">
        <v>1483</v>
      </c>
      <c r="P250" s="1310" t="s">
        <v>1481</v>
      </c>
      <c r="Q250" s="1310" t="s">
        <v>1451</v>
      </c>
      <c r="R250" s="1310" t="s">
        <v>1451</v>
      </c>
      <c r="S250" s="1310" t="s">
        <v>1491</v>
      </c>
      <c r="T250" s="1310" t="s">
        <v>1498</v>
      </c>
      <c r="U250" s="1310" t="s">
        <v>1448</v>
      </c>
      <c r="V250" s="1310" t="s">
        <v>1480</v>
      </c>
      <c r="W250" s="1310" t="s">
        <v>1479</v>
      </c>
      <c r="X250" s="1310" t="s">
        <v>1474</v>
      </c>
      <c r="Y250" s="1310" t="s">
        <v>1460</v>
      </c>
      <c r="Z250" s="1310" t="s">
        <v>1585</v>
      </c>
      <c r="AA250" s="1310" t="s">
        <v>1608</v>
      </c>
      <c r="AB250" s="1310" t="s">
        <v>1476</v>
      </c>
      <c r="AC250" s="1310" t="s">
        <v>1660</v>
      </c>
      <c r="AD250" s="1310" t="s">
        <v>1460</v>
      </c>
      <c r="AE250" s="1310" t="s">
        <v>1473</v>
      </c>
      <c r="AF250" s="1310" t="s">
        <v>1449</v>
      </c>
    </row>
    <row r="251" spans="1:32" x14ac:dyDescent="0.3">
      <c r="A251" s="1310" t="s">
        <v>1491</v>
      </c>
      <c r="B251" s="1310" t="s">
        <v>1530</v>
      </c>
      <c r="C251" s="1310" t="s">
        <v>1475</v>
      </c>
      <c r="D251" s="1310" t="s">
        <v>1521</v>
      </c>
      <c r="E251" s="1310" t="s">
        <v>1608</v>
      </c>
      <c r="F251" s="1310" t="s">
        <v>1476</v>
      </c>
      <c r="G251" s="1310" t="s">
        <v>1660</v>
      </c>
      <c r="H251" s="1310" t="s">
        <v>1460</v>
      </c>
      <c r="I251" s="1310" t="s">
        <v>1473</v>
      </c>
      <c r="J251" s="1310" t="s">
        <v>1449</v>
      </c>
      <c r="K251" s="1310" t="s">
        <v>1491</v>
      </c>
      <c r="L251" s="1310" t="s">
        <v>1482</v>
      </c>
      <c r="M251" s="1310" t="s">
        <v>1448</v>
      </c>
      <c r="N251" s="1310" t="s">
        <v>1476</v>
      </c>
      <c r="O251" s="1310" t="s">
        <v>1480</v>
      </c>
      <c r="P251" s="1310" t="s">
        <v>1479</v>
      </c>
      <c r="Q251" s="1310" t="s">
        <v>1446</v>
      </c>
      <c r="R251" s="1310" t="s">
        <v>1554</v>
      </c>
      <c r="S251" s="1310" t="s">
        <v>1479</v>
      </c>
      <c r="T251" s="1310" t="s">
        <v>1491</v>
      </c>
      <c r="U251" s="1310" t="s">
        <v>1520</v>
      </c>
      <c r="V251" s="1310" t="s">
        <v>1532</v>
      </c>
      <c r="W251" s="1310" t="s">
        <v>1479</v>
      </c>
      <c r="X251" s="1310" t="s">
        <v>1448</v>
      </c>
      <c r="Y251" s="1310" t="s">
        <v>1474</v>
      </c>
      <c r="Z251" s="1310" t="s">
        <v>1484</v>
      </c>
      <c r="AA251" s="1310" t="s">
        <v>1627</v>
      </c>
      <c r="AB251" s="1310" t="s">
        <v>1515</v>
      </c>
      <c r="AC251" s="1310" t="s">
        <v>1532</v>
      </c>
      <c r="AD251" s="1310" t="s">
        <v>1460</v>
      </c>
      <c r="AE251" s="1310" t="s">
        <v>1475</v>
      </c>
      <c r="AF251" s="1310" t="s">
        <v>1520</v>
      </c>
    </row>
    <row r="252" spans="1:32" x14ac:dyDescent="0.3">
      <c r="A252" s="1310" t="s">
        <v>1479</v>
      </c>
      <c r="B252" s="1310" t="s">
        <v>1475</v>
      </c>
      <c r="C252" s="1310" t="s">
        <v>1473</v>
      </c>
      <c r="D252" s="1310" t="s">
        <v>1515</v>
      </c>
      <c r="E252" s="1310" t="s">
        <v>1476</v>
      </c>
      <c r="F252" s="1310" t="s">
        <v>1480</v>
      </c>
      <c r="G252" s="1310" t="s">
        <v>1479</v>
      </c>
      <c r="H252" s="1310" t="s">
        <v>1446</v>
      </c>
      <c r="I252" s="1310" t="s">
        <v>1554</v>
      </c>
      <c r="J252" s="1310" t="s">
        <v>1479</v>
      </c>
      <c r="K252" s="1310" t="s">
        <v>1491</v>
      </c>
      <c r="L252" s="1310" t="s">
        <v>1448</v>
      </c>
      <c r="M252" s="1310" t="s">
        <v>1484</v>
      </c>
      <c r="N252" s="1310" t="s">
        <v>1480</v>
      </c>
      <c r="O252" s="1310" t="s">
        <v>1479</v>
      </c>
      <c r="P252" s="1310" t="s">
        <v>1520</v>
      </c>
      <c r="Q252" s="1310" t="s">
        <v>1484</v>
      </c>
      <c r="R252" s="1310" t="s">
        <v>1532</v>
      </c>
      <c r="S252" s="1310" t="s">
        <v>1475</v>
      </c>
      <c r="T252" s="1310" t="s">
        <v>1573</v>
      </c>
      <c r="U252" s="1310" t="s">
        <v>1536</v>
      </c>
      <c r="V252" s="1310" t="s">
        <v>1627</v>
      </c>
      <c r="W252" s="1310" t="s">
        <v>1515</v>
      </c>
      <c r="X252" s="1310" t="s">
        <v>1447</v>
      </c>
      <c r="Y252" s="1310" t="s">
        <v>1483</v>
      </c>
      <c r="Z252" s="1310" t="s">
        <v>1481</v>
      </c>
      <c r="AA252" s="1310" t="s">
        <v>1486</v>
      </c>
      <c r="AB252" s="1310" t="s">
        <v>1448</v>
      </c>
      <c r="AC252" s="1310" t="s">
        <v>1448</v>
      </c>
      <c r="AD252" s="1310" t="s">
        <v>1473</v>
      </c>
      <c r="AE252" s="1310" t="s">
        <v>1491</v>
      </c>
      <c r="AF252" s="1310" t="s">
        <v>1487</v>
      </c>
    </row>
    <row r="253" spans="1:32" x14ac:dyDescent="0.3">
      <c r="A253" s="1310" t="s">
        <v>1455</v>
      </c>
      <c r="B253" s="1310" t="s">
        <v>1631</v>
      </c>
      <c r="C253" s="1310" t="s">
        <v>1475</v>
      </c>
      <c r="D253" s="1310" t="s">
        <v>1631</v>
      </c>
      <c r="E253" s="1310" t="s">
        <v>1493</v>
      </c>
      <c r="F253" s="1310" t="s">
        <v>1473</v>
      </c>
      <c r="G253" s="1310" t="s">
        <v>1574</v>
      </c>
      <c r="H253" s="1310" t="s">
        <v>1654</v>
      </c>
      <c r="I253" s="1310" t="s">
        <v>1520</v>
      </c>
      <c r="J253" s="1310" t="s">
        <v>1461</v>
      </c>
      <c r="K253" s="1310" t="s">
        <v>1494</v>
      </c>
      <c r="L253" s="1310" t="s">
        <v>1532</v>
      </c>
      <c r="M253" s="1310" t="s">
        <v>1654</v>
      </c>
      <c r="N253" s="1310" t="s">
        <v>1461</v>
      </c>
      <c r="O253" s="1310" t="s">
        <v>1532</v>
      </c>
      <c r="P253" s="1310" t="s">
        <v>1493</v>
      </c>
      <c r="Q253" s="1310" t="s">
        <v>1449</v>
      </c>
      <c r="R253" s="1310" t="s">
        <v>1654</v>
      </c>
      <c r="S253" s="1310" t="s">
        <v>1455</v>
      </c>
      <c r="T253" s="1310" t="s">
        <v>1461</v>
      </c>
      <c r="U253" s="1310" t="s">
        <v>1494</v>
      </c>
      <c r="V253" s="1310" t="s">
        <v>1455</v>
      </c>
      <c r="W253" s="1310" t="s">
        <v>1654</v>
      </c>
      <c r="X253" s="1310" t="s">
        <v>1492</v>
      </c>
      <c r="Y253" s="1310" t="s">
        <v>1494</v>
      </c>
      <c r="Z253" s="1310" t="s">
        <v>1493</v>
      </c>
      <c r="AA253" s="1310" t="s">
        <v>1539</v>
      </c>
      <c r="AB253" s="1310" t="s">
        <v>1539</v>
      </c>
      <c r="AC253" s="1310" t="s">
        <v>1485</v>
      </c>
      <c r="AD253" s="1310" t="s">
        <v>1455</v>
      </c>
      <c r="AE253" s="1310" t="s">
        <v>1461</v>
      </c>
      <c r="AF253" s="1310" t="s">
        <v>1473</v>
      </c>
    </row>
    <row r="254" spans="1:32" x14ac:dyDescent="0.3">
      <c r="A254" s="1310" t="s">
        <v>1473</v>
      </c>
      <c r="B254" s="1310" t="s">
        <v>1461</v>
      </c>
      <c r="C254" s="1310" t="s">
        <v>1493</v>
      </c>
      <c r="D254" s="1310" t="s">
        <v>1515</v>
      </c>
      <c r="E254" s="1310" t="s">
        <v>1476</v>
      </c>
      <c r="F254" s="1310" t="s">
        <v>1480</v>
      </c>
      <c r="G254" s="1310" t="s">
        <v>1479</v>
      </c>
      <c r="H254" s="1310" t="s">
        <v>1446</v>
      </c>
      <c r="I254" s="1310" t="s">
        <v>1554</v>
      </c>
      <c r="J254" s="1310" t="s">
        <v>1479</v>
      </c>
      <c r="K254" s="1310" t="s">
        <v>1491</v>
      </c>
      <c r="L254" s="1310" t="s">
        <v>1489</v>
      </c>
      <c r="M254" s="1310" t="s">
        <v>1478</v>
      </c>
      <c r="N254" s="1310" t="s">
        <v>1475</v>
      </c>
      <c r="O254" s="1310" t="s">
        <v>1484</v>
      </c>
      <c r="P254" s="1310" t="s">
        <v>1627</v>
      </c>
      <c r="Q254" s="1310" t="s">
        <v>1515</v>
      </c>
      <c r="R254" s="1310" t="s">
        <v>1461</v>
      </c>
      <c r="S254" s="1310" t="s">
        <v>1487</v>
      </c>
      <c r="T254" s="1310" t="s">
        <v>1461</v>
      </c>
      <c r="U254" s="1310" t="s">
        <v>1459</v>
      </c>
      <c r="V254" s="1310" t="s">
        <v>1654</v>
      </c>
      <c r="W254" s="1310" t="s">
        <v>1487</v>
      </c>
      <c r="X254" s="1310" t="s">
        <v>1492</v>
      </c>
      <c r="Y254" s="1310" t="s">
        <v>1654</v>
      </c>
      <c r="Z254" s="1310" t="s">
        <v>1459</v>
      </c>
      <c r="AA254" s="1310" t="s">
        <v>1459</v>
      </c>
      <c r="AB254" s="1310" t="s">
        <v>1538</v>
      </c>
      <c r="AC254" s="1310" t="s">
        <v>1461</v>
      </c>
      <c r="AD254" s="1310" t="s">
        <v>1459</v>
      </c>
      <c r="AE254" s="1310" t="s">
        <v>1491</v>
      </c>
      <c r="AF254" s="1310" t="s">
        <v>1493</v>
      </c>
    </row>
    <row r="255" spans="1:32" x14ac:dyDescent="0.3">
      <c r="A255" s="1310" t="s">
        <v>1485</v>
      </c>
      <c r="B255" s="1310" t="s">
        <v>1491</v>
      </c>
      <c r="C255" s="1310" t="s">
        <v>1494</v>
      </c>
      <c r="D255" s="1310" t="s">
        <v>1494</v>
      </c>
      <c r="E255" s="1310" t="s">
        <v>1657</v>
      </c>
      <c r="F255" s="1310" t="s">
        <v>1487</v>
      </c>
      <c r="G255" s="1310" t="s">
        <v>1461</v>
      </c>
      <c r="H255" s="1310" t="s">
        <v>1491</v>
      </c>
      <c r="I255" s="1310" t="s">
        <v>1487</v>
      </c>
      <c r="J255" s="1310" t="s">
        <v>1487</v>
      </c>
      <c r="K255" s="1310" t="s">
        <v>1515</v>
      </c>
      <c r="L255" s="1310" t="s">
        <v>1476</v>
      </c>
      <c r="M255" s="1310" t="s">
        <v>1480</v>
      </c>
      <c r="N255" s="1310" t="s">
        <v>1479</v>
      </c>
      <c r="O255" s="1310" t="s">
        <v>1446</v>
      </c>
      <c r="P255" s="1310" t="s">
        <v>1554</v>
      </c>
      <c r="Q255" s="1310" t="s">
        <v>1479</v>
      </c>
      <c r="R255" s="1310" t="s">
        <v>1491</v>
      </c>
      <c r="S255" s="1310" t="s">
        <v>1480</v>
      </c>
      <c r="T255" s="1310" t="s">
        <v>1474</v>
      </c>
      <c r="U255" s="1310" t="s">
        <v>1449</v>
      </c>
      <c r="V255" s="1310" t="s">
        <v>1479</v>
      </c>
      <c r="W255" s="1310" t="s">
        <v>1489</v>
      </c>
      <c r="X255" s="1310" t="s">
        <v>1520</v>
      </c>
      <c r="Y255" s="1310" t="s">
        <v>1460</v>
      </c>
      <c r="Z255" s="1310" t="s">
        <v>1475</v>
      </c>
      <c r="AA255" s="1310" t="s">
        <v>1472</v>
      </c>
      <c r="AB255" s="1310" t="s">
        <v>1564</v>
      </c>
      <c r="AC255" s="1310" t="s">
        <v>1475</v>
      </c>
      <c r="AD255" s="1310" t="s">
        <v>1484</v>
      </c>
      <c r="AE255" s="1310" t="s">
        <v>1479</v>
      </c>
      <c r="AF255" s="1310" t="s">
        <v>1627</v>
      </c>
    </row>
    <row r="256" spans="1:32" x14ac:dyDescent="0.3">
      <c r="A256" s="1310" t="s">
        <v>1515</v>
      </c>
      <c r="B256" s="1310" t="s">
        <v>1472</v>
      </c>
      <c r="C256" s="1310" t="s">
        <v>1473</v>
      </c>
      <c r="D256" s="1310" t="s">
        <v>1474</v>
      </c>
      <c r="E256" s="1310" t="s">
        <v>1455</v>
      </c>
      <c r="F256" s="1310" t="s">
        <v>1475</v>
      </c>
      <c r="G256" s="1310" t="s">
        <v>1476</v>
      </c>
      <c r="H256" s="1310" t="s">
        <v>1477</v>
      </c>
      <c r="I256" s="1310" t="s">
        <v>1478</v>
      </c>
      <c r="J256" s="1310" t="s">
        <v>1474</v>
      </c>
      <c r="K256" s="1310" t="s">
        <v>1479</v>
      </c>
      <c r="L256" s="1310" t="s">
        <v>1474</v>
      </c>
      <c r="M256" s="1310" t="s">
        <v>1480</v>
      </c>
      <c r="N256" s="1310" t="s">
        <v>1478</v>
      </c>
      <c r="O256" s="1310" t="s">
        <v>1474</v>
      </c>
      <c r="P256" s="1310" t="s">
        <v>1481</v>
      </c>
      <c r="Q256" s="1310" t="s">
        <v>1476</v>
      </c>
      <c r="R256" s="1310" t="s">
        <v>1446</v>
      </c>
      <c r="S256" s="1310" t="s">
        <v>1482</v>
      </c>
      <c r="T256" s="1310" t="s">
        <v>1475</v>
      </c>
      <c r="U256" s="1310" t="s">
        <v>1483</v>
      </c>
      <c r="V256" s="1310" t="s">
        <v>1475</v>
      </c>
      <c r="W256" s="1310" t="s">
        <v>1484</v>
      </c>
      <c r="X256" s="1310" t="s">
        <v>1479</v>
      </c>
      <c r="Y256" s="1310" t="s">
        <v>1480</v>
      </c>
      <c r="Z256" s="1310" t="s">
        <v>1476</v>
      </c>
      <c r="AA256" s="1310" t="s">
        <v>1459</v>
      </c>
      <c r="AB256" s="1310" t="s">
        <v>1485</v>
      </c>
      <c r="AC256" s="1310" t="s">
        <v>1486</v>
      </c>
      <c r="AD256" s="1310" t="s">
        <v>1487</v>
      </c>
      <c r="AE256" s="1310" t="s">
        <v>1476</v>
      </c>
      <c r="AF256" s="1310" t="s">
        <v>1458</v>
      </c>
    </row>
    <row r="257" spans="1:32" x14ac:dyDescent="0.3">
      <c r="A257" s="1310" t="s">
        <v>1488</v>
      </c>
      <c r="B257" s="1310" t="s">
        <v>1448</v>
      </c>
      <c r="C257" s="1310" t="s">
        <v>1484</v>
      </c>
      <c r="D257" s="1310" t="s">
        <v>1473</v>
      </c>
      <c r="E257" s="1310" t="s">
        <v>1474</v>
      </c>
      <c r="F257" s="1310" t="s">
        <v>1489</v>
      </c>
      <c r="G257" s="1310" t="s">
        <v>1480</v>
      </c>
      <c r="H257" s="1310" t="s">
        <v>1490</v>
      </c>
      <c r="I257" s="1310" t="s">
        <v>1515</v>
      </c>
      <c r="J257" s="1310" t="s">
        <v>1645</v>
      </c>
      <c r="K257" s="1310" t="s">
        <v>1608</v>
      </c>
      <c r="L257" s="1310" t="s">
        <v>1476</v>
      </c>
      <c r="M257" s="1310" t="s">
        <v>1660</v>
      </c>
      <c r="N257" s="1310" t="s">
        <v>1460</v>
      </c>
      <c r="O257" s="1310" t="s">
        <v>1473</v>
      </c>
      <c r="P257" s="1310" t="s">
        <v>1449</v>
      </c>
      <c r="Q257" s="1310" t="s">
        <v>1491</v>
      </c>
      <c r="R257" s="1310" t="s">
        <v>1482</v>
      </c>
      <c r="S257" s="1310" t="s">
        <v>1448</v>
      </c>
      <c r="T257" s="1310" t="s">
        <v>1476</v>
      </c>
      <c r="U257" s="1310" t="s">
        <v>1480</v>
      </c>
      <c r="V257" s="1310" t="s">
        <v>1479</v>
      </c>
      <c r="W257" s="1310" t="s">
        <v>1446</v>
      </c>
      <c r="X257" s="1310" t="s">
        <v>1554</v>
      </c>
      <c r="Y257" s="1310" t="s">
        <v>1479</v>
      </c>
      <c r="Z257" s="1310" t="s">
        <v>1491</v>
      </c>
      <c r="AA257" s="1310" t="s">
        <v>1520</v>
      </c>
      <c r="AB257" s="1310" t="s">
        <v>1532</v>
      </c>
      <c r="AC257" s="1310" t="s">
        <v>1479</v>
      </c>
      <c r="AD257" s="1310" t="s">
        <v>1448</v>
      </c>
      <c r="AE257" s="1310" t="s">
        <v>1474</v>
      </c>
      <c r="AF257" s="1310" t="s">
        <v>1484</v>
      </c>
    </row>
    <row r="258" spans="1:32" x14ac:dyDescent="0.3">
      <c r="A258" s="1310" t="s">
        <v>1627</v>
      </c>
      <c r="B258" s="1310" t="s">
        <v>1515</v>
      </c>
      <c r="C258" s="1310" t="s">
        <v>1532</v>
      </c>
      <c r="D258" s="1310" t="s">
        <v>1474</v>
      </c>
      <c r="E258" s="1310" t="s">
        <v>1484</v>
      </c>
      <c r="F258" s="1310" t="s">
        <v>1554</v>
      </c>
      <c r="G258" s="1310" t="s">
        <v>1475</v>
      </c>
      <c r="H258" s="1310" t="s">
        <v>1460</v>
      </c>
      <c r="I258" s="1310" t="s">
        <v>1479</v>
      </c>
      <c r="J258" s="1310" t="s">
        <v>1475</v>
      </c>
      <c r="K258" s="1310" t="s">
        <v>1473</v>
      </c>
      <c r="L258" s="1310" t="s">
        <v>1515</v>
      </c>
      <c r="M258" s="1310" t="s">
        <v>1476</v>
      </c>
      <c r="N258" s="1310" t="s">
        <v>1480</v>
      </c>
      <c r="O258" s="1310" t="s">
        <v>1479</v>
      </c>
      <c r="P258" s="1310" t="s">
        <v>1446</v>
      </c>
      <c r="Q258" s="1310" t="s">
        <v>1554</v>
      </c>
      <c r="R258" s="1310" t="s">
        <v>1479</v>
      </c>
      <c r="S258" s="1310" t="s">
        <v>1491</v>
      </c>
      <c r="T258" s="1310" t="s">
        <v>1481</v>
      </c>
      <c r="U258" s="1310" t="s">
        <v>1520</v>
      </c>
      <c r="V258" s="1310" t="s">
        <v>1460</v>
      </c>
      <c r="W258" s="1310" t="s">
        <v>1520</v>
      </c>
      <c r="X258" s="1310" t="s">
        <v>1483</v>
      </c>
      <c r="Y258" s="1310" t="s">
        <v>1475</v>
      </c>
      <c r="Z258" s="1310" t="s">
        <v>1479</v>
      </c>
      <c r="AA258" s="1310" t="s">
        <v>1475</v>
      </c>
      <c r="AB258" s="1310" t="s">
        <v>1460</v>
      </c>
      <c r="AC258" s="1310" t="s">
        <v>1480</v>
      </c>
      <c r="AD258" s="1310" t="s">
        <v>1627</v>
      </c>
      <c r="AE258" s="1310" t="s">
        <v>1515</v>
      </c>
      <c r="AF258" s="1310" t="s">
        <v>1449</v>
      </c>
    </row>
    <row r="259" spans="1:32" x14ac:dyDescent="0.3">
      <c r="A259" s="1310" t="s">
        <v>1460</v>
      </c>
      <c r="B259" s="1310" t="s">
        <v>1474</v>
      </c>
      <c r="C259" s="1310" t="s">
        <v>1483</v>
      </c>
      <c r="D259" s="1310" t="s">
        <v>1476</v>
      </c>
      <c r="E259" s="1310" t="s">
        <v>1448</v>
      </c>
      <c r="F259" s="1310" t="s">
        <v>1483</v>
      </c>
      <c r="G259" s="1310" t="s">
        <v>1520</v>
      </c>
      <c r="H259" s="1310" t="s">
        <v>1564</v>
      </c>
      <c r="I259" s="1310" t="s">
        <v>1475</v>
      </c>
      <c r="J259" s="1310" t="s">
        <v>1645</v>
      </c>
      <c r="K259" s="1310" t="s">
        <v>1481</v>
      </c>
      <c r="L259" s="1310" t="s">
        <v>1484</v>
      </c>
      <c r="M259" s="1310" t="s">
        <v>1564</v>
      </c>
      <c r="N259" s="1310" t="s">
        <v>1476</v>
      </c>
      <c r="O259" s="1310" t="s">
        <v>1479</v>
      </c>
      <c r="P259" s="1310" t="s">
        <v>1474</v>
      </c>
      <c r="Q259" s="1310" t="s">
        <v>1476</v>
      </c>
      <c r="R259" s="1310" t="s">
        <v>1448</v>
      </c>
      <c r="S259" s="1310" t="s">
        <v>1483</v>
      </c>
      <c r="T259" s="1310" t="s">
        <v>1520</v>
      </c>
      <c r="U259" s="1310" t="s">
        <v>1564</v>
      </c>
      <c r="V259" s="1310" t="s">
        <v>1475</v>
      </c>
      <c r="W259" s="1310" t="s">
        <v>1645</v>
      </c>
      <c r="X259" s="1310" t="s">
        <v>1457</v>
      </c>
      <c r="Y259" s="1310" t="s">
        <v>1481</v>
      </c>
      <c r="Z259" s="1310" t="s">
        <v>1475</v>
      </c>
      <c r="AA259" s="1310" t="s">
        <v>1564</v>
      </c>
      <c r="AB259" s="1310" t="s">
        <v>1515</v>
      </c>
      <c r="AC259" s="1310" t="s">
        <v>1645</v>
      </c>
      <c r="AD259" s="1310" t="s">
        <v>1608</v>
      </c>
      <c r="AE259" s="1310" t="s">
        <v>1476</v>
      </c>
      <c r="AF259" s="1310" t="s">
        <v>1660</v>
      </c>
    </row>
    <row r="260" spans="1:32" x14ac:dyDescent="0.3">
      <c r="A260" s="1310" t="s">
        <v>1460</v>
      </c>
      <c r="B260" s="1310" t="s">
        <v>1473</v>
      </c>
      <c r="C260" s="1310" t="s">
        <v>1449</v>
      </c>
      <c r="D260" s="1310" t="s">
        <v>1491</v>
      </c>
      <c r="E260" s="1310" t="s">
        <v>1482</v>
      </c>
      <c r="F260" s="1310" t="s">
        <v>1448</v>
      </c>
      <c r="G260" s="1310" t="s">
        <v>1476</v>
      </c>
      <c r="H260" s="1310" t="s">
        <v>1480</v>
      </c>
      <c r="I260" s="1310" t="s">
        <v>1479</v>
      </c>
      <c r="J260" s="1310" t="s">
        <v>1446</v>
      </c>
      <c r="K260" s="1310" t="s">
        <v>1554</v>
      </c>
      <c r="L260" s="1310" t="s">
        <v>1479</v>
      </c>
      <c r="M260" s="1310" t="s">
        <v>1491</v>
      </c>
      <c r="N260" s="1310" t="s">
        <v>1520</v>
      </c>
      <c r="O260" s="1310" t="s">
        <v>1532</v>
      </c>
      <c r="P260" s="1310" t="s">
        <v>1479</v>
      </c>
      <c r="Q260" s="1310" t="s">
        <v>1448</v>
      </c>
      <c r="R260" s="1310" t="s">
        <v>1474</v>
      </c>
      <c r="S260" s="1310" t="s">
        <v>1484</v>
      </c>
      <c r="T260" s="1310" t="s">
        <v>1627</v>
      </c>
      <c r="U260" s="1310" t="s">
        <v>1515</v>
      </c>
      <c r="V260" s="1310" t="s">
        <v>1480</v>
      </c>
      <c r="W260" s="1310" t="s">
        <v>1520</v>
      </c>
      <c r="X260" s="1310" t="s">
        <v>1554</v>
      </c>
      <c r="Y260" s="1310" t="s">
        <v>1475</v>
      </c>
      <c r="Z260" s="1310" t="s">
        <v>1473</v>
      </c>
      <c r="AA260" s="1310" t="s">
        <v>1515</v>
      </c>
      <c r="AB260" s="1310" t="s">
        <v>1476</v>
      </c>
      <c r="AC260" s="1310" t="s">
        <v>1480</v>
      </c>
      <c r="AD260" s="1310" t="s">
        <v>1479</v>
      </c>
      <c r="AE260" s="1310" t="s">
        <v>1446</v>
      </c>
      <c r="AF260" s="1310" t="s">
        <v>1554</v>
      </c>
    </row>
    <row r="261" spans="1:32" x14ac:dyDescent="0.3">
      <c r="A261" s="1310" t="s">
        <v>1479</v>
      </c>
      <c r="B261" s="1310" t="s">
        <v>1491</v>
      </c>
      <c r="C261" s="1310" t="s">
        <v>1448</v>
      </c>
      <c r="D261" s="1310" t="s">
        <v>1484</v>
      </c>
      <c r="E261" s="1310" t="s">
        <v>1480</v>
      </c>
      <c r="F261" s="1310" t="s">
        <v>1479</v>
      </c>
      <c r="G261" s="1310" t="s">
        <v>1520</v>
      </c>
      <c r="H261" s="1310" t="s">
        <v>1484</v>
      </c>
      <c r="I261" s="1310" t="s">
        <v>1532</v>
      </c>
      <c r="J261" s="1310" t="s">
        <v>1475</v>
      </c>
      <c r="K261" s="1310" t="s">
        <v>1573</v>
      </c>
      <c r="L261" s="1310" t="s">
        <v>1536</v>
      </c>
      <c r="M261" s="1310" t="s">
        <v>1627</v>
      </c>
      <c r="N261" s="1310" t="s">
        <v>1515</v>
      </c>
      <c r="O261" s="1310" t="s">
        <v>1447</v>
      </c>
      <c r="P261" s="1310" t="s">
        <v>1483</v>
      </c>
      <c r="Q261" s="1310" t="s">
        <v>1481</v>
      </c>
      <c r="R261" s="1310" t="s">
        <v>1486</v>
      </c>
      <c r="S261" s="1310" t="s">
        <v>1448</v>
      </c>
      <c r="T261" s="1310" t="s">
        <v>1448</v>
      </c>
      <c r="U261" s="1310" t="s">
        <v>1473</v>
      </c>
      <c r="V261" s="1310" t="s">
        <v>1491</v>
      </c>
      <c r="W261" s="1310" t="s">
        <v>1459</v>
      </c>
      <c r="X261" s="1310" t="s">
        <v>1459</v>
      </c>
      <c r="Y261" s="1310" t="s">
        <v>1459</v>
      </c>
      <c r="Z261" s="1310" t="s">
        <v>1473</v>
      </c>
      <c r="AA261" s="1310" t="s">
        <v>1520</v>
      </c>
      <c r="AB261" s="1310" t="s">
        <v>1487</v>
      </c>
      <c r="AC261" s="1310" t="s">
        <v>1631</v>
      </c>
      <c r="AD261" s="1310" t="s">
        <v>1520</v>
      </c>
      <c r="AE261" s="1310" t="s">
        <v>1654</v>
      </c>
      <c r="AF261" s="1310" t="s">
        <v>1493</v>
      </c>
    </row>
    <row r="262" spans="1:32" x14ac:dyDescent="0.3">
      <c r="A262" s="1310" t="s">
        <v>1485</v>
      </c>
      <c r="B262" s="1310" t="s">
        <v>1455</v>
      </c>
      <c r="C262" s="1310" t="s">
        <v>1461</v>
      </c>
      <c r="D262" s="1310" t="s">
        <v>1654</v>
      </c>
      <c r="E262" s="1310" t="s">
        <v>1475</v>
      </c>
      <c r="F262" s="1310" t="s">
        <v>1631</v>
      </c>
      <c r="G262" s="1310" t="s">
        <v>1493</v>
      </c>
      <c r="H262" s="1310" t="s">
        <v>1449</v>
      </c>
      <c r="I262" s="1310" t="s">
        <v>1654</v>
      </c>
      <c r="J262" s="1310" t="s">
        <v>1455</v>
      </c>
      <c r="K262" s="1310" t="s">
        <v>1493</v>
      </c>
      <c r="L262" s="1310" t="s">
        <v>1574</v>
      </c>
      <c r="M262" s="1310" t="s">
        <v>1493</v>
      </c>
      <c r="N262" s="1310" t="s">
        <v>1654</v>
      </c>
      <c r="O262" s="1310" t="s">
        <v>1475</v>
      </c>
      <c r="P262" s="1310" t="s">
        <v>1532</v>
      </c>
      <c r="Q262" s="1310" t="s">
        <v>1461</v>
      </c>
      <c r="R262" s="1310" t="s">
        <v>1494</v>
      </c>
      <c r="S262" s="1310" t="s">
        <v>1455</v>
      </c>
      <c r="T262" s="1310" t="s">
        <v>1493</v>
      </c>
      <c r="U262" s="1310" t="s">
        <v>1487</v>
      </c>
      <c r="V262" s="1310" t="s">
        <v>1455</v>
      </c>
      <c r="W262" s="1310" t="s">
        <v>1485</v>
      </c>
      <c r="X262" s="1310" t="s">
        <v>1532</v>
      </c>
      <c r="Y262" s="1310" t="s">
        <v>1475</v>
      </c>
      <c r="Z262" s="1310" t="s">
        <v>1449</v>
      </c>
      <c r="AA262" s="1310" t="s">
        <v>1515</v>
      </c>
      <c r="AB262" s="1310" t="s">
        <v>1476</v>
      </c>
      <c r="AC262" s="1310" t="s">
        <v>1480</v>
      </c>
      <c r="AD262" s="1310" t="s">
        <v>1479</v>
      </c>
      <c r="AE262" s="1310" t="s">
        <v>1446</v>
      </c>
      <c r="AF262" s="1310" t="s">
        <v>1554</v>
      </c>
    </row>
    <row r="263" spans="1:32" x14ac:dyDescent="0.3">
      <c r="A263" s="1310" t="s">
        <v>1479</v>
      </c>
      <c r="B263" s="1310" t="s">
        <v>1491</v>
      </c>
      <c r="C263" s="1310" t="s">
        <v>1489</v>
      </c>
      <c r="D263" s="1310" t="s">
        <v>1478</v>
      </c>
      <c r="E263" s="1310" t="s">
        <v>1475</v>
      </c>
      <c r="F263" s="1310" t="s">
        <v>1484</v>
      </c>
      <c r="G263" s="1310" t="s">
        <v>1627</v>
      </c>
      <c r="H263" s="1310" t="s">
        <v>1515</v>
      </c>
      <c r="I263" s="1310" t="s">
        <v>1461</v>
      </c>
      <c r="J263" s="1310" t="s">
        <v>1487</v>
      </c>
      <c r="K263" s="1310" t="s">
        <v>1461</v>
      </c>
      <c r="L263" s="1310" t="s">
        <v>1459</v>
      </c>
      <c r="M263" s="1310" t="s">
        <v>1654</v>
      </c>
      <c r="N263" s="1310" t="s">
        <v>1487</v>
      </c>
      <c r="O263" s="1310" t="s">
        <v>1492</v>
      </c>
      <c r="P263" s="1310" t="s">
        <v>1654</v>
      </c>
      <c r="Q263" s="1310" t="s">
        <v>1459</v>
      </c>
      <c r="R263" s="1310" t="s">
        <v>1459</v>
      </c>
      <c r="S263" s="1310" t="s">
        <v>1538</v>
      </c>
      <c r="T263" s="1310" t="s">
        <v>1461</v>
      </c>
      <c r="U263" s="1310" t="s">
        <v>1459</v>
      </c>
      <c r="V263" s="1310" t="s">
        <v>1491</v>
      </c>
      <c r="W263" s="1310" t="s">
        <v>1492</v>
      </c>
      <c r="X263" s="1310" t="s">
        <v>1461</v>
      </c>
      <c r="Y263" s="1310" t="s">
        <v>1491</v>
      </c>
      <c r="Z263" s="1310" t="s">
        <v>1493</v>
      </c>
      <c r="AA263" s="1310" t="s">
        <v>1494</v>
      </c>
      <c r="AB263" s="1310" t="s">
        <v>1657</v>
      </c>
      <c r="AC263" s="1310" t="s">
        <v>1487</v>
      </c>
      <c r="AD263" s="1310" t="s">
        <v>1461</v>
      </c>
      <c r="AE263" s="1310" t="s">
        <v>1491</v>
      </c>
      <c r="AF263" s="1310" t="s">
        <v>1487</v>
      </c>
    </row>
    <row r="264" spans="1:32" x14ac:dyDescent="0.3">
      <c r="A264" s="1310" t="s">
        <v>1487</v>
      </c>
      <c r="B264" s="1310" t="s">
        <v>1515</v>
      </c>
      <c r="C264" s="1310" t="s">
        <v>1476</v>
      </c>
      <c r="D264" s="1310" t="s">
        <v>1480</v>
      </c>
      <c r="E264" s="1310" t="s">
        <v>1479</v>
      </c>
      <c r="F264" s="1310" t="s">
        <v>1446</v>
      </c>
      <c r="G264" s="1310" t="s">
        <v>1554</v>
      </c>
      <c r="H264" s="1310" t="s">
        <v>1479</v>
      </c>
      <c r="I264" s="1310" t="s">
        <v>1491</v>
      </c>
      <c r="J264" s="1310" t="s">
        <v>1480</v>
      </c>
      <c r="K264" s="1310" t="s">
        <v>1474</v>
      </c>
      <c r="L264" s="1310" t="s">
        <v>1449</v>
      </c>
      <c r="M264" s="1310" t="s">
        <v>1479</v>
      </c>
      <c r="N264" s="1310" t="s">
        <v>1489</v>
      </c>
      <c r="O264" s="1310" t="s">
        <v>1520</v>
      </c>
      <c r="P264" s="1310" t="s">
        <v>1460</v>
      </c>
      <c r="Q264" s="1310" t="s">
        <v>1475</v>
      </c>
      <c r="R264" s="1310" t="s">
        <v>1472</v>
      </c>
      <c r="S264" s="1310" t="s">
        <v>1564</v>
      </c>
      <c r="T264" s="1310" t="s">
        <v>1475</v>
      </c>
      <c r="U264" s="1310" t="s">
        <v>1484</v>
      </c>
      <c r="V264" s="1310" t="s">
        <v>1479</v>
      </c>
      <c r="W264" s="1310" t="s">
        <v>1627</v>
      </c>
      <c r="X264" s="1310" t="s">
        <v>1515</v>
      </c>
      <c r="Y264" s="1310" t="s">
        <v>1472</v>
      </c>
      <c r="Z264" s="1310" t="s">
        <v>1473</v>
      </c>
      <c r="AA264" s="1310" t="s">
        <v>1474</v>
      </c>
      <c r="AB264" s="1310" t="s">
        <v>1455</v>
      </c>
      <c r="AC264" s="1310" t="s">
        <v>1475</v>
      </c>
      <c r="AD264" s="1310" t="s">
        <v>1476</v>
      </c>
      <c r="AE264" s="1310" t="s">
        <v>1477</v>
      </c>
      <c r="AF264" s="1310" t="s">
        <v>1478</v>
      </c>
    </row>
    <row r="265" spans="1:32" x14ac:dyDescent="0.3">
      <c r="A265" s="1310" t="s">
        <v>1474</v>
      </c>
      <c r="B265" s="1310" t="s">
        <v>1479</v>
      </c>
      <c r="C265" s="1310" t="s">
        <v>1474</v>
      </c>
      <c r="D265" s="1310" t="s">
        <v>1480</v>
      </c>
      <c r="E265" s="1310" t="s">
        <v>1478</v>
      </c>
      <c r="F265" s="1310" t="s">
        <v>1474</v>
      </c>
      <c r="G265" s="1310" t="s">
        <v>1481</v>
      </c>
      <c r="H265" s="1310" t="s">
        <v>1476</v>
      </c>
      <c r="I265" s="1310" t="s">
        <v>1446</v>
      </c>
      <c r="J265" s="1310" t="s">
        <v>1482</v>
      </c>
      <c r="K265" s="1310" t="s">
        <v>1475</v>
      </c>
      <c r="L265" s="1310" t="s">
        <v>1483</v>
      </c>
      <c r="M265" s="1310" t="s">
        <v>1475</v>
      </c>
      <c r="N265" s="1310" t="s">
        <v>1484</v>
      </c>
      <c r="O265" s="1310" t="s">
        <v>1479</v>
      </c>
      <c r="P265" s="1310" t="s">
        <v>1480</v>
      </c>
      <c r="Q265" s="1310" t="s">
        <v>1476</v>
      </c>
      <c r="R265" s="1310" t="s">
        <v>1459</v>
      </c>
      <c r="S265" s="1310" t="s">
        <v>1485</v>
      </c>
      <c r="T265" s="1310" t="s">
        <v>1486</v>
      </c>
      <c r="U265" s="1310" t="s">
        <v>1487</v>
      </c>
      <c r="V265" s="1310" t="s">
        <v>1476</v>
      </c>
      <c r="W265" s="1310" t="s">
        <v>1458</v>
      </c>
      <c r="X265" s="1310" t="s">
        <v>1488</v>
      </c>
      <c r="Y265" s="1310" t="s">
        <v>1448</v>
      </c>
      <c r="Z265" s="1310" t="s">
        <v>1484</v>
      </c>
      <c r="AA265" s="1310" t="s">
        <v>1473</v>
      </c>
      <c r="AB265" s="1310" t="s">
        <v>1474</v>
      </c>
      <c r="AC265" s="1310" t="s">
        <v>1489</v>
      </c>
      <c r="AD265" s="1310" t="s">
        <v>1480</v>
      </c>
      <c r="AE265" s="1310" t="s">
        <v>1490</v>
      </c>
      <c r="AF265" s="1310" t="s">
        <v>1515</v>
      </c>
    </row>
    <row r="266" spans="1:32" x14ac:dyDescent="0.3">
      <c r="A266" s="1310" t="s">
        <v>1476</v>
      </c>
      <c r="B266" s="1310" t="s">
        <v>1480</v>
      </c>
      <c r="C266" s="1310" t="s">
        <v>1479</v>
      </c>
      <c r="D266" s="1310" t="s">
        <v>1446</v>
      </c>
      <c r="E266" s="1310" t="s">
        <v>1554</v>
      </c>
      <c r="F266" s="1310" t="s">
        <v>1479</v>
      </c>
      <c r="G266" s="1310" t="s">
        <v>1491</v>
      </c>
      <c r="H266" s="1310" t="s">
        <v>1532</v>
      </c>
      <c r="I266" s="1310" t="s">
        <v>1478</v>
      </c>
      <c r="J266" s="1310" t="s">
        <v>1520</v>
      </c>
      <c r="K266" s="1310" t="s">
        <v>1484</v>
      </c>
      <c r="L266" s="1310" t="s">
        <v>1564</v>
      </c>
      <c r="M266" s="1310" t="s">
        <v>1475</v>
      </c>
      <c r="N266" s="1310" t="s">
        <v>1473</v>
      </c>
      <c r="O266" s="1310" t="s">
        <v>1627</v>
      </c>
      <c r="P266" s="1310" t="s">
        <v>1515</v>
      </c>
      <c r="Q266" s="1310" t="s">
        <v>1645</v>
      </c>
      <c r="R266" s="1310" t="s">
        <v>1515</v>
      </c>
      <c r="S266" s="1310" t="s">
        <v>1645</v>
      </c>
      <c r="T266" s="1310" t="s">
        <v>1608</v>
      </c>
      <c r="U266" s="1310" t="s">
        <v>1476</v>
      </c>
      <c r="V266" s="1310" t="s">
        <v>1660</v>
      </c>
      <c r="W266" s="1310" t="s">
        <v>1645</v>
      </c>
      <c r="X266" s="1310" t="s">
        <v>1460</v>
      </c>
      <c r="Y266" s="1310" t="s">
        <v>1473</v>
      </c>
      <c r="Z266" s="1310" t="s">
        <v>1449</v>
      </c>
      <c r="AA266" s="1310" t="s">
        <v>1491</v>
      </c>
      <c r="AB266" s="1310" t="s">
        <v>1530</v>
      </c>
      <c r="AC266" s="1310" t="s">
        <v>1475</v>
      </c>
      <c r="AD266" s="1310" t="s">
        <v>1521</v>
      </c>
      <c r="AE266" s="1310" t="s">
        <v>1608</v>
      </c>
      <c r="AF266" s="1310" t="s">
        <v>1476</v>
      </c>
    </row>
    <row r="267" spans="1:32" x14ac:dyDescent="0.3">
      <c r="A267" s="1310" t="s">
        <v>1660</v>
      </c>
      <c r="B267" s="1310" t="s">
        <v>1645</v>
      </c>
      <c r="C267" s="1310" t="s">
        <v>1447</v>
      </c>
      <c r="D267" s="1310" t="s">
        <v>1483</v>
      </c>
      <c r="E267" s="1310" t="s">
        <v>1481</v>
      </c>
      <c r="F267" s="1310" t="s">
        <v>1451</v>
      </c>
      <c r="G267" s="1310" t="s">
        <v>1451</v>
      </c>
      <c r="H267" s="1310" t="s">
        <v>1491</v>
      </c>
      <c r="I267" s="1310" t="s">
        <v>1498</v>
      </c>
      <c r="J267" s="1310" t="s">
        <v>1448</v>
      </c>
      <c r="K267" s="1310" t="s">
        <v>1480</v>
      </c>
      <c r="L267" s="1310" t="s">
        <v>1479</v>
      </c>
      <c r="M267" s="1310" t="s">
        <v>1474</v>
      </c>
      <c r="N267" s="1310" t="s">
        <v>1460</v>
      </c>
      <c r="O267" s="1310" t="s">
        <v>1585</v>
      </c>
      <c r="P267" s="1310" t="s">
        <v>1608</v>
      </c>
      <c r="Q267" s="1310" t="s">
        <v>1476</v>
      </c>
      <c r="R267" s="1310" t="s">
        <v>1660</v>
      </c>
      <c r="S267" s="1310" t="s">
        <v>1645</v>
      </c>
      <c r="T267" s="1310" t="s">
        <v>1460</v>
      </c>
      <c r="U267" s="1310" t="s">
        <v>1473</v>
      </c>
      <c r="V267" s="1310" t="s">
        <v>1449</v>
      </c>
      <c r="W267" s="1310" t="s">
        <v>1491</v>
      </c>
      <c r="X267" s="1310" t="s">
        <v>1536</v>
      </c>
      <c r="Y267" s="1310" t="s">
        <v>1475</v>
      </c>
      <c r="Z267" s="1310" t="s">
        <v>1480</v>
      </c>
      <c r="AA267" s="1310" t="s">
        <v>1532</v>
      </c>
      <c r="AB267" s="1310" t="s">
        <v>1460</v>
      </c>
      <c r="AC267" s="1310" t="s">
        <v>1448</v>
      </c>
      <c r="AD267" s="1310" t="s">
        <v>1481</v>
      </c>
      <c r="AE267" s="1310" t="s">
        <v>1479</v>
      </c>
      <c r="AF267" s="1310" t="s">
        <v>1448</v>
      </c>
    </row>
    <row r="268" spans="1:32" x14ac:dyDescent="0.3">
      <c r="A268" s="1310" t="s">
        <v>1474</v>
      </c>
      <c r="B268" s="1310" t="s">
        <v>1484</v>
      </c>
      <c r="C268" s="1310" t="s">
        <v>1608</v>
      </c>
      <c r="D268" s="1310" t="s">
        <v>1476</v>
      </c>
      <c r="E268" s="1310" t="s">
        <v>1660</v>
      </c>
      <c r="F268" s="1310" t="s">
        <v>1645</v>
      </c>
      <c r="G268" s="1310" t="s">
        <v>1460</v>
      </c>
      <c r="H268" s="1310" t="s">
        <v>1473</v>
      </c>
      <c r="I268" s="1310" t="s">
        <v>1449</v>
      </c>
      <c r="J268" s="1310" t="s">
        <v>1491</v>
      </c>
      <c r="K268" s="1310" t="s">
        <v>1527</v>
      </c>
      <c r="L268" s="1310" t="s">
        <v>1536</v>
      </c>
      <c r="M268" s="1310" t="s">
        <v>1543</v>
      </c>
      <c r="N268" s="1310" t="s">
        <v>1608</v>
      </c>
      <c r="O268" s="1310" t="s">
        <v>1476</v>
      </c>
      <c r="P268" s="1310" t="s">
        <v>1660</v>
      </c>
      <c r="Q268" s="1310" t="s">
        <v>1645</v>
      </c>
      <c r="R268" s="1310" t="s">
        <v>1447</v>
      </c>
      <c r="S268" s="1310" t="s">
        <v>1491</v>
      </c>
      <c r="T268" s="1310" t="s">
        <v>1447</v>
      </c>
      <c r="U268" s="1310" t="s">
        <v>1483</v>
      </c>
      <c r="V268" s="1310" t="s">
        <v>1481</v>
      </c>
      <c r="W268" s="1310" t="s">
        <v>1483</v>
      </c>
      <c r="X268" s="1310" t="s">
        <v>1475</v>
      </c>
      <c r="Y268" s="1310" t="s">
        <v>1479</v>
      </c>
      <c r="Z268" s="1310" t="s">
        <v>1520</v>
      </c>
      <c r="AA268" s="1310" t="s">
        <v>1608</v>
      </c>
      <c r="AB268" s="1310" t="s">
        <v>1476</v>
      </c>
      <c r="AC268" s="1310" t="s">
        <v>1476</v>
      </c>
      <c r="AD268" s="1310" t="s">
        <v>1476</v>
      </c>
      <c r="AE268" s="1310" t="s">
        <v>1476</v>
      </c>
      <c r="AF268" s="1310" t="s">
        <v>1476</v>
      </c>
    </row>
    <row r="269" spans="1:32" x14ac:dyDescent="0.3">
      <c r="A269" s="1310" t="s">
        <v>1476</v>
      </c>
      <c r="B269" s="1310" t="s">
        <v>1476</v>
      </c>
      <c r="C269" s="1310" t="s">
        <v>1476</v>
      </c>
      <c r="D269" s="1310" t="s">
        <v>1476</v>
      </c>
      <c r="E269" s="1310" t="s">
        <v>1476</v>
      </c>
      <c r="F269" s="1310" t="s">
        <v>1476</v>
      </c>
      <c r="G269" s="1310" t="s">
        <v>1476</v>
      </c>
      <c r="H269" s="1310" t="s">
        <v>1476</v>
      </c>
      <c r="I269" s="1310" t="s">
        <v>1476</v>
      </c>
      <c r="J269" s="1310" t="s">
        <v>1476</v>
      </c>
      <c r="K269" s="1310" t="s">
        <v>1476</v>
      </c>
      <c r="L269" s="1310" t="s">
        <v>1476</v>
      </c>
      <c r="M269" s="1310" t="s">
        <v>1476</v>
      </c>
      <c r="N269" s="1310" t="s">
        <v>1476</v>
      </c>
      <c r="O269" s="1310" t="s">
        <v>1476</v>
      </c>
      <c r="P269" s="1310" t="s">
        <v>1476</v>
      </c>
      <c r="Q269" s="1310" t="s">
        <v>1476</v>
      </c>
      <c r="R269" s="1310" t="s">
        <v>1476</v>
      </c>
      <c r="S269" s="1310" t="s">
        <v>1476</v>
      </c>
      <c r="T269" s="1310" t="s">
        <v>1476</v>
      </c>
      <c r="U269" s="1310" t="s">
        <v>1476</v>
      </c>
      <c r="V269" s="1310" t="s">
        <v>1476</v>
      </c>
      <c r="W269" s="1310" t="s">
        <v>1476</v>
      </c>
      <c r="X269" s="1310" t="s">
        <v>1476</v>
      </c>
      <c r="Y269" s="1310" t="s">
        <v>1476</v>
      </c>
      <c r="Z269" s="1310" t="s">
        <v>1476</v>
      </c>
      <c r="AA269" s="1310" t="s">
        <v>1476</v>
      </c>
      <c r="AB269" s="1310" t="s">
        <v>1476</v>
      </c>
      <c r="AC269" s="1310" t="s">
        <v>1476</v>
      </c>
      <c r="AD269" s="1310" t="s">
        <v>1476</v>
      </c>
      <c r="AE269" s="1310" t="s">
        <v>1476</v>
      </c>
      <c r="AF269" s="1310" t="s">
        <v>1476</v>
      </c>
    </row>
    <row r="270" spans="1:32" x14ac:dyDescent="0.3">
      <c r="A270" s="1310" t="s">
        <v>1476</v>
      </c>
      <c r="B270" s="1310" t="s">
        <v>1476</v>
      </c>
      <c r="C270" s="1310" t="s">
        <v>1476</v>
      </c>
      <c r="D270" s="1310" t="s">
        <v>1476</v>
      </c>
      <c r="E270" s="1310" t="s">
        <v>1476</v>
      </c>
      <c r="F270" s="1310" t="s">
        <v>1476</v>
      </c>
      <c r="G270" s="1310" t="s">
        <v>1476</v>
      </c>
      <c r="H270" s="1310" t="s">
        <v>1476</v>
      </c>
      <c r="I270" s="1310" t="s">
        <v>1476</v>
      </c>
      <c r="J270" s="1310" t="s">
        <v>1476</v>
      </c>
      <c r="K270" s="1310" t="s">
        <v>1476</v>
      </c>
      <c r="L270" s="1310" t="s">
        <v>1476</v>
      </c>
      <c r="M270" s="1310" t="s">
        <v>1476</v>
      </c>
      <c r="N270" s="1310" t="s">
        <v>1476</v>
      </c>
      <c r="O270" s="1310" t="s">
        <v>1476</v>
      </c>
      <c r="P270" s="1310" t="s">
        <v>1476</v>
      </c>
      <c r="Q270" s="1310" t="s">
        <v>1476</v>
      </c>
      <c r="R270" s="1310" t="s">
        <v>1476</v>
      </c>
      <c r="S270" s="1310" t="s">
        <v>1476</v>
      </c>
      <c r="T270" s="1310" t="s">
        <v>1476</v>
      </c>
      <c r="U270" s="1310" t="s">
        <v>1476</v>
      </c>
      <c r="V270" s="1310" t="s">
        <v>1476</v>
      </c>
      <c r="W270" s="1310" t="s">
        <v>1476</v>
      </c>
      <c r="X270" s="1310" t="s">
        <v>1476</v>
      </c>
      <c r="Y270" s="1310" t="s">
        <v>1476</v>
      </c>
      <c r="Z270" s="1310" t="s">
        <v>1476</v>
      </c>
      <c r="AA270" s="1310" t="s">
        <v>1476</v>
      </c>
      <c r="AB270" s="1310" t="s">
        <v>1476</v>
      </c>
      <c r="AC270" s="1310" t="s">
        <v>1476</v>
      </c>
      <c r="AD270" s="1310" t="s">
        <v>1476</v>
      </c>
      <c r="AE270" s="1310" t="s">
        <v>1476</v>
      </c>
      <c r="AF270" s="1310" t="s">
        <v>1476</v>
      </c>
    </row>
    <row r="271" spans="1:32" x14ac:dyDescent="0.3">
      <c r="A271" s="1310" t="s">
        <v>1476</v>
      </c>
      <c r="B271" s="1310" t="s">
        <v>1476</v>
      </c>
      <c r="C271" s="1310" t="s">
        <v>1476</v>
      </c>
      <c r="D271" s="1310" t="s">
        <v>1476</v>
      </c>
      <c r="E271" s="1310" t="s">
        <v>1476</v>
      </c>
      <c r="F271" s="1310" t="s">
        <v>1476</v>
      </c>
      <c r="G271" s="1310" t="s">
        <v>1476</v>
      </c>
      <c r="H271" s="1310" t="s">
        <v>1476</v>
      </c>
      <c r="I271" s="1310" t="s">
        <v>1476</v>
      </c>
      <c r="J271" s="1310" t="s">
        <v>1476</v>
      </c>
      <c r="K271" s="1310" t="s">
        <v>1476</v>
      </c>
      <c r="L271" s="1310" t="s">
        <v>1476</v>
      </c>
      <c r="M271" s="1310" t="s">
        <v>1476</v>
      </c>
      <c r="N271" s="1310" t="s">
        <v>1476</v>
      </c>
      <c r="O271" s="1310" t="s">
        <v>1476</v>
      </c>
      <c r="P271" s="1310" t="s">
        <v>1476</v>
      </c>
      <c r="Q271" s="1310" t="s">
        <v>1476</v>
      </c>
      <c r="R271" s="1310" t="s">
        <v>1476</v>
      </c>
      <c r="S271" s="1310" t="s">
        <v>1476</v>
      </c>
      <c r="T271" s="1310" t="s">
        <v>1476</v>
      </c>
      <c r="U271" s="1310" t="s">
        <v>1476</v>
      </c>
      <c r="V271" s="1310" t="s">
        <v>1476</v>
      </c>
      <c r="W271" s="1310" t="s">
        <v>1476</v>
      </c>
      <c r="X271" s="1310" t="s">
        <v>1476</v>
      </c>
      <c r="Y271" s="1310" t="s">
        <v>1476</v>
      </c>
      <c r="Z271" s="1310" t="s">
        <v>1476</v>
      </c>
      <c r="AA271" s="1310" t="s">
        <v>1476</v>
      </c>
      <c r="AB271" s="1310" t="s">
        <v>1476</v>
      </c>
      <c r="AC271" s="1310" t="s">
        <v>1476</v>
      </c>
      <c r="AD271" s="1310" t="s">
        <v>1476</v>
      </c>
      <c r="AE271" s="1310" t="s">
        <v>1476</v>
      </c>
      <c r="AF271" s="1310" t="s">
        <v>1476</v>
      </c>
    </row>
    <row r="272" spans="1:32" x14ac:dyDescent="0.3">
      <c r="A272" s="1310" t="s">
        <v>1476</v>
      </c>
      <c r="B272" s="1310" t="s">
        <v>1476</v>
      </c>
      <c r="C272" s="1310" t="s">
        <v>1476</v>
      </c>
      <c r="D272" s="1310" t="s">
        <v>1476</v>
      </c>
      <c r="E272" s="1310" t="s">
        <v>1476</v>
      </c>
      <c r="F272" s="1310" t="s">
        <v>1476</v>
      </c>
      <c r="G272" s="1310" t="s">
        <v>1476</v>
      </c>
      <c r="H272" s="1310" t="s">
        <v>1476</v>
      </c>
      <c r="I272" s="1310" t="s">
        <v>1476</v>
      </c>
      <c r="J272" s="1310" t="s">
        <v>1476</v>
      </c>
      <c r="K272" s="1310" t="s">
        <v>1476</v>
      </c>
      <c r="L272" s="1310" t="s">
        <v>1476</v>
      </c>
      <c r="M272" s="1310" t="s">
        <v>1476</v>
      </c>
      <c r="N272" s="1310" t="s">
        <v>1476</v>
      </c>
      <c r="O272" s="1310" t="s">
        <v>1476</v>
      </c>
      <c r="P272" s="1310" t="s">
        <v>1476</v>
      </c>
      <c r="Q272" s="1310" t="s">
        <v>1476</v>
      </c>
      <c r="R272" s="1310" t="s">
        <v>1476</v>
      </c>
      <c r="S272" s="1310" t="s">
        <v>1476</v>
      </c>
      <c r="T272" s="1310" t="s">
        <v>1476</v>
      </c>
      <c r="U272" s="1310" t="s">
        <v>1476</v>
      </c>
      <c r="V272" s="1310" t="s">
        <v>1476</v>
      </c>
      <c r="W272" s="1310" t="s">
        <v>1476</v>
      </c>
      <c r="X272" s="1310" t="s">
        <v>1476</v>
      </c>
      <c r="Y272" s="1310" t="s">
        <v>1476</v>
      </c>
      <c r="Z272" s="1310" t="s">
        <v>1476</v>
      </c>
      <c r="AA272" s="1310" t="s">
        <v>1476</v>
      </c>
      <c r="AB272" s="1310" t="s">
        <v>1476</v>
      </c>
      <c r="AC272" s="1310" t="s">
        <v>1476</v>
      </c>
      <c r="AD272" s="1310" t="s">
        <v>1476</v>
      </c>
      <c r="AE272" s="1310" t="s">
        <v>1476</v>
      </c>
      <c r="AF272" s="1310" t="s">
        <v>1476</v>
      </c>
    </row>
    <row r="273" spans="1:32" x14ac:dyDescent="0.3">
      <c r="A273" s="1310" t="s">
        <v>1476</v>
      </c>
      <c r="B273" s="1310" t="s">
        <v>1476</v>
      </c>
      <c r="C273" s="1310" t="s">
        <v>1476</v>
      </c>
      <c r="D273" s="1310" t="s">
        <v>1476</v>
      </c>
      <c r="E273" s="1310" t="s">
        <v>1476</v>
      </c>
      <c r="F273" s="1310" t="s">
        <v>1476</v>
      </c>
      <c r="G273" s="1310" t="s">
        <v>1476</v>
      </c>
      <c r="H273" s="1310" t="s">
        <v>1476</v>
      </c>
      <c r="I273" s="1310" t="s">
        <v>1476</v>
      </c>
      <c r="J273" s="1310" t="s">
        <v>1476</v>
      </c>
      <c r="K273" s="1310" t="s">
        <v>1476</v>
      </c>
      <c r="L273" s="1310" t="s">
        <v>1476</v>
      </c>
      <c r="M273" s="1310" t="s">
        <v>1476</v>
      </c>
      <c r="N273" s="1310" t="s">
        <v>1476</v>
      </c>
      <c r="O273" s="1310" t="s">
        <v>1476</v>
      </c>
      <c r="P273" s="1310" t="s">
        <v>1476</v>
      </c>
      <c r="Q273" s="1310" t="s">
        <v>1476</v>
      </c>
      <c r="R273" s="1310" t="s">
        <v>1476</v>
      </c>
      <c r="S273" s="1310" t="s">
        <v>1476</v>
      </c>
      <c r="T273" s="1310" t="s">
        <v>1476</v>
      </c>
      <c r="U273" s="1310" t="s">
        <v>1476</v>
      </c>
      <c r="V273" s="1310" t="s">
        <v>1476</v>
      </c>
      <c r="W273" s="1310" t="s">
        <v>1476</v>
      </c>
      <c r="X273" s="1310" t="s">
        <v>1476</v>
      </c>
      <c r="Y273" s="1310" t="s">
        <v>1476</v>
      </c>
      <c r="Z273" s="1310" t="s">
        <v>1476</v>
      </c>
      <c r="AA273" s="1310" t="s">
        <v>1476</v>
      </c>
      <c r="AB273" s="1310" t="s">
        <v>1476</v>
      </c>
      <c r="AC273" s="1310" t="s">
        <v>1476</v>
      </c>
      <c r="AD273" s="1310" t="s">
        <v>1476</v>
      </c>
      <c r="AE273" s="1310" t="s">
        <v>1476</v>
      </c>
      <c r="AF273" s="1310" t="s">
        <v>1476</v>
      </c>
    </row>
    <row r="274" spans="1:32" x14ac:dyDescent="0.3">
      <c r="A274" s="1310" t="s">
        <v>1476</v>
      </c>
      <c r="B274" s="1310" t="s">
        <v>1476</v>
      </c>
      <c r="C274" s="1310" t="s">
        <v>1476</v>
      </c>
      <c r="D274" s="1310" t="s">
        <v>1476</v>
      </c>
      <c r="E274" s="1310" t="s">
        <v>1476</v>
      </c>
      <c r="F274" s="1310" t="s">
        <v>1476</v>
      </c>
      <c r="G274" s="1310" t="s">
        <v>1476</v>
      </c>
      <c r="H274" s="1310" t="s">
        <v>1476</v>
      </c>
      <c r="I274" s="1310" t="s">
        <v>1476</v>
      </c>
      <c r="J274" s="1310" t="s">
        <v>1476</v>
      </c>
      <c r="K274" s="1310" t="s">
        <v>1476</v>
      </c>
      <c r="L274" s="1310" t="s">
        <v>1476</v>
      </c>
      <c r="M274" s="1310" t="s">
        <v>1476</v>
      </c>
      <c r="N274" s="1310" t="s">
        <v>1476</v>
      </c>
      <c r="O274" s="1310" t="s">
        <v>1476</v>
      </c>
      <c r="P274" s="1310" t="s">
        <v>1476</v>
      </c>
      <c r="Q274" s="1310" t="s">
        <v>1476</v>
      </c>
      <c r="R274" s="1310" t="s">
        <v>1476</v>
      </c>
      <c r="S274" s="1310" t="s">
        <v>1476</v>
      </c>
      <c r="T274" s="1310" t="s">
        <v>1476</v>
      </c>
      <c r="U274" s="1310" t="s">
        <v>1476</v>
      </c>
      <c r="V274" s="1310" t="s">
        <v>1476</v>
      </c>
      <c r="W274" s="1310" t="s">
        <v>1476</v>
      </c>
      <c r="X274" s="1310" t="s">
        <v>1476</v>
      </c>
      <c r="Y274" s="1310" t="s">
        <v>1476</v>
      </c>
      <c r="Z274" s="1310" t="s">
        <v>1476</v>
      </c>
      <c r="AA274" s="1310" t="s">
        <v>1476</v>
      </c>
      <c r="AB274" s="1310" t="s">
        <v>1476</v>
      </c>
      <c r="AC274" s="1310" t="s">
        <v>1476</v>
      </c>
      <c r="AD274" s="1310" t="s">
        <v>1476</v>
      </c>
      <c r="AE274" s="1310" t="s">
        <v>1476</v>
      </c>
      <c r="AF274" s="1310" t="s">
        <v>1476</v>
      </c>
    </row>
    <row r="275" spans="1:32" x14ac:dyDescent="0.3">
      <c r="A275" s="1310" t="s">
        <v>1476</v>
      </c>
      <c r="B275" s="1310" t="s">
        <v>1476</v>
      </c>
      <c r="C275" s="1310" t="s">
        <v>1476</v>
      </c>
      <c r="D275" s="1310" t="s">
        <v>1476</v>
      </c>
      <c r="E275" s="1310" t="s">
        <v>1476</v>
      </c>
      <c r="F275" s="1310" t="s">
        <v>1476</v>
      </c>
      <c r="G275" s="1310" t="s">
        <v>1476</v>
      </c>
      <c r="H275" s="1310" t="s">
        <v>1476</v>
      </c>
      <c r="I275" s="1310" t="s">
        <v>1476</v>
      </c>
      <c r="J275" s="1310" t="s">
        <v>1476</v>
      </c>
      <c r="K275" s="1310" t="s">
        <v>1476</v>
      </c>
      <c r="L275" s="1310" t="s">
        <v>1476</v>
      </c>
      <c r="M275" s="1310" t="s">
        <v>1476</v>
      </c>
      <c r="N275" s="1310" t="s">
        <v>1476</v>
      </c>
      <c r="O275" s="1310" t="s">
        <v>1476</v>
      </c>
      <c r="P275" s="1310" t="s">
        <v>1476</v>
      </c>
      <c r="Q275" s="1310" t="s">
        <v>1476</v>
      </c>
      <c r="R275" s="1310" t="s">
        <v>1476</v>
      </c>
      <c r="S275" s="1310" t="s">
        <v>1476</v>
      </c>
      <c r="T275" s="1310" t="s">
        <v>1476</v>
      </c>
      <c r="U275" s="1310" t="s">
        <v>1476</v>
      </c>
      <c r="V275" s="1310" t="s">
        <v>1476</v>
      </c>
      <c r="W275" s="1310" t="s">
        <v>1476</v>
      </c>
      <c r="X275" s="1310" t="s">
        <v>1476</v>
      </c>
      <c r="Y275" s="1310" t="s">
        <v>1476</v>
      </c>
      <c r="Z275" s="1310" t="s">
        <v>1476</v>
      </c>
      <c r="AA275" s="1310" t="s">
        <v>1476</v>
      </c>
      <c r="AB275" s="1310" t="s">
        <v>1476</v>
      </c>
      <c r="AC275" s="1310" t="s">
        <v>1476</v>
      </c>
      <c r="AD275" s="1310" t="s">
        <v>1476</v>
      </c>
      <c r="AE275" s="1310" t="s">
        <v>1476</v>
      </c>
      <c r="AF275" s="1310" t="s">
        <v>1476</v>
      </c>
    </row>
    <row r="276" spans="1:32" x14ac:dyDescent="0.3">
      <c r="A276" s="1310" t="s">
        <v>1476</v>
      </c>
      <c r="B276" s="1310" t="s">
        <v>1476</v>
      </c>
      <c r="C276" s="1310" t="s">
        <v>1476</v>
      </c>
      <c r="D276" s="1310" t="s">
        <v>1476</v>
      </c>
      <c r="E276" s="1310" t="s">
        <v>1476</v>
      </c>
      <c r="F276" s="1310" t="s">
        <v>1476</v>
      </c>
      <c r="G276" s="1310" t="s">
        <v>1476</v>
      </c>
      <c r="H276" s="1310" t="s">
        <v>1476</v>
      </c>
      <c r="I276" s="1310" t="s">
        <v>1476</v>
      </c>
      <c r="J276" s="1310" t="s">
        <v>1476</v>
      </c>
      <c r="K276" s="1310" t="s">
        <v>1476</v>
      </c>
      <c r="L276" s="1310" t="s">
        <v>1476</v>
      </c>
      <c r="M276" s="1310" t="s">
        <v>1476</v>
      </c>
      <c r="N276" s="1310" t="s">
        <v>1476</v>
      </c>
      <c r="O276" s="1310" t="s">
        <v>1476</v>
      </c>
      <c r="P276" s="1310" t="s">
        <v>1476</v>
      </c>
      <c r="Q276" s="1310" t="s">
        <v>1476</v>
      </c>
      <c r="R276" s="1310" t="s">
        <v>1476</v>
      </c>
      <c r="S276" s="1310" t="s">
        <v>1476</v>
      </c>
      <c r="T276" s="1310" t="s">
        <v>1476</v>
      </c>
      <c r="U276" s="1310" t="s">
        <v>1476</v>
      </c>
      <c r="V276" s="1310" t="s">
        <v>1476</v>
      </c>
      <c r="W276" s="1310" t="s">
        <v>1476</v>
      </c>
      <c r="X276" s="1310" t="s">
        <v>1476</v>
      </c>
      <c r="Y276" s="1310" t="s">
        <v>1476</v>
      </c>
      <c r="Z276" s="1310" t="s">
        <v>1476</v>
      </c>
      <c r="AA276" s="1310" t="s">
        <v>1476</v>
      </c>
      <c r="AB276" s="1310" t="s">
        <v>1476</v>
      </c>
      <c r="AC276" s="1310" t="s">
        <v>1476</v>
      </c>
      <c r="AD276" s="1310" t="s">
        <v>1476</v>
      </c>
      <c r="AE276" s="1310" t="s">
        <v>1476</v>
      </c>
      <c r="AF276" s="1310" t="s">
        <v>1476</v>
      </c>
    </row>
    <row r="277" spans="1:32" x14ac:dyDescent="0.3">
      <c r="A277" s="1310" t="s">
        <v>1476</v>
      </c>
      <c r="B277" s="1310" t="s">
        <v>1476</v>
      </c>
      <c r="C277" s="1310" t="s">
        <v>1476</v>
      </c>
      <c r="D277" s="1310" t="s">
        <v>1476</v>
      </c>
      <c r="E277" s="1310" t="s">
        <v>1476</v>
      </c>
      <c r="F277" s="1310" t="s">
        <v>1476</v>
      </c>
      <c r="G277" s="1310" t="s">
        <v>1476</v>
      </c>
      <c r="H277" s="1310" t="s">
        <v>1476</v>
      </c>
      <c r="I277" s="1310" t="s">
        <v>1476</v>
      </c>
      <c r="J277" s="1310" t="s">
        <v>1476</v>
      </c>
      <c r="K277" s="1310" t="s">
        <v>1476</v>
      </c>
      <c r="L277" s="1310" t="s">
        <v>1476</v>
      </c>
      <c r="M277" s="1310" t="s">
        <v>1476</v>
      </c>
      <c r="N277" s="1310" t="s">
        <v>1476</v>
      </c>
      <c r="O277" s="1310" t="s">
        <v>1476</v>
      </c>
      <c r="P277" s="1310" t="s">
        <v>1476</v>
      </c>
      <c r="Q277" s="1310" t="s">
        <v>1476</v>
      </c>
      <c r="R277" s="1310" t="s">
        <v>1476</v>
      </c>
      <c r="S277" s="1310" t="s">
        <v>1476</v>
      </c>
      <c r="T277" s="1310" t="s">
        <v>1476</v>
      </c>
      <c r="U277" s="1310" t="s">
        <v>1476</v>
      </c>
      <c r="V277" s="1310" t="s">
        <v>1476</v>
      </c>
      <c r="W277" s="1310" t="s">
        <v>1476</v>
      </c>
      <c r="X277" s="1310" t="s">
        <v>1476</v>
      </c>
      <c r="Y277" s="1310" t="s">
        <v>1476</v>
      </c>
      <c r="Z277" s="1310" t="s">
        <v>1476</v>
      </c>
      <c r="AA277" s="1310" t="s">
        <v>1476</v>
      </c>
      <c r="AB277" s="1310" t="s">
        <v>1476</v>
      </c>
      <c r="AC277" s="1310" t="s">
        <v>1476</v>
      </c>
      <c r="AD277" s="1310" t="s">
        <v>1476</v>
      </c>
      <c r="AE277" s="1310" t="s">
        <v>1476</v>
      </c>
      <c r="AF277" s="1310" t="s">
        <v>1476</v>
      </c>
    </row>
    <row r="278" spans="1:32" x14ac:dyDescent="0.3">
      <c r="A278" s="1310" t="s">
        <v>1476</v>
      </c>
      <c r="B278" s="1310" t="s">
        <v>1476</v>
      </c>
      <c r="C278" s="1310" t="s">
        <v>1476</v>
      </c>
      <c r="D278" s="1310" t="s">
        <v>1476</v>
      </c>
      <c r="E278" s="1310" t="s">
        <v>1476</v>
      </c>
      <c r="F278" s="1310" t="s">
        <v>1476</v>
      </c>
      <c r="G278" s="1310" t="s">
        <v>1476</v>
      </c>
      <c r="H278" s="1310" t="s">
        <v>1476</v>
      </c>
      <c r="I278" s="1310" t="s">
        <v>1476</v>
      </c>
      <c r="J278" s="1310" t="s">
        <v>1476</v>
      </c>
      <c r="K278" s="1310" t="s">
        <v>1476</v>
      </c>
      <c r="L278" s="1310" t="s">
        <v>1476</v>
      </c>
      <c r="M278" s="1310" t="s">
        <v>1476</v>
      </c>
      <c r="N278" s="1310" t="s">
        <v>1476</v>
      </c>
      <c r="O278" s="1310" t="s">
        <v>1476</v>
      </c>
      <c r="P278" s="1310" t="s">
        <v>1476</v>
      </c>
      <c r="Q278" s="1310" t="s">
        <v>1476</v>
      </c>
      <c r="R278" s="1310" t="s">
        <v>1476</v>
      </c>
      <c r="S278" s="1310" t="s">
        <v>1476</v>
      </c>
      <c r="T278" s="1310" t="s">
        <v>1476</v>
      </c>
      <c r="U278" s="1310" t="s">
        <v>1476</v>
      </c>
      <c r="V278" s="1310" t="s">
        <v>1476</v>
      </c>
      <c r="W278" s="1310" t="s">
        <v>1476</v>
      </c>
      <c r="X278" s="1310" t="s">
        <v>1476</v>
      </c>
      <c r="Y278" s="1310" t="s">
        <v>1476</v>
      </c>
      <c r="Z278" s="1310" t="s">
        <v>1476</v>
      </c>
      <c r="AA278" s="1310" t="s">
        <v>1476</v>
      </c>
      <c r="AB278" s="1310" t="s">
        <v>1476</v>
      </c>
      <c r="AC278" s="1310" t="s">
        <v>1476</v>
      </c>
      <c r="AD278" s="1310" t="s">
        <v>1476</v>
      </c>
      <c r="AE278" s="1310" t="s">
        <v>1476</v>
      </c>
      <c r="AF278" s="1310" t="s">
        <v>1476</v>
      </c>
    </row>
    <row r="279" spans="1:32" x14ac:dyDescent="0.3">
      <c r="A279" s="1310" t="s">
        <v>1476</v>
      </c>
      <c r="B279" s="1310" t="s">
        <v>1476</v>
      </c>
      <c r="C279" s="1310" t="s">
        <v>1476</v>
      </c>
      <c r="D279" s="1310" t="s">
        <v>1476</v>
      </c>
      <c r="E279" s="1310" t="s">
        <v>1476</v>
      </c>
      <c r="F279" s="1310" t="s">
        <v>1476</v>
      </c>
      <c r="G279" s="1310" t="s">
        <v>1476</v>
      </c>
      <c r="H279" s="1310" t="s">
        <v>1476</v>
      </c>
      <c r="I279" s="1310" t="s">
        <v>1476</v>
      </c>
      <c r="J279" s="1310" t="s">
        <v>1476</v>
      </c>
      <c r="K279" s="1310" t="s">
        <v>1476</v>
      </c>
      <c r="L279" s="1310" t="s">
        <v>1476</v>
      </c>
      <c r="M279" s="1310" t="s">
        <v>1476</v>
      </c>
      <c r="N279" s="1310" t="s">
        <v>1476</v>
      </c>
      <c r="O279" s="1310" t="s">
        <v>1476</v>
      </c>
      <c r="P279" s="1310" t="s">
        <v>1476</v>
      </c>
      <c r="Q279" s="1310" t="s">
        <v>1476</v>
      </c>
      <c r="R279" s="1310" t="s">
        <v>1476</v>
      </c>
      <c r="S279" s="1310" t="s">
        <v>1476</v>
      </c>
      <c r="T279" s="1310" t="s">
        <v>1476</v>
      </c>
      <c r="U279" s="1310" t="s">
        <v>1476</v>
      </c>
      <c r="V279" s="1310" t="s">
        <v>1476</v>
      </c>
      <c r="W279" s="1310" t="s">
        <v>1476</v>
      </c>
      <c r="X279" s="1310" t="s">
        <v>1476</v>
      </c>
      <c r="Y279" s="1310" t="s">
        <v>1476</v>
      </c>
      <c r="Z279" s="1310" t="s">
        <v>1476</v>
      </c>
      <c r="AA279" s="1310" t="s">
        <v>1476</v>
      </c>
      <c r="AB279" s="1310" t="s">
        <v>1476</v>
      </c>
      <c r="AC279" s="1310" t="s">
        <v>1476</v>
      </c>
      <c r="AD279" s="1310" t="s">
        <v>1476</v>
      </c>
      <c r="AE279" s="1310" t="s">
        <v>1476</v>
      </c>
      <c r="AF279" s="1310" t="s">
        <v>1476</v>
      </c>
    </row>
    <row r="280" spans="1:32" x14ac:dyDescent="0.3">
      <c r="A280" s="1310" t="s">
        <v>1476</v>
      </c>
      <c r="B280" s="1310" t="s">
        <v>1476</v>
      </c>
      <c r="C280" s="1310" t="s">
        <v>1476</v>
      </c>
      <c r="D280" s="1310" t="s">
        <v>1476</v>
      </c>
      <c r="E280" s="1310" t="s">
        <v>1476</v>
      </c>
      <c r="F280" s="1310" t="s">
        <v>1476</v>
      </c>
      <c r="G280" s="1310" t="s">
        <v>1476</v>
      </c>
      <c r="H280" s="1310" t="s">
        <v>1476</v>
      </c>
      <c r="I280" s="1310" t="s">
        <v>1476</v>
      </c>
      <c r="J280" s="1310" t="s">
        <v>1476</v>
      </c>
      <c r="K280" s="1310" t="s">
        <v>1476</v>
      </c>
      <c r="L280" s="1310" t="s">
        <v>1476</v>
      </c>
      <c r="M280" s="1310" t="s">
        <v>1476</v>
      </c>
      <c r="N280" s="1310" t="s">
        <v>1476</v>
      </c>
      <c r="O280" s="1310" t="s">
        <v>1476</v>
      </c>
      <c r="P280" s="1310" t="s">
        <v>1476</v>
      </c>
      <c r="Q280" s="1310" t="s">
        <v>1476</v>
      </c>
      <c r="R280" s="1310" t="s">
        <v>1476</v>
      </c>
      <c r="S280" s="1310" t="s">
        <v>1476</v>
      </c>
      <c r="T280" s="1310" t="s">
        <v>1476</v>
      </c>
      <c r="U280" s="1310" t="s">
        <v>1476</v>
      </c>
      <c r="V280" s="1310" t="s">
        <v>1476</v>
      </c>
      <c r="W280" s="1310" t="s">
        <v>1476</v>
      </c>
      <c r="X280" s="1310" t="s">
        <v>1476</v>
      </c>
      <c r="Y280" s="1310" t="s">
        <v>1476</v>
      </c>
      <c r="Z280" s="1310" t="s">
        <v>1476</v>
      </c>
      <c r="AA280" s="1310" t="s">
        <v>1476</v>
      </c>
      <c r="AB280" s="1310" t="s">
        <v>1476</v>
      </c>
      <c r="AC280" s="1310" t="s">
        <v>1476</v>
      </c>
      <c r="AD280" s="1310" t="s">
        <v>1476</v>
      </c>
      <c r="AE280" s="1310" t="s">
        <v>1476</v>
      </c>
      <c r="AF280" s="1310" t="s">
        <v>1476</v>
      </c>
    </row>
    <row r="281" spans="1:32" x14ac:dyDescent="0.3">
      <c r="A281" s="1310" t="s">
        <v>1476</v>
      </c>
      <c r="B281" s="1310" t="s">
        <v>1476</v>
      </c>
      <c r="C281" s="1310" t="s">
        <v>1476</v>
      </c>
      <c r="D281" s="1310" t="s">
        <v>1476</v>
      </c>
      <c r="E281" s="1310" t="s">
        <v>1476</v>
      </c>
      <c r="F281" s="1310" t="s">
        <v>1476</v>
      </c>
      <c r="G281" s="1310" t="s">
        <v>1476</v>
      </c>
      <c r="H281" s="1310" t="s">
        <v>1476</v>
      </c>
      <c r="I281" s="1310" t="s">
        <v>1476</v>
      </c>
      <c r="J281" s="1310" t="s">
        <v>1476</v>
      </c>
      <c r="K281" s="1310" t="s">
        <v>1476</v>
      </c>
      <c r="L281" s="1310" t="s">
        <v>1476</v>
      </c>
      <c r="M281" s="1310" t="s">
        <v>1476</v>
      </c>
      <c r="N281" s="1310" t="s">
        <v>1476</v>
      </c>
      <c r="O281" s="1310" t="s">
        <v>1476</v>
      </c>
      <c r="P281" s="1310" t="s">
        <v>1476</v>
      </c>
      <c r="Q281" s="1310" t="s">
        <v>1476</v>
      </c>
      <c r="R281" s="1310" t="s">
        <v>1476</v>
      </c>
      <c r="S281" s="1310" t="s">
        <v>1476</v>
      </c>
      <c r="T281" s="1310" t="s">
        <v>1476</v>
      </c>
      <c r="U281" s="1310" t="s">
        <v>1476</v>
      </c>
      <c r="V281" s="1310" t="s">
        <v>1476</v>
      </c>
      <c r="W281" s="1310" t="s">
        <v>1476</v>
      </c>
      <c r="X281" s="1310" t="s">
        <v>1476</v>
      </c>
      <c r="Y281" s="1310" t="s">
        <v>1476</v>
      </c>
      <c r="Z281" s="1310" t="s">
        <v>1476</v>
      </c>
      <c r="AA281" s="1310" t="s">
        <v>1476</v>
      </c>
      <c r="AB281" s="1310" t="s">
        <v>1476</v>
      </c>
      <c r="AC281" s="1310" t="s">
        <v>1476</v>
      </c>
      <c r="AD281" s="1310" t="s">
        <v>1476</v>
      </c>
      <c r="AE281" s="1310" t="s">
        <v>1476</v>
      </c>
      <c r="AF281" s="1310" t="s">
        <v>1476</v>
      </c>
    </row>
    <row r="282" spans="1:32" x14ac:dyDescent="0.3">
      <c r="A282" s="1310" t="s">
        <v>1476</v>
      </c>
      <c r="B282" s="1310" t="s">
        <v>1476</v>
      </c>
      <c r="C282" s="1310" t="s">
        <v>1476</v>
      </c>
      <c r="D282" s="1310" t="s">
        <v>1476</v>
      </c>
      <c r="E282" s="1310" t="s">
        <v>1476</v>
      </c>
      <c r="F282" s="1310" t="s">
        <v>1476</v>
      </c>
      <c r="G282" s="1310" t="s">
        <v>1476</v>
      </c>
      <c r="H282" s="1310" t="s">
        <v>1476</v>
      </c>
      <c r="I282" s="1310" t="s">
        <v>1476</v>
      </c>
      <c r="J282" s="1310" t="s">
        <v>1476</v>
      </c>
      <c r="K282" s="1310" t="s">
        <v>1476</v>
      </c>
      <c r="L282" s="1310" t="s">
        <v>1476</v>
      </c>
      <c r="M282" s="1310" t="s">
        <v>1476</v>
      </c>
      <c r="N282" s="1310" t="s">
        <v>1476</v>
      </c>
      <c r="O282" s="1310" t="s">
        <v>1476</v>
      </c>
      <c r="P282" s="1310" t="s">
        <v>1476</v>
      </c>
      <c r="Q282" s="1310" t="s">
        <v>1476</v>
      </c>
      <c r="R282" s="1310" t="s">
        <v>1476</v>
      </c>
      <c r="S282" s="1310" t="s">
        <v>1476</v>
      </c>
      <c r="T282" s="1310" t="s">
        <v>1476</v>
      </c>
      <c r="U282" s="1310" t="s">
        <v>1476</v>
      </c>
      <c r="V282" s="1310" t="s">
        <v>1476</v>
      </c>
      <c r="W282" s="1310" t="s">
        <v>1476</v>
      </c>
      <c r="X282" s="1310" t="s">
        <v>1476</v>
      </c>
      <c r="Y282" s="1310" t="s">
        <v>1476</v>
      </c>
      <c r="Z282" s="1310" t="s">
        <v>1476</v>
      </c>
      <c r="AA282" s="1310" t="s">
        <v>1476</v>
      </c>
      <c r="AB282" s="1310" t="s">
        <v>1476</v>
      </c>
      <c r="AC282" s="1310" t="s">
        <v>1476</v>
      </c>
      <c r="AD282" s="1310" t="s">
        <v>1476</v>
      </c>
      <c r="AE282" s="1310" t="s">
        <v>1476</v>
      </c>
      <c r="AF282" s="1310" t="s">
        <v>1476</v>
      </c>
    </row>
    <row r="283" spans="1:32" x14ac:dyDescent="0.3">
      <c r="A283" s="1310" t="s">
        <v>1476</v>
      </c>
      <c r="B283" s="1310" t="s">
        <v>1476</v>
      </c>
      <c r="C283" s="1310" t="s">
        <v>1476</v>
      </c>
      <c r="D283" s="1310" t="s">
        <v>1476</v>
      </c>
      <c r="E283" s="1310" t="s">
        <v>1476</v>
      </c>
      <c r="F283" s="1310" t="s">
        <v>1476</v>
      </c>
      <c r="G283" s="1310" t="s">
        <v>1476</v>
      </c>
      <c r="H283" s="1310" t="s">
        <v>1476</v>
      </c>
      <c r="I283" s="1310" t="s">
        <v>1476</v>
      </c>
      <c r="J283" s="1310" t="s">
        <v>1476</v>
      </c>
      <c r="K283" s="1310" t="s">
        <v>1476</v>
      </c>
      <c r="L283" s="1310" t="s">
        <v>1476</v>
      </c>
      <c r="M283" s="1310" t="s">
        <v>1476</v>
      </c>
      <c r="N283" s="1310" t="s">
        <v>1476</v>
      </c>
      <c r="O283" s="1310" t="s">
        <v>1476</v>
      </c>
      <c r="P283" s="1310" t="s">
        <v>1476</v>
      </c>
      <c r="Q283" s="1310" t="s">
        <v>1476</v>
      </c>
      <c r="R283" s="1310" t="s">
        <v>1476</v>
      </c>
      <c r="S283" s="1310" t="s">
        <v>1476</v>
      </c>
      <c r="T283" s="1310" t="s">
        <v>1476</v>
      </c>
      <c r="U283" s="1310" t="s">
        <v>1476</v>
      </c>
      <c r="V283" s="1310" t="s">
        <v>1476</v>
      </c>
      <c r="W283" s="1310" t="s">
        <v>1476</v>
      </c>
      <c r="X283" s="1310" t="s">
        <v>1476</v>
      </c>
      <c r="Y283" s="1310" t="s">
        <v>1476</v>
      </c>
      <c r="Z283" s="1310" t="s">
        <v>1476</v>
      </c>
      <c r="AA283" s="1310" t="s">
        <v>1476</v>
      </c>
      <c r="AB283" s="1310" t="s">
        <v>1476</v>
      </c>
      <c r="AC283" s="1310" t="s">
        <v>1476</v>
      </c>
      <c r="AD283" s="1310" t="s">
        <v>1476</v>
      </c>
      <c r="AE283" s="1310" t="s">
        <v>1476</v>
      </c>
      <c r="AF283" s="1310" t="s">
        <v>1476</v>
      </c>
    </row>
    <row r="284" spans="1:32" x14ac:dyDescent="0.3">
      <c r="A284" s="1310" t="s">
        <v>1476</v>
      </c>
      <c r="B284" s="1310" t="s">
        <v>1476</v>
      </c>
      <c r="C284" s="1310" t="s">
        <v>1476</v>
      </c>
      <c r="D284" s="1310" t="s">
        <v>1476</v>
      </c>
      <c r="E284" s="1310" t="s">
        <v>1476</v>
      </c>
      <c r="F284" s="1310" t="s">
        <v>1476</v>
      </c>
      <c r="G284" s="1310" t="s">
        <v>1476</v>
      </c>
      <c r="H284" s="1310" t="s">
        <v>1476</v>
      </c>
      <c r="I284" s="1310" t="s">
        <v>1476</v>
      </c>
      <c r="J284" s="1310" t="s">
        <v>1476</v>
      </c>
      <c r="K284" s="1310" t="s">
        <v>1476</v>
      </c>
      <c r="L284" s="1310" t="s">
        <v>1476</v>
      </c>
      <c r="M284" s="1310" t="s">
        <v>1476</v>
      </c>
      <c r="N284" s="1310" t="s">
        <v>1476</v>
      </c>
      <c r="O284" s="1310" t="s">
        <v>1476</v>
      </c>
      <c r="P284" s="1310" t="s">
        <v>1476</v>
      </c>
      <c r="Q284" s="1310" t="s">
        <v>1476</v>
      </c>
      <c r="R284" s="1310" t="s">
        <v>1476</v>
      </c>
      <c r="S284" s="1310" t="s">
        <v>1476</v>
      </c>
      <c r="T284" s="1310" t="s">
        <v>1476</v>
      </c>
      <c r="U284" s="1310" t="s">
        <v>1476</v>
      </c>
      <c r="V284" s="1310" t="s">
        <v>1476</v>
      </c>
      <c r="W284" s="1310" t="s">
        <v>1476</v>
      </c>
      <c r="X284" s="1310" t="s">
        <v>1476</v>
      </c>
      <c r="Y284" s="1310" t="s">
        <v>1476</v>
      </c>
      <c r="Z284" s="1310" t="s">
        <v>1476</v>
      </c>
      <c r="AA284" s="1310" t="s">
        <v>1476</v>
      </c>
      <c r="AB284" s="1310" t="s">
        <v>1476</v>
      </c>
      <c r="AC284" s="1310" t="s">
        <v>1476</v>
      </c>
      <c r="AD284" s="1310" t="s">
        <v>1476</v>
      </c>
      <c r="AE284" s="1310" t="s">
        <v>1476</v>
      </c>
      <c r="AF284" s="1310" t="s">
        <v>1476</v>
      </c>
    </row>
    <row r="285" spans="1:32" x14ac:dyDescent="0.3">
      <c r="A285" s="1310" t="s">
        <v>1476</v>
      </c>
      <c r="B285" s="1310" t="s">
        <v>1476</v>
      </c>
      <c r="C285" s="1310" t="s">
        <v>1476</v>
      </c>
      <c r="D285" s="1310" t="s">
        <v>1476</v>
      </c>
      <c r="E285" s="1310" t="s">
        <v>1476</v>
      </c>
      <c r="F285" s="1310" t="s">
        <v>1476</v>
      </c>
      <c r="G285" s="1310" t="s">
        <v>1476</v>
      </c>
      <c r="H285" s="1310" t="s">
        <v>1476</v>
      </c>
      <c r="I285" s="1310" t="s">
        <v>1476</v>
      </c>
      <c r="J285" s="1310" t="s">
        <v>1476</v>
      </c>
      <c r="K285" s="1310" t="s">
        <v>1476</v>
      </c>
      <c r="L285" s="1310" t="s">
        <v>1476</v>
      </c>
      <c r="M285" s="1310" t="s">
        <v>1476</v>
      </c>
      <c r="N285" s="1310" t="s">
        <v>1476</v>
      </c>
      <c r="O285" s="1310" t="s">
        <v>1476</v>
      </c>
      <c r="P285" s="1310" t="s">
        <v>1476</v>
      </c>
      <c r="Q285" s="1310" t="s">
        <v>1476</v>
      </c>
      <c r="R285" s="1310" t="s">
        <v>1476</v>
      </c>
      <c r="S285" s="1310" t="s">
        <v>1476</v>
      </c>
      <c r="T285" s="1310" t="s">
        <v>1476</v>
      </c>
      <c r="U285" s="1310" t="s">
        <v>1476</v>
      </c>
      <c r="V285" s="1310" t="s">
        <v>1476</v>
      </c>
      <c r="W285" s="1310" t="s">
        <v>1476</v>
      </c>
      <c r="X285" s="1310" t="s">
        <v>1476</v>
      </c>
      <c r="Y285" s="1310" t="s">
        <v>1476</v>
      </c>
      <c r="Z285" s="1310" t="s">
        <v>1476</v>
      </c>
      <c r="AA285" s="1310" t="s">
        <v>1476</v>
      </c>
      <c r="AB285" s="1310" t="s">
        <v>1476</v>
      </c>
      <c r="AC285" s="1310" t="s">
        <v>1476</v>
      </c>
      <c r="AD285" s="1310" t="s">
        <v>1476</v>
      </c>
      <c r="AE285" s="1310" t="s">
        <v>1476</v>
      </c>
      <c r="AF285" s="1310" t="s">
        <v>1476</v>
      </c>
    </row>
    <row r="286" spans="1:32" x14ac:dyDescent="0.3">
      <c r="A286" s="1310" t="s">
        <v>1476</v>
      </c>
      <c r="B286" s="1310" t="s">
        <v>1476</v>
      </c>
      <c r="C286" s="1310" t="s">
        <v>1476</v>
      </c>
      <c r="D286" s="1310" t="s">
        <v>1476</v>
      </c>
      <c r="E286" s="1310" t="s">
        <v>1476</v>
      </c>
      <c r="F286" s="1310" t="s">
        <v>1476</v>
      </c>
      <c r="G286" s="1310" t="s">
        <v>1476</v>
      </c>
      <c r="H286" s="1310" t="s">
        <v>1476</v>
      </c>
      <c r="I286" s="1310" t="s">
        <v>1476</v>
      </c>
      <c r="J286" s="1310" t="s">
        <v>1476</v>
      </c>
      <c r="K286" s="1310" t="s">
        <v>1476</v>
      </c>
      <c r="L286" s="1310" t="s">
        <v>1476</v>
      </c>
      <c r="M286" s="1310" t="s">
        <v>1476</v>
      </c>
      <c r="N286" s="1310" t="s">
        <v>1476</v>
      </c>
      <c r="O286" s="1310" t="s">
        <v>1476</v>
      </c>
      <c r="P286" s="1310" t="s">
        <v>1476</v>
      </c>
      <c r="Q286" s="1310" t="s">
        <v>1476</v>
      </c>
      <c r="R286" s="1310" t="s">
        <v>1476</v>
      </c>
      <c r="S286" s="1310" t="s">
        <v>1476</v>
      </c>
      <c r="T286" s="1310" t="s">
        <v>1476</v>
      </c>
      <c r="U286" s="1310" t="s">
        <v>1476</v>
      </c>
      <c r="V286" s="1310" t="s">
        <v>1476</v>
      </c>
      <c r="W286" s="1310" t="s">
        <v>1476</v>
      </c>
      <c r="X286" s="1310" t="s">
        <v>1476</v>
      </c>
      <c r="Y286" s="1310" t="s">
        <v>1476</v>
      </c>
      <c r="Z286" s="1310" t="s">
        <v>1476</v>
      </c>
      <c r="AA286" s="1310" t="s">
        <v>1476</v>
      </c>
      <c r="AB286" s="1310" t="s">
        <v>1476</v>
      </c>
      <c r="AC286" s="1310" t="s">
        <v>1476</v>
      </c>
      <c r="AD286" s="1310" t="s">
        <v>1476</v>
      </c>
      <c r="AE286" s="1310" t="s">
        <v>1476</v>
      </c>
      <c r="AF286" s="1310" t="s">
        <v>1476</v>
      </c>
    </row>
    <row r="287" spans="1:32" x14ac:dyDescent="0.3">
      <c r="A287" s="1310" t="s">
        <v>1476</v>
      </c>
      <c r="B287" s="1310" t="s">
        <v>1476</v>
      </c>
      <c r="C287" s="1310" t="s">
        <v>1476</v>
      </c>
      <c r="D287" s="1310" t="s">
        <v>1476</v>
      </c>
      <c r="E287" s="1310" t="s">
        <v>1476</v>
      </c>
      <c r="F287" s="1310" t="s">
        <v>1476</v>
      </c>
      <c r="G287" s="1310" t="s">
        <v>1476</v>
      </c>
      <c r="H287" s="1310" t="s">
        <v>1476</v>
      </c>
      <c r="I287" s="1310" t="s">
        <v>1476</v>
      </c>
      <c r="J287" s="1310" t="s">
        <v>1476</v>
      </c>
      <c r="K287" s="1310" t="s">
        <v>1476</v>
      </c>
      <c r="L287" s="1310" t="s">
        <v>1476</v>
      </c>
      <c r="M287" s="1310" t="s">
        <v>1476</v>
      </c>
      <c r="N287" s="1310" t="s">
        <v>1476</v>
      </c>
      <c r="O287" s="1310" t="s">
        <v>1476</v>
      </c>
      <c r="P287" s="1310" t="s">
        <v>1476</v>
      </c>
      <c r="Q287" s="1310" t="s">
        <v>1476</v>
      </c>
      <c r="R287" s="1310" t="s">
        <v>1476</v>
      </c>
      <c r="S287" s="1310" t="s">
        <v>1476</v>
      </c>
      <c r="T287" s="1310" t="s">
        <v>1476</v>
      </c>
      <c r="U287" s="1310" t="s">
        <v>1476</v>
      </c>
      <c r="V287" s="1310" t="s">
        <v>1476</v>
      </c>
      <c r="W287" s="1310" t="s">
        <v>1476</v>
      </c>
      <c r="X287" s="1310" t="s">
        <v>1476</v>
      </c>
      <c r="Y287" s="1310" t="s">
        <v>1476</v>
      </c>
      <c r="Z287" s="1310" t="s">
        <v>1476</v>
      </c>
      <c r="AA287" s="1310" t="s">
        <v>1476</v>
      </c>
      <c r="AB287" s="1310" t="s">
        <v>1476</v>
      </c>
      <c r="AC287" s="1310" t="s">
        <v>1476</v>
      </c>
      <c r="AD287" s="1310" t="s">
        <v>1476</v>
      </c>
      <c r="AE287" s="1310" t="s">
        <v>1476</v>
      </c>
      <c r="AF287" s="1310" t="s">
        <v>1476</v>
      </c>
    </row>
    <row r="288" spans="1:32" x14ac:dyDescent="0.3">
      <c r="A288" s="1310" t="s">
        <v>1476</v>
      </c>
      <c r="B288" s="1310" t="s">
        <v>1476</v>
      </c>
      <c r="C288" s="1310" t="s">
        <v>1476</v>
      </c>
      <c r="D288" s="1310" t="s">
        <v>1476</v>
      </c>
      <c r="E288" s="1310" t="s">
        <v>1476</v>
      </c>
      <c r="F288" s="1310" t="s">
        <v>1476</v>
      </c>
      <c r="G288" s="1310" t="s">
        <v>1476</v>
      </c>
      <c r="H288" s="1310" t="s">
        <v>1476</v>
      </c>
      <c r="I288" s="1310" t="s">
        <v>1476</v>
      </c>
      <c r="J288" s="1310" t="s">
        <v>1476</v>
      </c>
      <c r="K288" s="1310" t="s">
        <v>1476</v>
      </c>
      <c r="L288" s="1310" t="s">
        <v>1476</v>
      </c>
      <c r="M288" s="1310" t="s">
        <v>1476</v>
      </c>
      <c r="N288" s="1310" t="s">
        <v>1476</v>
      </c>
      <c r="O288" s="1310" t="s">
        <v>1476</v>
      </c>
      <c r="P288" s="1310" t="s">
        <v>1476</v>
      </c>
      <c r="Q288" s="1310" t="s">
        <v>1476</v>
      </c>
      <c r="R288" s="1310" t="s">
        <v>1476</v>
      </c>
      <c r="S288" s="1310" t="s">
        <v>1476</v>
      </c>
      <c r="T288" s="1310" t="s">
        <v>1476</v>
      </c>
      <c r="U288" s="1310" t="s">
        <v>1476</v>
      </c>
      <c r="V288" s="1310" t="s">
        <v>1476</v>
      </c>
      <c r="W288" s="1310" t="s">
        <v>1476</v>
      </c>
      <c r="X288" s="1310" t="s">
        <v>1476</v>
      </c>
      <c r="Y288" s="1310" t="s">
        <v>1476</v>
      </c>
      <c r="Z288" s="1310" t="s">
        <v>1476</v>
      </c>
      <c r="AA288" s="1310" t="s">
        <v>1476</v>
      </c>
      <c r="AB288" s="1310" t="s">
        <v>1476</v>
      </c>
      <c r="AC288" s="1310" t="s">
        <v>1476</v>
      </c>
      <c r="AD288" s="1310" t="s">
        <v>1476</v>
      </c>
      <c r="AE288" s="1310" t="s">
        <v>1476</v>
      </c>
      <c r="AF288" s="1310" t="s">
        <v>1476</v>
      </c>
    </row>
    <row r="289" spans="1:32" x14ac:dyDescent="0.3">
      <c r="A289" s="1310" t="s">
        <v>1476</v>
      </c>
      <c r="B289" s="1310" t="s">
        <v>1476</v>
      </c>
      <c r="C289" s="1310" t="s">
        <v>1476</v>
      </c>
      <c r="D289" s="1310" t="s">
        <v>1476</v>
      </c>
      <c r="E289" s="1310" t="s">
        <v>1476</v>
      </c>
      <c r="F289" s="1310" t="s">
        <v>1476</v>
      </c>
      <c r="G289" s="1310" t="s">
        <v>1476</v>
      </c>
      <c r="H289" s="1310" t="s">
        <v>1476</v>
      </c>
      <c r="I289" s="1310" t="s">
        <v>1476</v>
      </c>
      <c r="J289" s="1310" t="s">
        <v>1476</v>
      </c>
      <c r="K289" s="1310" t="s">
        <v>1476</v>
      </c>
      <c r="L289" s="1310" t="s">
        <v>1476</v>
      </c>
      <c r="M289" s="1310" t="s">
        <v>1476</v>
      </c>
      <c r="N289" s="1310" t="s">
        <v>1476</v>
      </c>
      <c r="O289" s="1310" t="s">
        <v>1476</v>
      </c>
      <c r="P289" s="1310" t="s">
        <v>1476</v>
      </c>
      <c r="Q289" s="1310" t="s">
        <v>1476</v>
      </c>
      <c r="R289" s="1310" t="s">
        <v>1476</v>
      </c>
      <c r="S289" s="1310" t="s">
        <v>1476</v>
      </c>
      <c r="T289" s="1310" t="s">
        <v>1476</v>
      </c>
      <c r="U289" s="1310" t="s">
        <v>1476</v>
      </c>
      <c r="V289" s="1310" t="s">
        <v>1476</v>
      </c>
      <c r="W289" s="1310" t="s">
        <v>1476</v>
      </c>
      <c r="X289" s="1310" t="s">
        <v>1476</v>
      </c>
      <c r="Y289" s="1310" t="s">
        <v>1476</v>
      </c>
      <c r="Z289" s="1310" t="s">
        <v>1476</v>
      </c>
      <c r="AA289" s="1310" t="s">
        <v>1476</v>
      </c>
      <c r="AB289" s="1310" t="s">
        <v>1476</v>
      </c>
      <c r="AC289" s="1310" t="s">
        <v>1476</v>
      </c>
      <c r="AD289" s="1310" t="s">
        <v>1476</v>
      </c>
      <c r="AE289" s="1310" t="s">
        <v>1476</v>
      </c>
      <c r="AF289" s="1310" t="s">
        <v>1476</v>
      </c>
    </row>
    <row r="290" spans="1:32" x14ac:dyDescent="0.3">
      <c r="A290" s="1310" t="s">
        <v>1476</v>
      </c>
      <c r="B290" s="1310" t="s">
        <v>1476</v>
      </c>
      <c r="C290" s="1310" t="s">
        <v>1476</v>
      </c>
      <c r="D290" s="1310" t="s">
        <v>1476</v>
      </c>
      <c r="E290" s="1310" t="s">
        <v>1476</v>
      </c>
      <c r="F290" s="1310" t="s">
        <v>1476</v>
      </c>
      <c r="G290" s="1310" t="s">
        <v>1476</v>
      </c>
      <c r="H290" s="1310" t="s">
        <v>1476</v>
      </c>
      <c r="I290" s="1310" t="s">
        <v>1476</v>
      </c>
      <c r="J290" s="1310" t="s">
        <v>1476</v>
      </c>
      <c r="K290" s="1310" t="s">
        <v>1476</v>
      </c>
      <c r="L290" s="1310" t="s">
        <v>1476</v>
      </c>
      <c r="M290" s="1310" t="s">
        <v>1476</v>
      </c>
      <c r="N290" s="1310" t="s">
        <v>1476</v>
      </c>
      <c r="O290" s="1310" t="s">
        <v>1476</v>
      </c>
      <c r="P290" s="1310" t="s">
        <v>1476</v>
      </c>
      <c r="Q290" s="1310" t="s">
        <v>1476</v>
      </c>
      <c r="R290" s="1310" t="s">
        <v>1476</v>
      </c>
      <c r="S290" s="1310" t="s">
        <v>1476</v>
      </c>
      <c r="T290" s="1310" t="s">
        <v>1476</v>
      </c>
      <c r="U290" s="1310" t="s">
        <v>1476</v>
      </c>
      <c r="V290" s="1310" t="s">
        <v>1476</v>
      </c>
      <c r="W290" s="1310" t="s">
        <v>1476</v>
      </c>
      <c r="X290" s="1310" t="s">
        <v>1476</v>
      </c>
      <c r="Y290" s="1310" t="s">
        <v>1476</v>
      </c>
      <c r="Z290" s="1310" t="s">
        <v>1476</v>
      </c>
      <c r="AA290" s="1310" t="s">
        <v>1476</v>
      </c>
      <c r="AB290" s="1310" t="s">
        <v>1476</v>
      </c>
      <c r="AC290" s="1310" t="s">
        <v>1476</v>
      </c>
      <c r="AD290" s="1310" t="s">
        <v>1476</v>
      </c>
      <c r="AE290" s="1310" t="s">
        <v>1476</v>
      </c>
      <c r="AF290" s="1310" t="s">
        <v>1476</v>
      </c>
    </row>
    <row r="291" spans="1:32" x14ac:dyDescent="0.3">
      <c r="A291" s="1310" t="s">
        <v>1476</v>
      </c>
      <c r="B291" s="1310" t="s">
        <v>1476</v>
      </c>
      <c r="C291" s="1310" t="s">
        <v>1476</v>
      </c>
      <c r="D291" s="1310" t="s">
        <v>1476</v>
      </c>
      <c r="E291" s="1310" t="s">
        <v>1476</v>
      </c>
      <c r="F291" s="1310" t="s">
        <v>1476</v>
      </c>
      <c r="G291" s="1310" t="s">
        <v>1476</v>
      </c>
      <c r="H291" s="1310" t="s">
        <v>1476</v>
      </c>
      <c r="I291" s="1310" t="s">
        <v>1476</v>
      </c>
      <c r="J291" s="1310" t="s">
        <v>1476</v>
      </c>
      <c r="K291" s="1310" t="s">
        <v>1476</v>
      </c>
      <c r="L291" s="1310" t="s">
        <v>1476</v>
      </c>
      <c r="M291" s="1310" t="s">
        <v>1476</v>
      </c>
      <c r="N291" s="1310" t="s">
        <v>1476</v>
      </c>
      <c r="O291" s="1310" t="s">
        <v>1476</v>
      </c>
      <c r="P291" s="1310" t="s">
        <v>1476</v>
      </c>
      <c r="Q291" s="1310" t="s">
        <v>1476</v>
      </c>
      <c r="R291" s="1310" t="s">
        <v>1476</v>
      </c>
      <c r="S291" s="1310" t="s">
        <v>1476</v>
      </c>
      <c r="T291" s="1310" t="s">
        <v>1476</v>
      </c>
      <c r="U291" s="1310" t="s">
        <v>1476</v>
      </c>
      <c r="V291" s="1310" t="s">
        <v>1476</v>
      </c>
      <c r="W291" s="1310" t="s">
        <v>1476</v>
      </c>
      <c r="X291" s="1310" t="s">
        <v>1476</v>
      </c>
      <c r="Y291" s="1310" t="s">
        <v>1476</v>
      </c>
      <c r="Z291" s="1310" t="s">
        <v>1476</v>
      </c>
      <c r="AA291" s="1310" t="s">
        <v>1476</v>
      </c>
      <c r="AB291" s="1310" t="s">
        <v>1476</v>
      </c>
      <c r="AC291" s="1310" t="s">
        <v>1476</v>
      </c>
      <c r="AD291" s="1310" t="s">
        <v>1476</v>
      </c>
      <c r="AE291" s="1310" t="s">
        <v>1476</v>
      </c>
      <c r="AF291" s="1310" t="s">
        <v>1476</v>
      </c>
    </row>
    <row r="292" spans="1:32" x14ac:dyDescent="0.3">
      <c r="A292" s="1310" t="s">
        <v>1476</v>
      </c>
      <c r="B292" s="1310" t="s">
        <v>1476</v>
      </c>
      <c r="C292" s="1310" t="s">
        <v>1476</v>
      </c>
      <c r="D292" s="1310" t="s">
        <v>1476</v>
      </c>
      <c r="E292" s="1310" t="s">
        <v>1476</v>
      </c>
      <c r="F292" s="1310" t="s">
        <v>1476</v>
      </c>
      <c r="G292" s="1310" t="s">
        <v>1476</v>
      </c>
      <c r="H292" s="1310" t="s">
        <v>1476</v>
      </c>
      <c r="I292" s="1310" t="s">
        <v>1476</v>
      </c>
      <c r="J292" s="1310" t="s">
        <v>1476</v>
      </c>
      <c r="K292" s="1310" t="s">
        <v>1476</v>
      </c>
      <c r="L292" s="1310" t="s">
        <v>1476</v>
      </c>
      <c r="M292" s="1310" t="s">
        <v>1476</v>
      </c>
      <c r="N292" s="1310" t="s">
        <v>1476</v>
      </c>
      <c r="O292" s="1310" t="s">
        <v>1476</v>
      </c>
      <c r="P292" s="1310" t="s">
        <v>1476</v>
      </c>
      <c r="Q292" s="1310" t="s">
        <v>1476</v>
      </c>
      <c r="R292" s="1310" t="s">
        <v>1476</v>
      </c>
      <c r="S292" s="1310" t="s">
        <v>1476</v>
      </c>
      <c r="T292" s="1310" t="s">
        <v>1476</v>
      </c>
      <c r="U292" s="1310" t="s">
        <v>1476</v>
      </c>
      <c r="V292" s="1310" t="s">
        <v>1476</v>
      </c>
      <c r="W292" s="1310" t="s">
        <v>1476</v>
      </c>
      <c r="X292" s="1310" t="s">
        <v>1476</v>
      </c>
      <c r="Y292" s="1310" t="s">
        <v>1476</v>
      </c>
      <c r="Z292" s="1310" t="s">
        <v>1476</v>
      </c>
      <c r="AA292" s="1310" t="s">
        <v>1476</v>
      </c>
      <c r="AB292" s="1310" t="s">
        <v>1476</v>
      </c>
      <c r="AC292" s="1310" t="s">
        <v>1476</v>
      </c>
      <c r="AD292" s="1310" t="s">
        <v>1476</v>
      </c>
      <c r="AE292" s="1310" t="s">
        <v>1476</v>
      </c>
      <c r="AF292" s="1310" t="s">
        <v>1476</v>
      </c>
    </row>
    <row r="293" spans="1:32" x14ac:dyDescent="0.3">
      <c r="A293" s="1310" t="s">
        <v>1476</v>
      </c>
      <c r="B293" s="1310" t="s">
        <v>1476</v>
      </c>
      <c r="C293" s="1310" t="s">
        <v>1476</v>
      </c>
      <c r="D293" s="1310" t="s">
        <v>1476</v>
      </c>
      <c r="E293" s="1310" t="s">
        <v>1476</v>
      </c>
      <c r="F293" s="1310" t="s">
        <v>1476</v>
      </c>
      <c r="G293" s="1310" t="s">
        <v>1476</v>
      </c>
      <c r="H293" s="1310" t="s">
        <v>1476</v>
      </c>
      <c r="I293" s="1310" t="s">
        <v>1476</v>
      </c>
      <c r="J293" s="1310" t="s">
        <v>1476</v>
      </c>
      <c r="K293" s="1310" t="s">
        <v>1476</v>
      </c>
      <c r="L293" s="1310" t="s">
        <v>1476</v>
      </c>
      <c r="M293" s="1310" t="s">
        <v>1476</v>
      </c>
      <c r="N293" s="1310" t="s">
        <v>1476</v>
      </c>
      <c r="O293" s="1310" t="s">
        <v>1476</v>
      </c>
      <c r="P293" s="1310" t="s">
        <v>1476</v>
      </c>
      <c r="Q293" s="1310" t="s">
        <v>1476</v>
      </c>
      <c r="R293" s="1310" t="s">
        <v>1476</v>
      </c>
      <c r="S293" s="1310" t="s">
        <v>1476</v>
      </c>
      <c r="T293" s="1310" t="s">
        <v>1476</v>
      </c>
      <c r="U293" s="1310" t="s">
        <v>1476</v>
      </c>
      <c r="V293" s="1310" t="s">
        <v>1476</v>
      </c>
      <c r="W293" s="1310" t="s">
        <v>1476</v>
      </c>
      <c r="X293" s="1310" t="s">
        <v>1476</v>
      </c>
      <c r="Y293" s="1310" t="s">
        <v>1476</v>
      </c>
      <c r="Z293" s="1310" t="s">
        <v>1476</v>
      </c>
      <c r="AA293" s="1310" t="s">
        <v>1476</v>
      </c>
      <c r="AB293" s="1310" t="s">
        <v>1476</v>
      </c>
      <c r="AC293" s="1310" t="s">
        <v>1476</v>
      </c>
      <c r="AD293" s="1310" t="s">
        <v>1476</v>
      </c>
      <c r="AE293" s="1310" t="s">
        <v>1476</v>
      </c>
      <c r="AF293" s="1310" t="s">
        <v>1476</v>
      </c>
    </row>
    <row r="294" spans="1:32" x14ac:dyDescent="0.3">
      <c r="A294" s="1310" t="s">
        <v>1476</v>
      </c>
      <c r="B294" s="1310" t="s">
        <v>1476</v>
      </c>
      <c r="C294" s="1310" t="s">
        <v>1476</v>
      </c>
      <c r="D294" s="1310" t="s">
        <v>1476</v>
      </c>
      <c r="E294" s="1310" t="s">
        <v>1476</v>
      </c>
      <c r="F294" s="1310" t="s">
        <v>1476</v>
      </c>
      <c r="G294" s="1310" t="s">
        <v>1476</v>
      </c>
      <c r="H294" s="1310" t="s">
        <v>1476</v>
      </c>
      <c r="I294" s="1310" t="s">
        <v>1476</v>
      </c>
      <c r="J294" s="1310" t="s">
        <v>1476</v>
      </c>
      <c r="K294" s="1310" t="s">
        <v>1476</v>
      </c>
      <c r="L294" s="1310" t="s">
        <v>1476</v>
      </c>
      <c r="M294" s="1310" t="s">
        <v>1476</v>
      </c>
      <c r="N294" s="1310" t="s">
        <v>1476</v>
      </c>
      <c r="O294" s="1310" t="s">
        <v>1476</v>
      </c>
      <c r="P294" s="1310" t="s">
        <v>1476</v>
      </c>
      <c r="Q294" s="1310" t="s">
        <v>1476</v>
      </c>
      <c r="R294" s="1310" t="s">
        <v>1476</v>
      </c>
      <c r="S294" s="1310" t="s">
        <v>1476</v>
      </c>
      <c r="T294" s="1310" t="s">
        <v>1476</v>
      </c>
      <c r="U294" s="1310" t="s">
        <v>1476</v>
      </c>
      <c r="V294" s="1310" t="s">
        <v>1476</v>
      </c>
      <c r="W294" s="1310" t="s">
        <v>1476</v>
      </c>
      <c r="X294" s="1310" t="s">
        <v>1476</v>
      </c>
      <c r="Y294" s="1310" t="s">
        <v>1476</v>
      </c>
      <c r="Z294" s="1310" t="s">
        <v>1476</v>
      </c>
      <c r="AA294" s="1310" t="s">
        <v>1476</v>
      </c>
      <c r="AB294" s="1310" t="s">
        <v>1476</v>
      </c>
      <c r="AC294" s="1310" t="s">
        <v>1476</v>
      </c>
      <c r="AD294" s="1310" t="s">
        <v>1476</v>
      </c>
      <c r="AE294" s="1310" t="s">
        <v>1476</v>
      </c>
      <c r="AF294" s="1310" t="s">
        <v>1476</v>
      </c>
    </row>
    <row r="295" spans="1:32" x14ac:dyDescent="0.3">
      <c r="A295" s="1310" t="s">
        <v>1476</v>
      </c>
      <c r="B295" s="1310" t="s">
        <v>1476</v>
      </c>
      <c r="C295" s="1310" t="s">
        <v>1476</v>
      </c>
      <c r="D295" s="1310" t="s">
        <v>1476</v>
      </c>
      <c r="E295" s="1310" t="s">
        <v>1476</v>
      </c>
      <c r="F295" s="1310" t="s">
        <v>1476</v>
      </c>
      <c r="G295" s="1310" t="s">
        <v>1476</v>
      </c>
      <c r="H295" s="1310" t="s">
        <v>1476</v>
      </c>
      <c r="I295" s="1310" t="s">
        <v>1476</v>
      </c>
      <c r="J295" s="1310" t="s">
        <v>1476</v>
      </c>
      <c r="K295" s="1310" t="s">
        <v>1476</v>
      </c>
      <c r="L295" s="1310" t="s">
        <v>1476</v>
      </c>
      <c r="M295" s="1310" t="s">
        <v>1476</v>
      </c>
      <c r="N295" s="1310" t="s">
        <v>1476</v>
      </c>
      <c r="O295" s="1310" t="s">
        <v>1476</v>
      </c>
      <c r="P295" s="1310" t="s">
        <v>1476</v>
      </c>
      <c r="Q295" s="1310" t="s">
        <v>1476</v>
      </c>
      <c r="R295" s="1310" t="s">
        <v>1476</v>
      </c>
      <c r="S295" s="1310" t="s">
        <v>1476</v>
      </c>
      <c r="T295" s="1310" t="s">
        <v>1476</v>
      </c>
      <c r="U295" s="1310" t="s">
        <v>1476</v>
      </c>
      <c r="V295" s="1310" t="s">
        <v>1476</v>
      </c>
      <c r="W295" s="1310" t="s">
        <v>1476</v>
      </c>
      <c r="X295" s="1310" t="s">
        <v>1476</v>
      </c>
      <c r="Y295" s="1310" t="s">
        <v>1476</v>
      </c>
      <c r="Z295" s="1310" t="s">
        <v>1476</v>
      </c>
      <c r="AA295" s="1310" t="s">
        <v>1476</v>
      </c>
      <c r="AB295" s="1310" t="s">
        <v>1476</v>
      </c>
      <c r="AC295" s="1310" t="s">
        <v>1476</v>
      </c>
      <c r="AD295" s="1310" t="s">
        <v>1476</v>
      </c>
      <c r="AE295" s="1310" t="s">
        <v>1476</v>
      </c>
      <c r="AF295" s="1310" t="s">
        <v>1476</v>
      </c>
    </row>
    <row r="296" spans="1:32" x14ac:dyDescent="0.3">
      <c r="A296" s="1310" t="s">
        <v>1476</v>
      </c>
      <c r="B296" s="1310" t="s">
        <v>1476</v>
      </c>
      <c r="C296" s="1310" t="s">
        <v>1476</v>
      </c>
      <c r="D296" s="1310" t="s">
        <v>1476</v>
      </c>
      <c r="E296" s="1310" t="s">
        <v>1476</v>
      </c>
      <c r="F296" s="1310" t="s">
        <v>1476</v>
      </c>
      <c r="G296" s="1310" t="s">
        <v>1476</v>
      </c>
      <c r="H296" s="1310" t="s">
        <v>1476</v>
      </c>
      <c r="I296" s="1310" t="s">
        <v>1476</v>
      </c>
      <c r="J296" s="1310" t="s">
        <v>1476</v>
      </c>
      <c r="K296" s="1310" t="s">
        <v>1476</v>
      </c>
      <c r="L296" s="1310" t="s">
        <v>1476</v>
      </c>
      <c r="M296" s="1310" t="s">
        <v>1476</v>
      </c>
      <c r="N296" s="1310" t="s">
        <v>1476</v>
      </c>
      <c r="O296" s="1310" t="s">
        <v>1476</v>
      </c>
      <c r="P296" s="1310" t="s">
        <v>1476</v>
      </c>
      <c r="Q296" s="1310" t="s">
        <v>1476</v>
      </c>
      <c r="R296" s="1310" t="s">
        <v>1476</v>
      </c>
      <c r="S296" s="1310" t="s">
        <v>1476</v>
      </c>
      <c r="T296" s="1310" t="s">
        <v>1476</v>
      </c>
      <c r="U296" s="1310" t="s">
        <v>1476</v>
      </c>
      <c r="V296" s="1310" t="s">
        <v>1476</v>
      </c>
      <c r="W296" s="1310" t="s">
        <v>1476</v>
      </c>
      <c r="X296" s="1310" t="s">
        <v>1476</v>
      </c>
      <c r="Y296" s="1310" t="s">
        <v>1476</v>
      </c>
      <c r="Z296" s="1310" t="s">
        <v>1476</v>
      </c>
      <c r="AA296" s="1310" t="s">
        <v>1476</v>
      </c>
      <c r="AB296" s="1310" t="s">
        <v>1476</v>
      </c>
      <c r="AC296" s="1310" t="s">
        <v>1476</v>
      </c>
      <c r="AD296" s="1310" t="s">
        <v>1476</v>
      </c>
      <c r="AE296" s="1310" t="s">
        <v>1476</v>
      </c>
      <c r="AF296" s="1310" t="s">
        <v>1476</v>
      </c>
    </row>
    <row r="297" spans="1:32" x14ac:dyDescent="0.3">
      <c r="A297" s="1310" t="s">
        <v>1476</v>
      </c>
      <c r="B297" s="1310" t="s">
        <v>1476</v>
      </c>
      <c r="C297" s="1310" t="s">
        <v>1476</v>
      </c>
      <c r="D297" s="1310" t="s">
        <v>1476</v>
      </c>
      <c r="E297" s="1310" t="s">
        <v>1476</v>
      </c>
      <c r="F297" s="1310" t="s">
        <v>1476</v>
      </c>
      <c r="G297" s="1310" t="s">
        <v>1476</v>
      </c>
      <c r="H297" s="1310" t="s">
        <v>1476</v>
      </c>
      <c r="I297" s="1310" t="s">
        <v>1476</v>
      </c>
      <c r="J297" s="1310" t="s">
        <v>1476</v>
      </c>
      <c r="K297" s="1310" t="s">
        <v>1476</v>
      </c>
      <c r="L297" s="1310" t="s">
        <v>1476</v>
      </c>
      <c r="M297" s="1310" t="s">
        <v>1476</v>
      </c>
      <c r="N297" s="1310" t="s">
        <v>1476</v>
      </c>
      <c r="O297" s="1310" t="s">
        <v>1476</v>
      </c>
      <c r="P297" s="1310" t="s">
        <v>1476</v>
      </c>
      <c r="Q297" s="1310" t="s">
        <v>1476</v>
      </c>
      <c r="R297" s="1310" t="s">
        <v>1476</v>
      </c>
      <c r="S297" s="1310" t="s">
        <v>1476</v>
      </c>
      <c r="T297" s="1310" t="s">
        <v>1476</v>
      </c>
      <c r="U297" s="1310" t="s">
        <v>1476</v>
      </c>
      <c r="V297" s="1310" t="s">
        <v>1476</v>
      </c>
      <c r="W297" s="1310" t="s">
        <v>1476</v>
      </c>
      <c r="X297" s="1310" t="s">
        <v>1476</v>
      </c>
      <c r="Y297" s="1310" t="s">
        <v>1476</v>
      </c>
      <c r="Z297" s="1310" t="s">
        <v>1476</v>
      </c>
      <c r="AA297" s="1310" t="s">
        <v>1476</v>
      </c>
      <c r="AB297" s="1310" t="s">
        <v>1476</v>
      </c>
      <c r="AC297" s="1310" t="s">
        <v>1476</v>
      </c>
      <c r="AD297" s="1310" t="s">
        <v>1476</v>
      </c>
      <c r="AE297" s="1310" t="s">
        <v>1476</v>
      </c>
      <c r="AF297" s="1310" t="s">
        <v>1476</v>
      </c>
    </row>
    <row r="298" spans="1:32" x14ac:dyDescent="0.3">
      <c r="A298" s="1310" t="s">
        <v>1476</v>
      </c>
      <c r="B298" s="1310" t="s">
        <v>1476</v>
      </c>
      <c r="C298" s="1310" t="s">
        <v>1476</v>
      </c>
      <c r="D298" s="1310" t="s">
        <v>1476</v>
      </c>
      <c r="E298" s="1310" t="s">
        <v>1476</v>
      </c>
      <c r="F298" s="1310" t="s">
        <v>1476</v>
      </c>
      <c r="G298" s="1310" t="s">
        <v>1476</v>
      </c>
      <c r="H298" s="1310" t="s">
        <v>1476</v>
      </c>
      <c r="I298" s="1310" t="s">
        <v>1476</v>
      </c>
      <c r="J298" s="1310" t="s">
        <v>1476</v>
      </c>
      <c r="K298" s="1310" t="s">
        <v>1476</v>
      </c>
      <c r="L298" s="1310" t="s">
        <v>1476</v>
      </c>
      <c r="M298" s="1310" t="s">
        <v>1476</v>
      </c>
      <c r="N298" s="1310" t="s">
        <v>1476</v>
      </c>
      <c r="O298" s="1310" t="s">
        <v>1476</v>
      </c>
      <c r="P298" s="1310" t="s">
        <v>1476</v>
      </c>
      <c r="Q298" s="1310" t="s">
        <v>1476</v>
      </c>
      <c r="R298" s="1310" t="s">
        <v>1476</v>
      </c>
      <c r="S298" s="1310" t="s">
        <v>1476</v>
      </c>
      <c r="T298" s="1310" t="s">
        <v>1476</v>
      </c>
      <c r="U298" s="1310" t="s">
        <v>1476</v>
      </c>
      <c r="V298" s="1310" t="s">
        <v>1476</v>
      </c>
      <c r="W298" s="1310" t="s">
        <v>1476</v>
      </c>
      <c r="X298" s="1310" t="s">
        <v>1476</v>
      </c>
      <c r="Y298" s="1310" t="s">
        <v>1476</v>
      </c>
      <c r="Z298" s="1310" t="s">
        <v>1476</v>
      </c>
      <c r="AA298" s="1310" t="s">
        <v>1476</v>
      </c>
      <c r="AB298" s="1310" t="s">
        <v>1476</v>
      </c>
      <c r="AC298" s="1310" t="s">
        <v>1476</v>
      </c>
      <c r="AD298" s="1310" t="s">
        <v>1476</v>
      </c>
      <c r="AE298" s="1310" t="s">
        <v>1476</v>
      </c>
      <c r="AF298" s="1310" t="s">
        <v>1476</v>
      </c>
    </row>
    <row r="299" spans="1:32" x14ac:dyDescent="0.3">
      <c r="A299" s="1310" t="s">
        <v>1476</v>
      </c>
      <c r="B299" s="1310" t="s">
        <v>1476</v>
      </c>
      <c r="C299" s="1310" t="s">
        <v>1476</v>
      </c>
      <c r="D299" s="1310" t="s">
        <v>1476</v>
      </c>
      <c r="E299" s="1310" t="s">
        <v>1476</v>
      </c>
      <c r="F299" s="1310" t="s">
        <v>1476</v>
      </c>
      <c r="G299" s="1310" t="s">
        <v>1476</v>
      </c>
      <c r="H299" s="1310" t="s">
        <v>1476</v>
      </c>
      <c r="I299" s="1310" t="s">
        <v>1476</v>
      </c>
      <c r="J299" s="1310" t="s">
        <v>1476</v>
      </c>
      <c r="K299" s="1310" t="s">
        <v>1476</v>
      </c>
      <c r="L299" s="1310" t="s">
        <v>1476</v>
      </c>
      <c r="M299" s="1310" t="s">
        <v>1476</v>
      </c>
      <c r="N299" s="1310" t="s">
        <v>1476</v>
      </c>
      <c r="O299" s="1310" t="s">
        <v>1476</v>
      </c>
      <c r="P299" s="1310" t="s">
        <v>1476</v>
      </c>
      <c r="Q299" s="1310" t="s">
        <v>1476</v>
      </c>
      <c r="R299" s="1310" t="s">
        <v>1476</v>
      </c>
      <c r="S299" s="1310" t="s">
        <v>1476</v>
      </c>
      <c r="T299" s="1310" t="s">
        <v>1476</v>
      </c>
      <c r="U299" s="1310" t="s">
        <v>1476</v>
      </c>
      <c r="V299" s="1310" t="s">
        <v>1476</v>
      </c>
      <c r="W299" s="1310" t="s">
        <v>1476</v>
      </c>
      <c r="X299" s="1310" t="s">
        <v>1476</v>
      </c>
      <c r="Y299" s="1310" t="s">
        <v>1476</v>
      </c>
      <c r="Z299" s="1310" t="s">
        <v>1476</v>
      </c>
      <c r="AA299" s="1310" t="s">
        <v>1476</v>
      </c>
      <c r="AB299" s="1310" t="s">
        <v>1476</v>
      </c>
      <c r="AC299" s="1310" t="s">
        <v>1476</v>
      </c>
      <c r="AD299" s="1310" t="s">
        <v>1476</v>
      </c>
      <c r="AE299" s="1310" t="s">
        <v>1476</v>
      </c>
      <c r="AF299" s="1310" t="s">
        <v>1476</v>
      </c>
    </row>
    <row r="300" spans="1:32" x14ac:dyDescent="0.3">
      <c r="A300" s="1310" t="s">
        <v>1476</v>
      </c>
      <c r="B300" s="1310" t="s">
        <v>1476</v>
      </c>
      <c r="C300" s="1310" t="s">
        <v>1476</v>
      </c>
      <c r="D300" s="1310" t="s">
        <v>1476</v>
      </c>
      <c r="E300" s="1310" t="s">
        <v>1476</v>
      </c>
      <c r="F300" s="1310" t="s">
        <v>1476</v>
      </c>
      <c r="G300" s="1310" t="s">
        <v>1476</v>
      </c>
      <c r="H300" s="1310" t="s">
        <v>1476</v>
      </c>
      <c r="I300" s="1310" t="s">
        <v>1476</v>
      </c>
      <c r="J300" s="1310" t="s">
        <v>1476</v>
      </c>
      <c r="K300" s="1310" t="s">
        <v>1476</v>
      </c>
      <c r="L300" s="1310" t="s">
        <v>1476</v>
      </c>
      <c r="M300" s="1310" t="s">
        <v>1476</v>
      </c>
      <c r="N300" s="1310" t="s">
        <v>1476</v>
      </c>
      <c r="O300" s="1310" t="s">
        <v>1476</v>
      </c>
      <c r="P300" s="1310" t="s">
        <v>1476</v>
      </c>
      <c r="Q300" s="1310" t="s">
        <v>1476</v>
      </c>
      <c r="R300" s="1310" t="s">
        <v>1476</v>
      </c>
      <c r="S300" s="1310" t="s">
        <v>1476</v>
      </c>
      <c r="T300" s="1310" t="s">
        <v>1476</v>
      </c>
      <c r="U300" s="1310" t="s">
        <v>1476</v>
      </c>
      <c r="V300" s="1310" t="s">
        <v>1476</v>
      </c>
      <c r="W300" s="1310" t="s">
        <v>1476</v>
      </c>
      <c r="X300" s="1310" t="s">
        <v>1476</v>
      </c>
      <c r="Y300" s="1310" t="s">
        <v>1476</v>
      </c>
      <c r="Z300" s="1310" t="s">
        <v>1476</v>
      </c>
      <c r="AA300" s="1310" t="s">
        <v>1476</v>
      </c>
      <c r="AB300" s="1310" t="s">
        <v>1476</v>
      </c>
      <c r="AC300" s="1310" t="s">
        <v>1476</v>
      </c>
      <c r="AD300" s="1310" t="s">
        <v>1476</v>
      </c>
      <c r="AE300" s="1310" t="s">
        <v>1476</v>
      </c>
      <c r="AF300" s="1310" t="s">
        <v>1476</v>
      </c>
    </row>
    <row r="301" spans="1:32" x14ac:dyDescent="0.3">
      <c r="A301" s="1310" t="s">
        <v>1476</v>
      </c>
      <c r="B301" s="1310" t="s">
        <v>1476</v>
      </c>
      <c r="C301" s="1310" t="s">
        <v>1476</v>
      </c>
      <c r="D301" s="1310" t="s">
        <v>1476</v>
      </c>
      <c r="E301" s="1310" t="s">
        <v>1476</v>
      </c>
      <c r="F301" s="1310" t="s">
        <v>1476</v>
      </c>
      <c r="G301" s="1310" t="s">
        <v>1476</v>
      </c>
      <c r="H301" s="1310" t="s">
        <v>1476</v>
      </c>
      <c r="I301" s="1310" t="s">
        <v>1476</v>
      </c>
      <c r="J301" s="1310" t="s">
        <v>1476</v>
      </c>
      <c r="K301" s="1310" t="s">
        <v>1476</v>
      </c>
      <c r="L301" s="1310" t="s">
        <v>1476</v>
      </c>
      <c r="M301" s="1310" t="s">
        <v>1476</v>
      </c>
      <c r="N301" s="1310" t="s">
        <v>1476</v>
      </c>
      <c r="O301" s="1310" t="s">
        <v>1476</v>
      </c>
      <c r="P301" s="1310" t="s">
        <v>1476</v>
      </c>
      <c r="Q301" s="1310" t="s">
        <v>1476</v>
      </c>
      <c r="R301" s="1310" t="s">
        <v>1476</v>
      </c>
      <c r="S301" s="1310" t="s">
        <v>1476</v>
      </c>
      <c r="T301" s="1310" t="s">
        <v>1476</v>
      </c>
      <c r="U301" s="1310" t="s">
        <v>1476</v>
      </c>
      <c r="V301" s="1310" t="s">
        <v>1476</v>
      </c>
      <c r="W301" s="1310" t="s">
        <v>1476</v>
      </c>
      <c r="X301" s="1310" t="s">
        <v>1476</v>
      </c>
      <c r="Y301" s="1310" t="s">
        <v>1476</v>
      </c>
      <c r="Z301" s="1310" t="s">
        <v>1476</v>
      </c>
      <c r="AA301" s="1310" t="s">
        <v>1476</v>
      </c>
      <c r="AB301" s="1310" t="s">
        <v>1476</v>
      </c>
      <c r="AC301" s="1310" t="s">
        <v>1476</v>
      </c>
      <c r="AD301" s="1310" t="s">
        <v>1476</v>
      </c>
      <c r="AE301" s="1310" t="s">
        <v>1476</v>
      </c>
      <c r="AF301" s="1310" t="s">
        <v>1476</v>
      </c>
    </row>
    <row r="302" spans="1:32" x14ac:dyDescent="0.3">
      <c r="A302" s="1310" t="s">
        <v>1476</v>
      </c>
      <c r="B302" s="1310" t="s">
        <v>1476</v>
      </c>
      <c r="C302" s="1310" t="s">
        <v>1476</v>
      </c>
      <c r="D302" s="1310" t="s">
        <v>1476</v>
      </c>
      <c r="E302" s="1310" t="s">
        <v>1476</v>
      </c>
      <c r="F302" s="1310" t="s">
        <v>1476</v>
      </c>
      <c r="G302" s="1310" t="s">
        <v>1476</v>
      </c>
      <c r="H302" s="1310" t="s">
        <v>1476</v>
      </c>
      <c r="I302" s="1310" t="s">
        <v>1476</v>
      </c>
      <c r="J302" s="1310" t="s">
        <v>1476</v>
      </c>
      <c r="K302" s="1310" t="s">
        <v>1476</v>
      </c>
      <c r="L302" s="1310" t="s">
        <v>1476</v>
      </c>
      <c r="M302" s="1310" t="s">
        <v>1476</v>
      </c>
      <c r="N302" s="1310" t="s">
        <v>1476</v>
      </c>
      <c r="O302" s="1310" t="s">
        <v>1476</v>
      </c>
      <c r="P302" s="1310" t="s">
        <v>1476</v>
      </c>
      <c r="Q302" s="1310" t="s">
        <v>1476</v>
      </c>
      <c r="R302" s="1310" t="s">
        <v>1476</v>
      </c>
      <c r="S302" s="1310" t="s">
        <v>1476</v>
      </c>
      <c r="T302" s="1310" t="s">
        <v>1476</v>
      </c>
      <c r="U302" s="1310" t="s">
        <v>1476</v>
      </c>
      <c r="V302" s="1310" t="s">
        <v>1476</v>
      </c>
      <c r="W302" s="1310" t="s">
        <v>1476</v>
      </c>
      <c r="X302" s="1310" t="s">
        <v>1476</v>
      </c>
      <c r="Y302" s="1310" t="s">
        <v>1476</v>
      </c>
      <c r="Z302" s="1310" t="s">
        <v>1476</v>
      </c>
      <c r="AA302" s="1310" t="s">
        <v>1476</v>
      </c>
      <c r="AB302" s="1310" t="s">
        <v>1476</v>
      </c>
      <c r="AC302" s="1310" t="s">
        <v>1476</v>
      </c>
      <c r="AD302" s="1310" t="s">
        <v>1476</v>
      </c>
      <c r="AE302" s="1310" t="s">
        <v>1476</v>
      </c>
      <c r="AF302" s="1310" t="s">
        <v>1476</v>
      </c>
    </row>
    <row r="303" spans="1:32" x14ac:dyDescent="0.3">
      <c r="A303" s="1310" t="s">
        <v>1476</v>
      </c>
      <c r="B303" s="1310" t="s">
        <v>1476</v>
      </c>
      <c r="C303" s="1310" t="s">
        <v>1476</v>
      </c>
      <c r="D303" s="1310" t="s">
        <v>1476</v>
      </c>
      <c r="E303" s="1310" t="s">
        <v>1476</v>
      </c>
      <c r="F303" s="1310" t="s">
        <v>1476</v>
      </c>
      <c r="G303" s="1310" t="s">
        <v>1476</v>
      </c>
      <c r="H303" s="1310" t="s">
        <v>1476</v>
      </c>
      <c r="I303" s="1310" t="s">
        <v>1476</v>
      </c>
      <c r="J303" s="1310" t="s">
        <v>1476</v>
      </c>
      <c r="K303" s="1310" t="s">
        <v>1476</v>
      </c>
      <c r="L303" s="1310" t="s">
        <v>1476</v>
      </c>
      <c r="M303" s="1310" t="s">
        <v>1476</v>
      </c>
      <c r="N303" s="1310" t="s">
        <v>1476</v>
      </c>
      <c r="O303" s="1310" t="s">
        <v>1476</v>
      </c>
      <c r="P303" s="1310" t="s">
        <v>1476</v>
      </c>
      <c r="Q303" s="1310" t="s">
        <v>1476</v>
      </c>
      <c r="R303" s="1310" t="s">
        <v>1476</v>
      </c>
      <c r="S303" s="1310" t="s">
        <v>1476</v>
      </c>
      <c r="T303" s="1310" t="s">
        <v>1476</v>
      </c>
      <c r="U303" s="1310" t="s">
        <v>1476</v>
      </c>
      <c r="V303" s="1310" t="s">
        <v>1476</v>
      </c>
      <c r="W303" s="1310" t="s">
        <v>1476</v>
      </c>
      <c r="X303" s="1310" t="s">
        <v>1476</v>
      </c>
      <c r="Y303" s="1310" t="s">
        <v>1476</v>
      </c>
      <c r="Z303" s="1310" t="s">
        <v>1476</v>
      </c>
      <c r="AA303" s="1310" t="s">
        <v>1476</v>
      </c>
      <c r="AB303" s="1310" t="s">
        <v>1476</v>
      </c>
      <c r="AC303" s="1310" t="s">
        <v>1476</v>
      </c>
      <c r="AD303" s="1310" t="s">
        <v>1476</v>
      </c>
      <c r="AE303" s="1310" t="s">
        <v>1476</v>
      </c>
      <c r="AF303" s="1310" t="s">
        <v>1476</v>
      </c>
    </row>
    <row r="304" spans="1:32" x14ac:dyDescent="0.3">
      <c r="A304" s="1310" t="s">
        <v>1476</v>
      </c>
      <c r="B304" s="1310" t="s">
        <v>1476</v>
      </c>
      <c r="C304" s="1310" t="s">
        <v>1476</v>
      </c>
      <c r="D304" s="1310" t="s">
        <v>1476</v>
      </c>
      <c r="E304" s="1310" t="s">
        <v>1476</v>
      </c>
      <c r="F304" s="1310" t="s">
        <v>1476</v>
      </c>
      <c r="G304" s="1310" t="s">
        <v>1476</v>
      </c>
      <c r="H304" s="1310" t="s">
        <v>1476</v>
      </c>
      <c r="I304" s="1310" t="s">
        <v>1476</v>
      </c>
      <c r="J304" s="1310" t="s">
        <v>1476</v>
      </c>
      <c r="K304" s="1310" t="s">
        <v>1476</v>
      </c>
      <c r="L304" s="1310" t="s">
        <v>1476</v>
      </c>
      <c r="M304" s="1310" t="s">
        <v>1476</v>
      </c>
      <c r="N304" s="1310" t="s">
        <v>1476</v>
      </c>
      <c r="O304" s="1310" t="s">
        <v>1476</v>
      </c>
      <c r="P304" s="1310" t="s">
        <v>1476</v>
      </c>
      <c r="Q304" s="1310" t="s">
        <v>1476</v>
      </c>
      <c r="R304" s="1310" t="s">
        <v>1476</v>
      </c>
      <c r="S304" s="1310" t="s">
        <v>1476</v>
      </c>
      <c r="T304" s="1310" t="s">
        <v>1476</v>
      </c>
      <c r="U304" s="1310" t="s">
        <v>1476</v>
      </c>
      <c r="V304" s="1310" t="s">
        <v>1476</v>
      </c>
      <c r="W304" s="1310" t="s">
        <v>1476</v>
      </c>
      <c r="X304" s="1310" t="s">
        <v>1476</v>
      </c>
      <c r="Y304" s="1310" t="s">
        <v>1476</v>
      </c>
      <c r="Z304" s="1310" t="s">
        <v>1476</v>
      </c>
      <c r="AA304" s="1310" t="s">
        <v>1476</v>
      </c>
      <c r="AB304" s="1310" t="s">
        <v>1476</v>
      </c>
      <c r="AC304" s="1310" t="s">
        <v>1476</v>
      </c>
      <c r="AD304" s="1310" t="s">
        <v>1476</v>
      </c>
      <c r="AE304" s="1310" t="s">
        <v>1476</v>
      </c>
      <c r="AF304" s="1310" t="s">
        <v>1476</v>
      </c>
    </row>
    <row r="305" spans="1:32" x14ac:dyDescent="0.3">
      <c r="A305" s="1310" t="s">
        <v>1476</v>
      </c>
      <c r="B305" s="1310" t="s">
        <v>1476</v>
      </c>
      <c r="C305" s="1310" t="s">
        <v>1476</v>
      </c>
      <c r="D305" s="1310" t="s">
        <v>1476</v>
      </c>
      <c r="E305" s="1310" t="s">
        <v>1476</v>
      </c>
      <c r="F305" s="1310" t="s">
        <v>1476</v>
      </c>
      <c r="G305" s="1310" t="s">
        <v>1476</v>
      </c>
      <c r="H305" s="1310" t="s">
        <v>1476</v>
      </c>
      <c r="I305" s="1310" t="s">
        <v>1476</v>
      </c>
      <c r="J305" s="1310" t="s">
        <v>1476</v>
      </c>
      <c r="K305" s="1310" t="s">
        <v>1476</v>
      </c>
      <c r="L305" s="1310" t="s">
        <v>1476</v>
      </c>
      <c r="M305" s="1310" t="s">
        <v>1476</v>
      </c>
      <c r="N305" s="1310" t="s">
        <v>1476</v>
      </c>
      <c r="O305" s="1310" t="s">
        <v>1476</v>
      </c>
      <c r="P305" s="1310" t="s">
        <v>1476</v>
      </c>
      <c r="Q305" s="1310" t="s">
        <v>1476</v>
      </c>
      <c r="R305" s="1310" t="s">
        <v>1476</v>
      </c>
      <c r="S305" s="1310" t="s">
        <v>1476</v>
      </c>
      <c r="T305" s="1310" t="s">
        <v>1476</v>
      </c>
      <c r="U305" s="1310" t="s">
        <v>1476</v>
      </c>
      <c r="V305" s="1310" t="s">
        <v>1476</v>
      </c>
      <c r="W305" s="1310" t="s">
        <v>1476</v>
      </c>
      <c r="X305" s="1310" t="s">
        <v>1476</v>
      </c>
      <c r="Y305" s="1310" t="s">
        <v>1476</v>
      </c>
      <c r="Z305" s="1310" t="s">
        <v>1476</v>
      </c>
      <c r="AA305" s="1310" t="s">
        <v>1476</v>
      </c>
      <c r="AB305" s="1310" t="s">
        <v>1476</v>
      </c>
      <c r="AC305" s="1310" t="s">
        <v>1476</v>
      </c>
      <c r="AD305" s="1310" t="s">
        <v>1476</v>
      </c>
      <c r="AE305" s="1310" t="s">
        <v>1476</v>
      </c>
      <c r="AF305" s="1310" t="s">
        <v>1476</v>
      </c>
    </row>
    <row r="306" spans="1:32" x14ac:dyDescent="0.3">
      <c r="A306" s="1310" t="s">
        <v>1476</v>
      </c>
      <c r="B306" s="1310" t="s">
        <v>1476</v>
      </c>
      <c r="C306" s="1310" t="s">
        <v>1476</v>
      </c>
      <c r="D306" s="1310" t="s">
        <v>1476</v>
      </c>
      <c r="E306" s="1310" t="s">
        <v>1476</v>
      </c>
      <c r="F306" s="1310" t="s">
        <v>1476</v>
      </c>
      <c r="G306" s="1310" t="s">
        <v>1476</v>
      </c>
      <c r="H306" s="1310" t="s">
        <v>1476</v>
      </c>
      <c r="I306" s="1310" t="s">
        <v>1476</v>
      </c>
      <c r="J306" s="1310" t="s">
        <v>1476</v>
      </c>
      <c r="K306" s="1310" t="s">
        <v>1476</v>
      </c>
      <c r="L306" s="1310" t="s">
        <v>1476</v>
      </c>
      <c r="M306" s="1310" t="s">
        <v>1476</v>
      </c>
      <c r="N306" s="1310" t="s">
        <v>1476</v>
      </c>
      <c r="O306" s="1310" t="s">
        <v>1476</v>
      </c>
      <c r="P306" s="1310" t="s">
        <v>1476</v>
      </c>
      <c r="Q306" s="1310" t="s">
        <v>1476</v>
      </c>
      <c r="R306" s="1310" t="s">
        <v>1476</v>
      </c>
      <c r="S306" s="1310" t="s">
        <v>1476</v>
      </c>
      <c r="T306" s="1310" t="s">
        <v>1476</v>
      </c>
      <c r="U306" s="1310" t="s">
        <v>1476</v>
      </c>
      <c r="V306" s="1310" t="s">
        <v>1476</v>
      </c>
      <c r="W306" s="1310" t="s">
        <v>1476</v>
      </c>
      <c r="X306" s="1310" t="s">
        <v>1476</v>
      </c>
      <c r="Y306" s="1310" t="s">
        <v>1476</v>
      </c>
      <c r="Z306" s="1310" t="s">
        <v>1476</v>
      </c>
      <c r="AA306" s="1310" t="s">
        <v>1476</v>
      </c>
      <c r="AB306" s="1310" t="s">
        <v>1476</v>
      </c>
      <c r="AC306" s="1310" t="s">
        <v>1476</v>
      </c>
      <c r="AD306" s="1310" t="s">
        <v>1476</v>
      </c>
      <c r="AE306" s="1310" t="s">
        <v>1476</v>
      </c>
      <c r="AF306" s="1310" t="s">
        <v>1476</v>
      </c>
    </row>
    <row r="307" spans="1:32" x14ac:dyDescent="0.3">
      <c r="A307" s="1310" t="s">
        <v>1476</v>
      </c>
      <c r="B307" s="1310" t="s">
        <v>1476</v>
      </c>
      <c r="C307" s="1310" t="s">
        <v>1476</v>
      </c>
      <c r="D307" s="1310" t="s">
        <v>1476</v>
      </c>
      <c r="E307" s="1310" t="s">
        <v>1476</v>
      </c>
      <c r="F307" s="1310" t="s">
        <v>1476</v>
      </c>
      <c r="G307" s="1310" t="s">
        <v>1476</v>
      </c>
      <c r="H307" s="1310" t="s">
        <v>1476</v>
      </c>
      <c r="I307" s="1310" t="s">
        <v>1476</v>
      </c>
      <c r="J307" s="1310" t="s">
        <v>1476</v>
      </c>
      <c r="K307" s="1310" t="s">
        <v>1476</v>
      </c>
      <c r="L307" s="1310" t="s">
        <v>1476</v>
      </c>
      <c r="M307" s="1310" t="s">
        <v>1476</v>
      </c>
      <c r="N307" s="1310" t="s">
        <v>1476</v>
      </c>
      <c r="O307" s="1310" t="s">
        <v>1476</v>
      </c>
      <c r="P307" s="1310" t="s">
        <v>1476</v>
      </c>
      <c r="Q307" s="1310" t="s">
        <v>1476</v>
      </c>
      <c r="R307" s="1310" t="s">
        <v>1476</v>
      </c>
      <c r="S307" s="1310" t="s">
        <v>1476</v>
      </c>
      <c r="T307" s="1310" t="s">
        <v>1476</v>
      </c>
      <c r="U307" s="1310" t="s">
        <v>1476</v>
      </c>
      <c r="V307" s="1310" t="s">
        <v>1476</v>
      </c>
      <c r="W307" s="1310" t="s">
        <v>1476</v>
      </c>
      <c r="X307" s="1310" t="s">
        <v>1476</v>
      </c>
      <c r="Y307" s="1310" t="s">
        <v>1476</v>
      </c>
      <c r="Z307" s="1310" t="s">
        <v>1476</v>
      </c>
      <c r="AA307" s="1310" t="s">
        <v>1476</v>
      </c>
      <c r="AB307" s="1310" t="s">
        <v>1476</v>
      </c>
      <c r="AC307" s="1310" t="s">
        <v>1476</v>
      </c>
      <c r="AD307" s="1310" t="s">
        <v>1476</v>
      </c>
      <c r="AE307" s="1310" t="s">
        <v>1476</v>
      </c>
      <c r="AF307" s="1310" t="s">
        <v>1476</v>
      </c>
    </row>
    <row r="308" spans="1:32" x14ac:dyDescent="0.3">
      <c r="A308" s="1310" t="s">
        <v>1476</v>
      </c>
      <c r="B308" s="1310" t="s">
        <v>1476</v>
      </c>
      <c r="C308" s="1310" t="s">
        <v>1476</v>
      </c>
      <c r="D308" s="1310" t="s">
        <v>1476</v>
      </c>
      <c r="E308" s="1310" t="s">
        <v>1476</v>
      </c>
      <c r="F308" s="1310" t="s">
        <v>1476</v>
      </c>
      <c r="G308" s="1310" t="s">
        <v>1476</v>
      </c>
      <c r="H308" s="1310" t="s">
        <v>1476</v>
      </c>
      <c r="I308" s="1310" t="s">
        <v>1476</v>
      </c>
      <c r="J308" s="1310" t="s">
        <v>1476</v>
      </c>
      <c r="K308" s="1310" t="s">
        <v>1476</v>
      </c>
      <c r="L308" s="1310" t="s">
        <v>1476</v>
      </c>
      <c r="M308" s="1310" t="s">
        <v>1476</v>
      </c>
      <c r="N308" s="1310" t="s">
        <v>1476</v>
      </c>
      <c r="O308" s="1310" t="s">
        <v>1476</v>
      </c>
      <c r="P308" s="1310" t="s">
        <v>1476</v>
      </c>
      <c r="Q308" s="1310" t="s">
        <v>1476</v>
      </c>
      <c r="R308" s="1310" t="s">
        <v>1476</v>
      </c>
      <c r="S308" s="1310" t="s">
        <v>1476</v>
      </c>
      <c r="T308" s="1310" t="s">
        <v>1476</v>
      </c>
      <c r="U308" s="1310" t="s">
        <v>1476</v>
      </c>
      <c r="V308" s="1310" t="s">
        <v>1476</v>
      </c>
      <c r="W308" s="1310" t="s">
        <v>1476</v>
      </c>
      <c r="X308" s="1310" t="s">
        <v>1476</v>
      </c>
      <c r="Y308" s="1310" t="s">
        <v>1476</v>
      </c>
      <c r="Z308" s="1310" t="s">
        <v>1476</v>
      </c>
      <c r="AA308" s="1310" t="s">
        <v>1476</v>
      </c>
      <c r="AB308" s="1310" t="s">
        <v>1476</v>
      </c>
      <c r="AC308" s="1310" t="s">
        <v>1476</v>
      </c>
      <c r="AD308" s="1310" t="s">
        <v>1476</v>
      </c>
      <c r="AE308" s="1310" t="s">
        <v>1476</v>
      </c>
      <c r="AF308" s="1310" t="s">
        <v>1476</v>
      </c>
    </row>
    <row r="309" spans="1:32" x14ac:dyDescent="0.3">
      <c r="A309" s="1310" t="s">
        <v>1476</v>
      </c>
      <c r="B309" s="1310" t="s">
        <v>1476</v>
      </c>
      <c r="C309" s="1310" t="s">
        <v>1476</v>
      </c>
      <c r="D309" s="1310" t="s">
        <v>1476</v>
      </c>
      <c r="E309" s="1310" t="s">
        <v>1476</v>
      </c>
      <c r="F309" s="1310" t="s">
        <v>1476</v>
      </c>
      <c r="G309" s="1310" t="s">
        <v>1476</v>
      </c>
      <c r="H309" s="1310" t="s">
        <v>1476</v>
      </c>
      <c r="I309" s="1310" t="s">
        <v>1476</v>
      </c>
      <c r="J309" s="1310" t="s">
        <v>1476</v>
      </c>
      <c r="K309" s="1310" t="s">
        <v>1476</v>
      </c>
      <c r="L309" s="1310" t="s">
        <v>1476</v>
      </c>
      <c r="M309" s="1310" t="s">
        <v>1476</v>
      </c>
      <c r="N309" s="1310" t="s">
        <v>1476</v>
      </c>
      <c r="O309" s="1310" t="s">
        <v>1476</v>
      </c>
      <c r="P309" s="1310" t="s">
        <v>1476</v>
      </c>
      <c r="Q309" s="1310" t="s">
        <v>1476</v>
      </c>
      <c r="R309" s="1310" t="s">
        <v>1476</v>
      </c>
      <c r="S309" s="1310" t="s">
        <v>1476</v>
      </c>
      <c r="T309" s="1310" t="s">
        <v>1476</v>
      </c>
      <c r="U309" s="1310" t="s">
        <v>1476</v>
      </c>
      <c r="V309" s="1310" t="s">
        <v>1476</v>
      </c>
      <c r="W309" s="1310" t="s">
        <v>1476</v>
      </c>
      <c r="X309" s="1310" t="s">
        <v>1476</v>
      </c>
      <c r="Y309" s="1310" t="s">
        <v>1476</v>
      </c>
      <c r="Z309" s="1310" t="s">
        <v>1476</v>
      </c>
      <c r="AA309" s="1310" t="s">
        <v>1476</v>
      </c>
      <c r="AB309" s="1310" t="s">
        <v>1476</v>
      </c>
      <c r="AC309" s="1310" t="s">
        <v>1476</v>
      </c>
      <c r="AD309" s="1310" t="s">
        <v>1476</v>
      </c>
      <c r="AE309" s="1310" t="s">
        <v>1476</v>
      </c>
      <c r="AF309" s="1310" t="s">
        <v>1476</v>
      </c>
    </row>
    <row r="310" spans="1:32" x14ac:dyDescent="0.3">
      <c r="A310" s="1310" t="s">
        <v>1476</v>
      </c>
      <c r="B310" s="1310" t="s">
        <v>1476</v>
      </c>
      <c r="C310" s="1310" t="s">
        <v>1476</v>
      </c>
      <c r="D310" s="1310" t="s">
        <v>1476</v>
      </c>
      <c r="E310" s="1310" t="s">
        <v>1476</v>
      </c>
      <c r="F310" s="1310" t="s">
        <v>1476</v>
      </c>
      <c r="G310" s="1310" t="s">
        <v>1476</v>
      </c>
      <c r="H310" s="1310" t="s">
        <v>1476</v>
      </c>
      <c r="I310" s="1310" t="s">
        <v>1476</v>
      </c>
      <c r="J310" s="1310" t="s">
        <v>1476</v>
      </c>
      <c r="K310" s="1310" t="s">
        <v>1476</v>
      </c>
      <c r="L310" s="1310" t="s">
        <v>1476</v>
      </c>
      <c r="M310" s="1310" t="s">
        <v>1476</v>
      </c>
      <c r="N310" s="1310" t="s">
        <v>1476</v>
      </c>
      <c r="O310" s="1310" t="s">
        <v>1476</v>
      </c>
      <c r="P310" s="1310" t="s">
        <v>1476</v>
      </c>
      <c r="Q310" s="1310" t="s">
        <v>1476</v>
      </c>
      <c r="R310" s="1310" t="s">
        <v>1476</v>
      </c>
      <c r="S310" s="1310" t="s">
        <v>1476</v>
      </c>
      <c r="T310" s="1310" t="s">
        <v>1476</v>
      </c>
      <c r="U310" s="1310" t="s">
        <v>1476</v>
      </c>
      <c r="V310" s="1310" t="s">
        <v>1476</v>
      </c>
      <c r="W310" s="1310" t="s">
        <v>1476</v>
      </c>
      <c r="X310" s="1310" t="s">
        <v>1476</v>
      </c>
      <c r="Y310" s="1310" t="s">
        <v>1476</v>
      </c>
      <c r="Z310" s="1310" t="s">
        <v>1476</v>
      </c>
      <c r="AA310" s="1310" t="s">
        <v>1476</v>
      </c>
      <c r="AB310" s="1310" t="s">
        <v>1476</v>
      </c>
      <c r="AC310" s="1310" t="s">
        <v>1476</v>
      </c>
      <c r="AD310" s="1310" t="s">
        <v>1476</v>
      </c>
      <c r="AE310" s="1310" t="s">
        <v>1476</v>
      </c>
      <c r="AF310" s="1310" t="s">
        <v>1476</v>
      </c>
    </row>
    <row r="311" spans="1:32" x14ac:dyDescent="0.3">
      <c r="A311" s="1310" t="s">
        <v>1476</v>
      </c>
      <c r="B311" s="1310" t="s">
        <v>1476</v>
      </c>
      <c r="C311" s="1310" t="s">
        <v>1476</v>
      </c>
      <c r="D311" s="1310" t="s">
        <v>1476</v>
      </c>
      <c r="E311" s="1310" t="s">
        <v>1476</v>
      </c>
      <c r="F311" s="1310" t="s">
        <v>1476</v>
      </c>
      <c r="G311" s="1310" t="s">
        <v>1476</v>
      </c>
      <c r="H311" s="1310" t="s">
        <v>1476</v>
      </c>
      <c r="I311" s="1310" t="s">
        <v>1476</v>
      </c>
      <c r="J311" s="1310" t="s">
        <v>1476</v>
      </c>
      <c r="K311" s="1310" t="s">
        <v>1476</v>
      </c>
      <c r="L311" s="1310" t="s">
        <v>1476</v>
      </c>
      <c r="M311" s="1310" t="s">
        <v>1476</v>
      </c>
      <c r="N311" s="1310" t="s">
        <v>1476</v>
      </c>
      <c r="O311" s="1310" t="s">
        <v>1476</v>
      </c>
      <c r="P311" s="1310" t="s">
        <v>1476</v>
      </c>
      <c r="Q311" s="1310" t="s">
        <v>1476</v>
      </c>
      <c r="R311" s="1310" t="s">
        <v>1476</v>
      </c>
      <c r="S311" s="1310" t="s">
        <v>1476</v>
      </c>
      <c r="T311" s="1310" t="s">
        <v>1476</v>
      </c>
      <c r="U311" s="1310" t="s">
        <v>1476</v>
      </c>
      <c r="V311" s="1310" t="s">
        <v>1476</v>
      </c>
      <c r="W311" s="1310" t="s">
        <v>1476</v>
      </c>
      <c r="X311" s="1310" t="s">
        <v>1476</v>
      </c>
      <c r="Y311" s="1310" t="s">
        <v>1476</v>
      </c>
      <c r="Z311" s="1310" t="s">
        <v>1476</v>
      </c>
      <c r="AA311" s="1310" t="s">
        <v>1476</v>
      </c>
      <c r="AB311" s="1310" t="s">
        <v>1476</v>
      </c>
      <c r="AC311" s="1310" t="s">
        <v>1476</v>
      </c>
      <c r="AD311" s="1310" t="s">
        <v>1476</v>
      </c>
      <c r="AE311" s="1310" t="s">
        <v>1476</v>
      </c>
      <c r="AF311" s="1310" t="s">
        <v>1476</v>
      </c>
    </row>
    <row r="312" spans="1:32" x14ac:dyDescent="0.3">
      <c r="A312" s="1310" t="s">
        <v>1476</v>
      </c>
      <c r="B312" s="1310" t="s">
        <v>1476</v>
      </c>
      <c r="C312" s="1310" t="s">
        <v>1476</v>
      </c>
      <c r="D312" s="1310" t="s">
        <v>1476</v>
      </c>
      <c r="E312" s="1310" t="s">
        <v>1476</v>
      </c>
      <c r="F312" s="1310" t="s">
        <v>1476</v>
      </c>
      <c r="G312" s="1310" t="s">
        <v>1476</v>
      </c>
      <c r="H312" s="1310" t="s">
        <v>1476</v>
      </c>
      <c r="I312" s="1310" t="s">
        <v>1476</v>
      </c>
      <c r="J312" s="1310" t="s">
        <v>1476</v>
      </c>
      <c r="K312" s="1310" t="s">
        <v>1476</v>
      </c>
      <c r="L312" s="1310" t="s">
        <v>1476</v>
      </c>
      <c r="M312" s="1310" t="s">
        <v>1476</v>
      </c>
      <c r="N312" s="1310" t="s">
        <v>1476</v>
      </c>
      <c r="O312" s="1310" t="s">
        <v>1476</v>
      </c>
      <c r="P312" s="1310" t="s">
        <v>1476</v>
      </c>
      <c r="Q312" s="1310" t="s">
        <v>1476</v>
      </c>
      <c r="R312" s="1310" t="s">
        <v>1476</v>
      </c>
      <c r="S312" s="1310" t="s">
        <v>1476</v>
      </c>
      <c r="T312" s="1310" t="s">
        <v>1476</v>
      </c>
      <c r="U312" s="1310" t="s">
        <v>1476</v>
      </c>
      <c r="V312" s="1310" t="s">
        <v>1476</v>
      </c>
      <c r="W312" s="1310" t="s">
        <v>1476</v>
      </c>
      <c r="X312" s="1310" t="s">
        <v>1476</v>
      </c>
      <c r="Y312" s="1310" t="s">
        <v>1476</v>
      </c>
      <c r="Z312" s="1310" t="s">
        <v>1476</v>
      </c>
      <c r="AA312" s="1310" t="s">
        <v>1476</v>
      </c>
      <c r="AB312" s="1310" t="s">
        <v>1476</v>
      </c>
      <c r="AC312" s="1310" t="s">
        <v>1476</v>
      </c>
      <c r="AD312" s="1310" t="s">
        <v>1476</v>
      </c>
      <c r="AE312" s="1310" t="s">
        <v>1476</v>
      </c>
      <c r="AF312" s="1310" t="s">
        <v>1476</v>
      </c>
    </row>
    <row r="313" spans="1:32" x14ac:dyDescent="0.3">
      <c r="A313" s="1310" t="s">
        <v>1476</v>
      </c>
      <c r="B313" s="1310" t="s">
        <v>1476</v>
      </c>
      <c r="C313" s="1310" t="s">
        <v>1476</v>
      </c>
      <c r="D313" s="1310" t="s">
        <v>1476</v>
      </c>
      <c r="E313" s="1310" t="s">
        <v>1476</v>
      </c>
      <c r="F313" s="1310" t="s">
        <v>1476</v>
      </c>
      <c r="G313" s="1310" t="s">
        <v>1476</v>
      </c>
      <c r="H313" s="1310" t="s">
        <v>1476</v>
      </c>
      <c r="I313" s="1310" t="s">
        <v>1476</v>
      </c>
      <c r="J313" s="1310" t="s">
        <v>1476</v>
      </c>
      <c r="K313" s="1310" t="s">
        <v>1476</v>
      </c>
      <c r="L313" s="1310" t="s">
        <v>1476</v>
      </c>
      <c r="M313" s="1310" t="s">
        <v>1476</v>
      </c>
      <c r="N313" s="1310" t="s">
        <v>1476</v>
      </c>
      <c r="O313" s="1310" t="s">
        <v>1476</v>
      </c>
      <c r="P313" s="1310" t="s">
        <v>1476</v>
      </c>
      <c r="Q313" s="1310" t="s">
        <v>1476</v>
      </c>
      <c r="R313" s="1310" t="s">
        <v>1476</v>
      </c>
      <c r="S313" s="1310" t="s">
        <v>1476</v>
      </c>
      <c r="T313" s="1310" t="s">
        <v>1476</v>
      </c>
      <c r="U313" s="1310" t="s">
        <v>1476</v>
      </c>
      <c r="V313" s="1310" t="s">
        <v>1476</v>
      </c>
      <c r="W313" s="1310" t="s">
        <v>1476</v>
      </c>
      <c r="X313" s="1310" t="s">
        <v>1476</v>
      </c>
      <c r="Y313" s="1310" t="s">
        <v>1476</v>
      </c>
      <c r="Z313" s="1310" t="s">
        <v>1476</v>
      </c>
      <c r="AA313" s="1310" t="s">
        <v>1476</v>
      </c>
      <c r="AB313" s="1310" t="s">
        <v>1476</v>
      </c>
      <c r="AC313" s="1310" t="s">
        <v>1476</v>
      </c>
      <c r="AD313" s="1310" t="s">
        <v>1476</v>
      </c>
      <c r="AE313" s="1310" t="s">
        <v>1476</v>
      </c>
      <c r="AF313" s="1310" t="s">
        <v>1476</v>
      </c>
    </row>
    <row r="314" spans="1:32" x14ac:dyDescent="0.3">
      <c r="A314" s="1310" t="s">
        <v>1476</v>
      </c>
      <c r="B314" s="1310" t="s">
        <v>1476</v>
      </c>
      <c r="C314" s="1310" t="s">
        <v>1476</v>
      </c>
      <c r="D314" s="1310" t="s">
        <v>1476</v>
      </c>
      <c r="E314" s="1310" t="s">
        <v>1476</v>
      </c>
      <c r="F314" s="1310" t="s">
        <v>1476</v>
      </c>
      <c r="G314" s="1310" t="s">
        <v>1476</v>
      </c>
      <c r="H314" s="1310" t="s">
        <v>1476</v>
      </c>
      <c r="I314" s="1310" t="s">
        <v>1476</v>
      </c>
      <c r="J314" s="1310" t="s">
        <v>1476</v>
      </c>
      <c r="K314" s="1310" t="s">
        <v>1476</v>
      </c>
      <c r="L314" s="1310" t="s">
        <v>1476</v>
      </c>
      <c r="M314" s="1310" t="s">
        <v>1476</v>
      </c>
      <c r="N314" s="1310" t="s">
        <v>1476</v>
      </c>
      <c r="O314" s="1310" t="s">
        <v>1476</v>
      </c>
      <c r="P314" s="1310" t="s">
        <v>1476</v>
      </c>
      <c r="Q314" s="1310" t="s">
        <v>1476</v>
      </c>
      <c r="R314" s="1310" t="s">
        <v>1476</v>
      </c>
      <c r="S314" s="1310" t="s">
        <v>1476</v>
      </c>
      <c r="T314" s="1310" t="s">
        <v>1476</v>
      </c>
      <c r="U314" s="1310" t="s">
        <v>1476</v>
      </c>
      <c r="V314" s="1310" t="s">
        <v>1476</v>
      </c>
      <c r="W314" s="1310" t="s">
        <v>1476</v>
      </c>
      <c r="X314" s="1310" t="s">
        <v>1476</v>
      </c>
      <c r="Y314" s="1310" t="s">
        <v>1476</v>
      </c>
      <c r="Z314" s="1310" t="s">
        <v>1476</v>
      </c>
      <c r="AA314" s="1310" t="s">
        <v>1476</v>
      </c>
      <c r="AB314" s="1310" t="s">
        <v>1476</v>
      </c>
      <c r="AC314" s="1310" t="s">
        <v>1476</v>
      </c>
      <c r="AD314" s="1310" t="s">
        <v>1476</v>
      </c>
      <c r="AE314" s="1310" t="s">
        <v>1476</v>
      </c>
      <c r="AF314" s="1310" t="s">
        <v>1476</v>
      </c>
    </row>
    <row r="315" spans="1:32" x14ac:dyDescent="0.3">
      <c r="A315" s="1310" t="s">
        <v>1476</v>
      </c>
      <c r="B315" s="1310" t="s">
        <v>1476</v>
      </c>
      <c r="C315" s="1310" t="s">
        <v>1476</v>
      </c>
      <c r="D315" s="1310" t="s">
        <v>1476</v>
      </c>
      <c r="E315" s="1310" t="s">
        <v>1476</v>
      </c>
      <c r="F315" s="1310" t="s">
        <v>1476</v>
      </c>
      <c r="G315" s="1310" t="s">
        <v>1476</v>
      </c>
      <c r="H315" s="1310" t="s">
        <v>1476</v>
      </c>
      <c r="I315" s="1310" t="s">
        <v>1476</v>
      </c>
      <c r="J315" s="1310" t="s">
        <v>1476</v>
      </c>
      <c r="K315" s="1310" t="s">
        <v>1476</v>
      </c>
      <c r="L315" s="1310" t="s">
        <v>1476</v>
      </c>
      <c r="M315" s="1310" t="s">
        <v>1476</v>
      </c>
      <c r="N315" s="1310" t="s">
        <v>1476</v>
      </c>
      <c r="O315" s="1310" t="s">
        <v>1476</v>
      </c>
      <c r="P315" s="1310" t="s">
        <v>1476</v>
      </c>
      <c r="Q315" s="1310" t="s">
        <v>1476</v>
      </c>
      <c r="R315" s="1310" t="s">
        <v>1476</v>
      </c>
      <c r="S315" s="1310" t="s">
        <v>1476</v>
      </c>
      <c r="T315" s="1310" t="s">
        <v>1476</v>
      </c>
      <c r="U315" s="1310" t="s">
        <v>1476</v>
      </c>
      <c r="V315" s="1310" t="s">
        <v>1476</v>
      </c>
      <c r="W315" s="1310" t="s">
        <v>1476</v>
      </c>
      <c r="X315" s="1310" t="s">
        <v>1476</v>
      </c>
      <c r="Y315" s="1310" t="s">
        <v>1476</v>
      </c>
      <c r="Z315" s="1310" t="s">
        <v>1476</v>
      </c>
      <c r="AA315" s="1310" t="s">
        <v>1476</v>
      </c>
      <c r="AB315" s="1310" t="s">
        <v>1476</v>
      </c>
      <c r="AC315" s="1310" t="s">
        <v>1476</v>
      </c>
      <c r="AD315" s="1310" t="s">
        <v>1476</v>
      </c>
      <c r="AE315" s="1310" t="s">
        <v>1476</v>
      </c>
      <c r="AF315" s="1310" t="s">
        <v>1476</v>
      </c>
    </row>
    <row r="316" spans="1:32" x14ac:dyDescent="0.3">
      <c r="A316" s="1310" t="s">
        <v>1476</v>
      </c>
      <c r="B316" s="1310" t="s">
        <v>1476</v>
      </c>
      <c r="C316" s="1310" t="s">
        <v>1476</v>
      </c>
      <c r="D316" s="1310" t="s">
        <v>1476</v>
      </c>
      <c r="E316" s="1310" t="s">
        <v>1476</v>
      </c>
      <c r="F316" s="1310" t="s">
        <v>1476</v>
      </c>
      <c r="G316" s="1310" t="s">
        <v>1476</v>
      </c>
      <c r="H316" s="1310" t="s">
        <v>1476</v>
      </c>
      <c r="I316" s="1310" t="s">
        <v>1476</v>
      </c>
      <c r="J316" s="1310" t="s">
        <v>1476</v>
      </c>
      <c r="K316" s="1310" t="s">
        <v>1476</v>
      </c>
      <c r="L316" s="1310" t="s">
        <v>1476</v>
      </c>
      <c r="M316" s="1310" t="s">
        <v>1476</v>
      </c>
      <c r="N316" s="1310" t="s">
        <v>1476</v>
      </c>
      <c r="O316" s="1310" t="s">
        <v>1476</v>
      </c>
      <c r="P316" s="1310" t="s">
        <v>1476</v>
      </c>
      <c r="Q316" s="1310" t="s">
        <v>1476</v>
      </c>
      <c r="R316" s="1310" t="s">
        <v>1476</v>
      </c>
      <c r="S316" s="1310" t="s">
        <v>1476</v>
      </c>
      <c r="T316" s="1310" t="s">
        <v>1476</v>
      </c>
      <c r="U316" s="1310" t="s">
        <v>1476</v>
      </c>
      <c r="V316" s="1310" t="s">
        <v>1476</v>
      </c>
      <c r="W316" s="1310" t="s">
        <v>1476</v>
      </c>
      <c r="X316" s="1310" t="s">
        <v>1476</v>
      </c>
      <c r="Y316" s="1310" t="s">
        <v>1476</v>
      </c>
      <c r="Z316" s="1310" t="s">
        <v>1476</v>
      </c>
      <c r="AA316" s="1310" t="s">
        <v>1476</v>
      </c>
      <c r="AB316" s="1310" t="s">
        <v>1476</v>
      </c>
      <c r="AC316" s="1310" t="s">
        <v>1476</v>
      </c>
      <c r="AD316" s="1310" t="s">
        <v>1476</v>
      </c>
      <c r="AE316" s="1310" t="s">
        <v>1476</v>
      </c>
      <c r="AF316" s="1310" t="s">
        <v>1476</v>
      </c>
    </row>
    <row r="317" spans="1:32" x14ac:dyDescent="0.3">
      <c r="A317" s="1310" t="s">
        <v>1476</v>
      </c>
      <c r="B317" s="1310" t="s">
        <v>1476</v>
      </c>
      <c r="C317" s="1310" t="s">
        <v>1476</v>
      </c>
      <c r="D317" s="1310" t="s">
        <v>1476</v>
      </c>
      <c r="E317" s="1310" t="s">
        <v>1476</v>
      </c>
      <c r="F317" s="1310" t="s">
        <v>1476</v>
      </c>
      <c r="G317" s="1310" t="s">
        <v>1476</v>
      </c>
      <c r="H317" s="1310" t="s">
        <v>1476</v>
      </c>
      <c r="I317" s="1310" t="s">
        <v>1476</v>
      </c>
      <c r="J317" s="1310" t="s">
        <v>1476</v>
      </c>
      <c r="K317" s="1310" t="s">
        <v>1476</v>
      </c>
      <c r="L317" s="1310" t="s">
        <v>1476</v>
      </c>
      <c r="M317" s="1310" t="s">
        <v>1476</v>
      </c>
      <c r="N317" s="1310" t="s">
        <v>1476</v>
      </c>
      <c r="O317" s="1310" t="s">
        <v>1476</v>
      </c>
      <c r="P317" s="1310" t="s">
        <v>1476</v>
      </c>
      <c r="Q317" s="1310" t="s">
        <v>1476</v>
      </c>
      <c r="R317" s="1310" t="s">
        <v>1476</v>
      </c>
      <c r="S317" s="1310" t="s">
        <v>1476</v>
      </c>
      <c r="T317" s="1310" t="s">
        <v>1476</v>
      </c>
      <c r="U317" s="1310" t="s">
        <v>1476</v>
      </c>
      <c r="V317" s="1310" t="s">
        <v>1476</v>
      </c>
      <c r="W317" s="1310" t="s">
        <v>1476</v>
      </c>
      <c r="X317" s="1310" t="s">
        <v>1476</v>
      </c>
      <c r="Y317" s="1310" t="s">
        <v>1476</v>
      </c>
      <c r="Z317" s="1310" t="s">
        <v>1476</v>
      </c>
      <c r="AA317" s="1310" t="s">
        <v>1476</v>
      </c>
      <c r="AB317" s="1310" t="s">
        <v>1476</v>
      </c>
      <c r="AC317" s="1310" t="s">
        <v>1476</v>
      </c>
      <c r="AD317" s="1310" t="s">
        <v>1476</v>
      </c>
      <c r="AE317" s="1310" t="s">
        <v>1476</v>
      </c>
      <c r="AF317" s="1310" t="s">
        <v>1476</v>
      </c>
    </row>
    <row r="318" spans="1:32" x14ac:dyDescent="0.3">
      <c r="A318" s="1310" t="s">
        <v>1476</v>
      </c>
      <c r="B318" s="1310" t="s">
        <v>1476</v>
      </c>
      <c r="C318" s="1310" t="s">
        <v>1476</v>
      </c>
      <c r="D318" s="1310" t="s">
        <v>1476</v>
      </c>
      <c r="E318" s="1310" t="s">
        <v>1476</v>
      </c>
      <c r="F318" s="1310" t="s">
        <v>1476</v>
      </c>
      <c r="G318" s="1310" t="s">
        <v>1476</v>
      </c>
      <c r="H318" s="1310" t="s">
        <v>1476</v>
      </c>
      <c r="I318" s="1310" t="s">
        <v>1476</v>
      </c>
      <c r="J318" s="1310" t="s">
        <v>1476</v>
      </c>
      <c r="K318" s="1310" t="s">
        <v>1476</v>
      </c>
      <c r="L318" s="1310" t="s">
        <v>1476</v>
      </c>
      <c r="M318" s="1310" t="s">
        <v>1476</v>
      </c>
      <c r="N318" s="1310" t="s">
        <v>1476</v>
      </c>
      <c r="O318" s="1310" t="s">
        <v>1476</v>
      </c>
      <c r="P318" s="1310" t="s">
        <v>1476</v>
      </c>
      <c r="Q318" s="1310" t="s">
        <v>1476</v>
      </c>
      <c r="R318" s="1310" t="s">
        <v>1476</v>
      </c>
      <c r="S318" s="1310" t="s">
        <v>1476</v>
      </c>
      <c r="T318" s="1310" t="s">
        <v>1476</v>
      </c>
      <c r="U318" s="1310" t="s">
        <v>1476</v>
      </c>
      <c r="V318" s="1310" t="s">
        <v>1476</v>
      </c>
      <c r="W318" s="1310" t="s">
        <v>1476</v>
      </c>
      <c r="X318" s="1310" t="s">
        <v>1476</v>
      </c>
      <c r="Y318" s="1310" t="s">
        <v>1476</v>
      </c>
      <c r="Z318" s="1310" t="s">
        <v>1476</v>
      </c>
      <c r="AA318" s="1310" t="s">
        <v>1476</v>
      </c>
      <c r="AB318" s="1310" t="s">
        <v>1476</v>
      </c>
      <c r="AC318" s="1310" t="s">
        <v>1476</v>
      </c>
      <c r="AD318" s="1310" t="s">
        <v>1476</v>
      </c>
      <c r="AE318" s="1310" t="s">
        <v>1476</v>
      </c>
      <c r="AF318" s="1310" t="s">
        <v>1476</v>
      </c>
    </row>
    <row r="319" spans="1:32" x14ac:dyDescent="0.3">
      <c r="A319" s="1310" t="s">
        <v>1476</v>
      </c>
      <c r="B319" s="1310" t="s">
        <v>1476</v>
      </c>
      <c r="C319" s="1310" t="s">
        <v>1476</v>
      </c>
      <c r="D319" s="1310" t="s">
        <v>1476</v>
      </c>
      <c r="E319" s="1310" t="s">
        <v>1476</v>
      </c>
      <c r="F319" s="1310" t="s">
        <v>1476</v>
      </c>
      <c r="G319" s="1310" t="s">
        <v>1476</v>
      </c>
      <c r="H319" s="1310" t="s">
        <v>1476</v>
      </c>
      <c r="I319" s="1310" t="s">
        <v>1476</v>
      </c>
      <c r="J319" s="1310" t="s">
        <v>1476</v>
      </c>
      <c r="K319" s="1310" t="s">
        <v>1476</v>
      </c>
      <c r="L319" s="1310" t="s">
        <v>1476</v>
      </c>
      <c r="M319" s="1310" t="s">
        <v>1476</v>
      </c>
      <c r="N319" s="1310" t="s">
        <v>1476</v>
      </c>
      <c r="O319" s="1310" t="s">
        <v>1476</v>
      </c>
      <c r="P319" s="1310" t="s">
        <v>1476</v>
      </c>
      <c r="Q319" s="1310" t="s">
        <v>1476</v>
      </c>
      <c r="R319" s="1310" t="s">
        <v>1476</v>
      </c>
      <c r="S319" s="1310" t="s">
        <v>1476</v>
      </c>
      <c r="T319" s="1310" t="s">
        <v>1476</v>
      </c>
      <c r="U319" s="1310" t="s">
        <v>1476</v>
      </c>
      <c r="V319" s="1310" t="s">
        <v>1476</v>
      </c>
      <c r="W319" s="1310" t="s">
        <v>1476</v>
      </c>
      <c r="X319" s="1310" t="s">
        <v>1476</v>
      </c>
      <c r="Y319" s="1310" t="s">
        <v>1476</v>
      </c>
      <c r="Z319" s="1310" t="s">
        <v>1476</v>
      </c>
      <c r="AA319" s="1310" t="s">
        <v>1476</v>
      </c>
      <c r="AB319" s="1310" t="s">
        <v>1476</v>
      </c>
      <c r="AC319" s="1310" t="s">
        <v>1476</v>
      </c>
      <c r="AD319" s="1310" t="s">
        <v>1476</v>
      </c>
      <c r="AE319" s="1310" t="s">
        <v>1476</v>
      </c>
      <c r="AF319" s="1310" t="s">
        <v>1476</v>
      </c>
    </row>
    <row r="320" spans="1:32" x14ac:dyDescent="0.3">
      <c r="A320" s="1310" t="s">
        <v>1476</v>
      </c>
      <c r="B320" s="1310" t="s">
        <v>1476</v>
      </c>
      <c r="C320" s="1310" t="s">
        <v>1476</v>
      </c>
      <c r="D320" s="1310" t="s">
        <v>1476</v>
      </c>
      <c r="E320" s="1310" t="s">
        <v>1476</v>
      </c>
      <c r="F320" s="1310" t="s">
        <v>1476</v>
      </c>
      <c r="G320" s="1310" t="s">
        <v>1476</v>
      </c>
      <c r="H320" s="1310" t="s">
        <v>1476</v>
      </c>
      <c r="I320" s="1310" t="s">
        <v>1476</v>
      </c>
      <c r="J320" s="1310" t="s">
        <v>1476</v>
      </c>
      <c r="K320" s="1310" t="s">
        <v>1476</v>
      </c>
      <c r="L320" s="1310" t="s">
        <v>1476</v>
      </c>
      <c r="M320" s="1310" t="s">
        <v>1476</v>
      </c>
      <c r="N320" s="1310" t="s">
        <v>1476</v>
      </c>
      <c r="O320" s="1310" t="s">
        <v>1476</v>
      </c>
      <c r="P320" s="1310" t="s">
        <v>1476</v>
      </c>
      <c r="Q320" s="1310" t="s">
        <v>1476</v>
      </c>
      <c r="R320" s="1310" t="s">
        <v>1476</v>
      </c>
      <c r="S320" s="1310" t="s">
        <v>1476</v>
      </c>
      <c r="T320" s="1310" t="s">
        <v>1476</v>
      </c>
      <c r="U320" s="1310" t="s">
        <v>1476</v>
      </c>
      <c r="V320" s="1310" t="s">
        <v>1476</v>
      </c>
      <c r="W320" s="1310" t="s">
        <v>1476</v>
      </c>
      <c r="X320" s="1310" t="s">
        <v>1476</v>
      </c>
      <c r="Y320" s="1310" t="s">
        <v>1476</v>
      </c>
      <c r="Z320" s="1310" t="s">
        <v>1476</v>
      </c>
      <c r="AA320" s="1310" t="s">
        <v>1476</v>
      </c>
      <c r="AB320" s="1310" t="s">
        <v>1476</v>
      </c>
      <c r="AC320" s="1310" t="s">
        <v>1476</v>
      </c>
      <c r="AD320" s="1310" t="s">
        <v>1476</v>
      </c>
      <c r="AE320" s="1310" t="s">
        <v>1476</v>
      </c>
      <c r="AF320" s="1310" t="s">
        <v>1476</v>
      </c>
    </row>
    <row r="321" spans="1:32" x14ac:dyDescent="0.3">
      <c r="A321" s="1310" t="s">
        <v>1476</v>
      </c>
      <c r="B321" s="1310" t="s">
        <v>1476</v>
      </c>
      <c r="C321" s="1310" t="s">
        <v>1476</v>
      </c>
      <c r="D321" s="1310" t="s">
        <v>1476</v>
      </c>
      <c r="E321" s="1310" t="s">
        <v>1476</v>
      </c>
      <c r="F321" s="1310" t="s">
        <v>1476</v>
      </c>
      <c r="G321" s="1310" t="s">
        <v>1476</v>
      </c>
      <c r="H321" s="1310" t="s">
        <v>1476</v>
      </c>
      <c r="I321" s="1310" t="s">
        <v>1476</v>
      </c>
      <c r="J321" s="1310" t="s">
        <v>1476</v>
      </c>
      <c r="K321" s="1310" t="s">
        <v>1476</v>
      </c>
      <c r="L321" s="1310" t="s">
        <v>1476</v>
      </c>
      <c r="M321" s="1310" t="s">
        <v>1476</v>
      </c>
      <c r="N321" s="1310" t="s">
        <v>1476</v>
      </c>
      <c r="O321" s="1310" t="s">
        <v>1476</v>
      </c>
      <c r="P321" s="1310" t="s">
        <v>1476</v>
      </c>
      <c r="Q321" s="1310" t="s">
        <v>1476</v>
      </c>
      <c r="R321" s="1310" t="s">
        <v>1476</v>
      </c>
      <c r="S321" s="1310" t="s">
        <v>1476</v>
      </c>
      <c r="T321" s="1310" t="s">
        <v>1476</v>
      </c>
      <c r="U321" s="1310" t="s">
        <v>1476</v>
      </c>
      <c r="V321" s="1310" t="s">
        <v>1476</v>
      </c>
      <c r="W321" s="1310" t="s">
        <v>1476</v>
      </c>
      <c r="X321" s="1310" t="s">
        <v>1476</v>
      </c>
      <c r="Y321" s="1310" t="s">
        <v>1476</v>
      </c>
      <c r="Z321" s="1310" t="s">
        <v>1476</v>
      </c>
      <c r="AA321" s="1310" t="s">
        <v>1476</v>
      </c>
      <c r="AB321" s="1310" t="s">
        <v>1476</v>
      </c>
      <c r="AC321" s="1310" t="s">
        <v>1476</v>
      </c>
      <c r="AD321" s="1310" t="s">
        <v>1476</v>
      </c>
      <c r="AE321" s="1310" t="s">
        <v>1476</v>
      </c>
      <c r="AF321" s="1310" t="s">
        <v>1476</v>
      </c>
    </row>
    <row r="322" spans="1:32" x14ac:dyDescent="0.3">
      <c r="A322" s="1310" t="s">
        <v>1476</v>
      </c>
      <c r="B322" s="1310" t="s">
        <v>1476</v>
      </c>
      <c r="C322" s="1310" t="s">
        <v>1476</v>
      </c>
      <c r="D322" s="1310" t="s">
        <v>1476</v>
      </c>
      <c r="E322" s="1310" t="s">
        <v>1476</v>
      </c>
      <c r="F322" s="1310" t="s">
        <v>1476</v>
      </c>
      <c r="G322" s="1310" t="s">
        <v>1476</v>
      </c>
      <c r="H322" s="1310" t="s">
        <v>1476</v>
      </c>
      <c r="I322" s="1310" t="s">
        <v>1476</v>
      </c>
      <c r="J322" s="1310" t="s">
        <v>1476</v>
      </c>
      <c r="K322" s="1310" t="s">
        <v>1476</v>
      </c>
      <c r="L322" s="1310" t="s">
        <v>1476</v>
      </c>
      <c r="M322" s="1310" t="s">
        <v>1476</v>
      </c>
      <c r="N322" s="1310" t="s">
        <v>1476</v>
      </c>
      <c r="O322" s="1310" t="s">
        <v>1476</v>
      </c>
      <c r="P322" s="1310" t="s">
        <v>1476</v>
      </c>
      <c r="Q322" s="1310" t="s">
        <v>1476</v>
      </c>
      <c r="R322" s="1310" t="s">
        <v>1476</v>
      </c>
      <c r="S322" s="1310" t="s">
        <v>1476</v>
      </c>
      <c r="T322" s="1310" t="s">
        <v>1476</v>
      </c>
      <c r="U322" s="1310" t="s">
        <v>1476</v>
      </c>
      <c r="V322" s="1310" t="s">
        <v>1476</v>
      </c>
      <c r="W322" s="1310" t="s">
        <v>1476</v>
      </c>
      <c r="X322" s="1310" t="s">
        <v>1476</v>
      </c>
      <c r="Y322" s="1310" t="s">
        <v>1476</v>
      </c>
      <c r="Z322" s="1310" t="s">
        <v>1476</v>
      </c>
      <c r="AA322" s="1310" t="s">
        <v>1476</v>
      </c>
      <c r="AB322" s="1310" t="s">
        <v>1476</v>
      </c>
      <c r="AC322" s="1310" t="s">
        <v>1476</v>
      </c>
      <c r="AD322" s="1310" t="s">
        <v>1476</v>
      </c>
      <c r="AE322" s="1310" t="s">
        <v>1476</v>
      </c>
      <c r="AF322" s="1310" t="s">
        <v>1476</v>
      </c>
    </row>
    <row r="323" spans="1:32" x14ac:dyDescent="0.3">
      <c r="A323" s="1310" t="s">
        <v>1476</v>
      </c>
      <c r="B323" s="1310" t="s">
        <v>1476</v>
      </c>
      <c r="C323" s="1310" t="s">
        <v>1476</v>
      </c>
      <c r="D323" s="1310" t="s">
        <v>1476</v>
      </c>
      <c r="E323" s="1310" t="s">
        <v>1476</v>
      </c>
      <c r="F323" s="1310" t="s">
        <v>1476</v>
      </c>
      <c r="G323" s="1310" t="s">
        <v>1476</v>
      </c>
      <c r="H323" s="1310" t="s">
        <v>1476</v>
      </c>
      <c r="I323" s="1310" t="s">
        <v>1476</v>
      </c>
      <c r="J323" s="1310" t="s">
        <v>1476</v>
      </c>
      <c r="K323" s="1310" t="s">
        <v>1476</v>
      </c>
      <c r="L323" s="1310" t="s">
        <v>1476</v>
      </c>
      <c r="M323" s="1310" t="s">
        <v>1476</v>
      </c>
      <c r="N323" s="1310" t="s">
        <v>1476</v>
      </c>
      <c r="O323" s="1310" t="s">
        <v>1476</v>
      </c>
      <c r="P323" s="1310" t="s">
        <v>1476</v>
      </c>
      <c r="Q323" s="1310" t="s">
        <v>1476</v>
      </c>
      <c r="R323" s="1310" t="s">
        <v>1476</v>
      </c>
      <c r="S323" s="1310" t="s">
        <v>1476</v>
      </c>
      <c r="T323" s="1310" t="s">
        <v>1476</v>
      </c>
      <c r="U323" s="1310" t="s">
        <v>1476</v>
      </c>
      <c r="V323" s="1310" t="s">
        <v>1476</v>
      </c>
      <c r="W323" s="1310" t="s">
        <v>1476</v>
      </c>
      <c r="X323" s="1310" t="s">
        <v>1476</v>
      </c>
      <c r="Y323" s="1310" t="s">
        <v>1476</v>
      </c>
      <c r="Z323" s="1310" t="s">
        <v>1476</v>
      </c>
      <c r="AA323" s="1310" t="s">
        <v>1476</v>
      </c>
      <c r="AB323" s="1310" t="s">
        <v>1476</v>
      </c>
      <c r="AC323" s="1310" t="s">
        <v>1476</v>
      </c>
      <c r="AD323" s="1310" t="s">
        <v>1476</v>
      </c>
      <c r="AE323" s="1310" t="s">
        <v>1476</v>
      </c>
      <c r="AF323" s="1310" t="s">
        <v>1476</v>
      </c>
    </row>
    <row r="324" spans="1:32" x14ac:dyDescent="0.3">
      <c r="A324" s="1310" t="s">
        <v>1476</v>
      </c>
      <c r="B324" s="1310" t="s">
        <v>1476</v>
      </c>
      <c r="C324" s="1310" t="s">
        <v>1476</v>
      </c>
      <c r="D324" s="1310" t="s">
        <v>1476</v>
      </c>
      <c r="E324" s="1310" t="s">
        <v>1476</v>
      </c>
      <c r="F324" s="1310" t="s">
        <v>1476</v>
      </c>
      <c r="G324" s="1310" t="s">
        <v>1476</v>
      </c>
      <c r="H324" s="1310" t="s">
        <v>1476</v>
      </c>
      <c r="I324" s="1310" t="s">
        <v>1476</v>
      </c>
      <c r="J324" s="1310" t="s">
        <v>1476</v>
      </c>
      <c r="K324" s="1310" t="s">
        <v>1476</v>
      </c>
      <c r="L324" s="1310" t="s">
        <v>1476</v>
      </c>
      <c r="M324" s="1310" t="s">
        <v>1476</v>
      </c>
      <c r="N324" s="1310" t="s">
        <v>1476</v>
      </c>
      <c r="O324" s="1310" t="s">
        <v>1476</v>
      </c>
      <c r="P324" s="1310" t="s">
        <v>1476</v>
      </c>
      <c r="Q324" s="1310" t="s">
        <v>1476</v>
      </c>
      <c r="R324" s="1310" t="s">
        <v>1476</v>
      </c>
      <c r="S324" s="1310" t="s">
        <v>1476</v>
      </c>
      <c r="T324" s="1310" t="s">
        <v>1476</v>
      </c>
      <c r="U324" s="1310" t="s">
        <v>1476</v>
      </c>
      <c r="V324" s="1310" t="s">
        <v>1476</v>
      </c>
      <c r="W324" s="1310" t="s">
        <v>1476</v>
      </c>
      <c r="X324" s="1310" t="s">
        <v>1476</v>
      </c>
      <c r="Y324" s="1310" t="s">
        <v>1476</v>
      </c>
      <c r="Z324" s="1310" t="s">
        <v>1476</v>
      </c>
      <c r="AA324" s="1310" t="s">
        <v>1476</v>
      </c>
      <c r="AB324" s="1310" t="s">
        <v>1476</v>
      </c>
      <c r="AC324" s="1310" t="s">
        <v>1476</v>
      </c>
      <c r="AD324" s="1310" t="s">
        <v>1476</v>
      </c>
      <c r="AE324" s="1310" t="s">
        <v>1476</v>
      </c>
      <c r="AF324" s="1310" t="s">
        <v>1476</v>
      </c>
    </row>
    <row r="325" spans="1:32" x14ac:dyDescent="0.3">
      <c r="A325" s="1310" t="s">
        <v>1476</v>
      </c>
      <c r="B325" s="1310" t="s">
        <v>1476</v>
      </c>
      <c r="C325" s="1310" t="s">
        <v>1476</v>
      </c>
      <c r="D325" s="1310" t="s">
        <v>1476</v>
      </c>
      <c r="E325" s="1310" t="s">
        <v>1476</v>
      </c>
      <c r="F325" s="1310" t="s">
        <v>1476</v>
      </c>
      <c r="G325" s="1310" t="s">
        <v>1476</v>
      </c>
      <c r="H325" s="1310" t="s">
        <v>1476</v>
      </c>
      <c r="I325" s="1310" t="s">
        <v>1476</v>
      </c>
      <c r="J325" s="1310" t="s">
        <v>1476</v>
      </c>
      <c r="K325" s="1310" t="s">
        <v>1476</v>
      </c>
      <c r="L325" s="1310" t="s">
        <v>1476</v>
      </c>
      <c r="M325" s="1310" t="s">
        <v>1476</v>
      </c>
      <c r="N325" s="1310" t="s">
        <v>1476</v>
      </c>
      <c r="O325" s="1310" t="s">
        <v>1476</v>
      </c>
      <c r="P325" s="1310" t="s">
        <v>1476</v>
      </c>
      <c r="Q325" s="1310" t="s">
        <v>1476</v>
      </c>
      <c r="R325" s="1310" t="s">
        <v>1476</v>
      </c>
      <c r="S325" s="1310" t="s">
        <v>1476</v>
      </c>
      <c r="T325" s="1310" t="s">
        <v>1476</v>
      </c>
      <c r="U325" s="1310" t="s">
        <v>1476</v>
      </c>
      <c r="V325" s="1310" t="s">
        <v>1476</v>
      </c>
      <c r="W325" s="1310" t="s">
        <v>1476</v>
      </c>
      <c r="X325" s="1310" t="s">
        <v>1476</v>
      </c>
      <c r="Y325" s="1310" t="s">
        <v>1476</v>
      </c>
      <c r="Z325" s="1310" t="s">
        <v>1476</v>
      </c>
      <c r="AA325" s="1310" t="s">
        <v>1476</v>
      </c>
      <c r="AB325" s="1310" t="s">
        <v>1476</v>
      </c>
      <c r="AC325" s="1310" t="s">
        <v>1476</v>
      </c>
      <c r="AD325" s="1310" t="s">
        <v>1476</v>
      </c>
      <c r="AE325" s="1310" t="s">
        <v>1476</v>
      </c>
      <c r="AF325" s="1310" t="s">
        <v>1476</v>
      </c>
    </row>
    <row r="326" spans="1:32" x14ac:dyDescent="0.3">
      <c r="A326" s="1310" t="s">
        <v>1476</v>
      </c>
      <c r="B326" s="1310" t="s">
        <v>1476</v>
      </c>
      <c r="C326" s="1310" t="s">
        <v>1476</v>
      </c>
      <c r="D326" s="1310" t="s">
        <v>1476</v>
      </c>
      <c r="E326" s="1310" t="s">
        <v>1476</v>
      </c>
      <c r="F326" s="1310" t="s">
        <v>1476</v>
      </c>
      <c r="G326" s="1310" t="s">
        <v>1476</v>
      </c>
      <c r="H326" s="1310" t="s">
        <v>1476</v>
      </c>
      <c r="I326" s="1310" t="s">
        <v>1476</v>
      </c>
      <c r="J326" s="1310" t="s">
        <v>1476</v>
      </c>
      <c r="K326" s="1310" t="s">
        <v>1476</v>
      </c>
      <c r="L326" s="1310" t="s">
        <v>1476</v>
      </c>
      <c r="M326" s="1310" t="s">
        <v>1476</v>
      </c>
      <c r="N326" s="1310" t="s">
        <v>1476</v>
      </c>
      <c r="O326" s="1310" t="s">
        <v>1476</v>
      </c>
      <c r="P326" s="1310" t="s">
        <v>1476</v>
      </c>
      <c r="Q326" s="1310" t="s">
        <v>1476</v>
      </c>
      <c r="R326" s="1310" t="s">
        <v>1476</v>
      </c>
      <c r="S326" s="1310" t="s">
        <v>1476</v>
      </c>
      <c r="T326" s="1310" t="s">
        <v>1476</v>
      </c>
      <c r="U326" s="1310" t="s">
        <v>1476</v>
      </c>
      <c r="V326" s="1310" t="s">
        <v>1476</v>
      </c>
      <c r="W326" s="1310" t="s">
        <v>1476</v>
      </c>
      <c r="X326" s="1310" t="s">
        <v>1476</v>
      </c>
      <c r="Y326" s="1310" t="s">
        <v>1476</v>
      </c>
      <c r="Z326" s="1310" t="s">
        <v>1476</v>
      </c>
      <c r="AA326" s="1310" t="s">
        <v>1476</v>
      </c>
      <c r="AB326" s="1310" t="s">
        <v>1476</v>
      </c>
      <c r="AC326" s="1310" t="s">
        <v>1476</v>
      </c>
      <c r="AD326" s="1310" t="s">
        <v>1476</v>
      </c>
      <c r="AE326" s="1310" t="s">
        <v>1476</v>
      </c>
      <c r="AF326" s="1310" t="s">
        <v>1476</v>
      </c>
    </row>
    <row r="327" spans="1:32" x14ac:dyDescent="0.3">
      <c r="A327" s="1310" t="s">
        <v>1476</v>
      </c>
      <c r="B327" s="1310" t="s">
        <v>1476</v>
      </c>
      <c r="C327" s="1310" t="s">
        <v>1476</v>
      </c>
      <c r="D327" s="1310" t="s">
        <v>1476</v>
      </c>
      <c r="E327" s="1310" t="s">
        <v>1476</v>
      </c>
      <c r="F327" s="1310" t="s">
        <v>1476</v>
      </c>
      <c r="G327" s="1310" t="s">
        <v>1476</v>
      </c>
      <c r="H327" s="1310" t="s">
        <v>1476</v>
      </c>
      <c r="I327" s="1310" t="s">
        <v>1476</v>
      </c>
      <c r="J327" s="1310" t="s">
        <v>1476</v>
      </c>
      <c r="K327" s="1310" t="s">
        <v>1476</v>
      </c>
      <c r="L327" s="1310" t="s">
        <v>1476</v>
      </c>
      <c r="M327" s="1310" t="s">
        <v>1476</v>
      </c>
      <c r="N327" s="1310" t="s">
        <v>1476</v>
      </c>
      <c r="O327" s="1310" t="s">
        <v>1476</v>
      </c>
      <c r="P327" s="1310" t="s">
        <v>1476</v>
      </c>
      <c r="Q327" s="1310" t="s">
        <v>1476</v>
      </c>
      <c r="R327" s="1310" t="s">
        <v>1476</v>
      </c>
      <c r="S327" s="1310" t="s">
        <v>1476</v>
      </c>
      <c r="T327" s="1310" t="s">
        <v>1476</v>
      </c>
      <c r="U327" s="1310" t="s">
        <v>1476</v>
      </c>
      <c r="V327" s="1310" t="s">
        <v>1476</v>
      </c>
      <c r="W327" s="1310" t="s">
        <v>1476</v>
      </c>
      <c r="X327" s="1310" t="s">
        <v>1476</v>
      </c>
      <c r="Y327" s="1310" t="s">
        <v>1476</v>
      </c>
      <c r="Z327" s="1310" t="s">
        <v>1476</v>
      </c>
      <c r="AA327" s="1310" t="s">
        <v>1476</v>
      </c>
      <c r="AB327" s="1310" t="s">
        <v>1476</v>
      </c>
      <c r="AC327" s="1310" t="s">
        <v>1476</v>
      </c>
      <c r="AD327" s="1310" t="s">
        <v>1476</v>
      </c>
      <c r="AE327" s="1310" t="s">
        <v>1476</v>
      </c>
      <c r="AF327" s="1310" t="s">
        <v>1476</v>
      </c>
    </row>
    <row r="328" spans="1:32" x14ac:dyDescent="0.3">
      <c r="A328" s="1310" t="s">
        <v>1476</v>
      </c>
      <c r="B328" s="1310" t="s">
        <v>1476</v>
      </c>
      <c r="C328" s="1310" t="s">
        <v>1476</v>
      </c>
      <c r="D328" s="1310" t="s">
        <v>1476</v>
      </c>
      <c r="E328" s="1310" t="s">
        <v>1476</v>
      </c>
      <c r="F328" s="1310" t="s">
        <v>1476</v>
      </c>
      <c r="G328" s="1310" t="s">
        <v>1476</v>
      </c>
      <c r="H328" s="1310" t="s">
        <v>1476</v>
      </c>
      <c r="I328" s="1310" t="s">
        <v>1476</v>
      </c>
      <c r="J328" s="1310" t="s">
        <v>1476</v>
      </c>
      <c r="K328" s="1310" t="s">
        <v>1476</v>
      </c>
      <c r="L328" s="1310" t="s">
        <v>1476</v>
      </c>
      <c r="M328" s="1310" t="s">
        <v>1476</v>
      </c>
      <c r="N328" s="1310" t="s">
        <v>1476</v>
      </c>
      <c r="O328" s="1310" t="s">
        <v>1476</v>
      </c>
      <c r="P328" s="1310" t="s">
        <v>1476</v>
      </c>
      <c r="Q328" s="1310" t="s">
        <v>1476</v>
      </c>
      <c r="R328" s="1310" t="s">
        <v>1476</v>
      </c>
      <c r="S328" s="1310" t="s">
        <v>1476</v>
      </c>
      <c r="T328" s="1310" t="s">
        <v>1476</v>
      </c>
      <c r="U328" s="1310" t="s">
        <v>1476</v>
      </c>
      <c r="V328" s="1310" t="s">
        <v>1476</v>
      </c>
      <c r="W328" s="1310" t="s">
        <v>1476</v>
      </c>
      <c r="X328" s="1310" t="s">
        <v>1476</v>
      </c>
      <c r="Y328" s="1310" t="s">
        <v>1476</v>
      </c>
      <c r="Z328" s="1310" t="s">
        <v>1476</v>
      </c>
      <c r="AA328" s="1310" t="s">
        <v>1476</v>
      </c>
      <c r="AB328" s="1310" t="s">
        <v>1476</v>
      </c>
      <c r="AC328" s="1310" t="s">
        <v>1476</v>
      </c>
      <c r="AD328" s="1310" t="s">
        <v>1476</v>
      </c>
      <c r="AE328" s="1310" t="s">
        <v>1476</v>
      </c>
      <c r="AF328" s="1310" t="s">
        <v>1476</v>
      </c>
    </row>
    <row r="329" spans="1:32" x14ac:dyDescent="0.3">
      <c r="A329" s="1310" t="s">
        <v>1476</v>
      </c>
      <c r="B329" s="1310" t="s">
        <v>1476</v>
      </c>
      <c r="C329" s="1310" t="s">
        <v>1476</v>
      </c>
      <c r="D329" s="1310" t="s">
        <v>1476</v>
      </c>
      <c r="E329" s="1310" t="s">
        <v>1476</v>
      </c>
      <c r="F329" s="1310" t="s">
        <v>1476</v>
      </c>
      <c r="G329" s="1310" t="s">
        <v>1476</v>
      </c>
      <c r="H329" s="1310" t="s">
        <v>1476</v>
      </c>
      <c r="I329" s="1310" t="s">
        <v>1476</v>
      </c>
      <c r="J329" s="1310" t="s">
        <v>1476</v>
      </c>
      <c r="K329" s="1310" t="s">
        <v>1476</v>
      </c>
      <c r="L329" s="1310" t="s">
        <v>1476</v>
      </c>
      <c r="M329" s="1310" t="s">
        <v>1476</v>
      </c>
      <c r="N329" s="1310" t="s">
        <v>1476</v>
      </c>
      <c r="O329" s="1310" t="s">
        <v>1476</v>
      </c>
      <c r="P329" s="1310" t="s">
        <v>1476</v>
      </c>
      <c r="Q329" s="1310" t="s">
        <v>1476</v>
      </c>
      <c r="R329" s="1310" t="s">
        <v>1476</v>
      </c>
      <c r="S329" s="1310" t="s">
        <v>1476</v>
      </c>
      <c r="T329" s="1310" t="s">
        <v>1476</v>
      </c>
      <c r="U329" s="1310" t="s">
        <v>1476</v>
      </c>
      <c r="V329" s="1310" t="s">
        <v>1476</v>
      </c>
      <c r="W329" s="1310" t="s">
        <v>1476</v>
      </c>
      <c r="X329" s="1310" t="s">
        <v>1476</v>
      </c>
      <c r="Y329" s="1310" t="s">
        <v>1476</v>
      </c>
      <c r="Z329" s="1310" t="s">
        <v>1476</v>
      </c>
      <c r="AA329" s="1310" t="s">
        <v>1476</v>
      </c>
      <c r="AB329" s="1310" t="s">
        <v>1476</v>
      </c>
      <c r="AC329" s="1310" t="s">
        <v>1476</v>
      </c>
      <c r="AD329" s="1310" t="s">
        <v>1476</v>
      </c>
      <c r="AE329" s="1310" t="s">
        <v>1476</v>
      </c>
      <c r="AF329" s="1310" t="s">
        <v>1476</v>
      </c>
    </row>
    <row r="330" spans="1:32" x14ac:dyDescent="0.3">
      <c r="A330" s="1310" t="s">
        <v>1476</v>
      </c>
      <c r="B330" s="1310" t="s">
        <v>1476</v>
      </c>
      <c r="C330" s="1310" t="s">
        <v>1476</v>
      </c>
      <c r="D330" s="1310" t="s">
        <v>1476</v>
      </c>
      <c r="E330" s="1310" t="s">
        <v>1476</v>
      </c>
      <c r="F330" s="1310" t="s">
        <v>1476</v>
      </c>
      <c r="G330" s="1310" t="s">
        <v>1476</v>
      </c>
      <c r="H330" s="1310" t="s">
        <v>1476</v>
      </c>
      <c r="I330" s="1310" t="s">
        <v>1476</v>
      </c>
      <c r="J330" s="1310" t="s">
        <v>1476</v>
      </c>
      <c r="K330" s="1310" t="s">
        <v>1476</v>
      </c>
      <c r="L330" s="1310" t="s">
        <v>1476</v>
      </c>
      <c r="M330" s="1310" t="s">
        <v>1476</v>
      </c>
      <c r="N330" s="1310" t="s">
        <v>1476</v>
      </c>
      <c r="O330" s="1310" t="s">
        <v>1476</v>
      </c>
      <c r="P330" s="1310" t="s">
        <v>1476</v>
      </c>
      <c r="Q330" s="1310" t="s">
        <v>1476</v>
      </c>
      <c r="R330" s="1310" t="s">
        <v>1476</v>
      </c>
      <c r="S330" s="1310" t="s">
        <v>1476</v>
      </c>
      <c r="T330" s="1310" t="s">
        <v>1476</v>
      </c>
      <c r="U330" s="1310" t="s">
        <v>1476</v>
      </c>
      <c r="V330" s="1310" t="s">
        <v>1476</v>
      </c>
      <c r="W330" s="1310" t="s">
        <v>1476</v>
      </c>
      <c r="X330" s="1310" t="s">
        <v>1476</v>
      </c>
      <c r="Y330" s="1310" t="s">
        <v>1476</v>
      </c>
      <c r="Z330" s="1310" t="s">
        <v>1476</v>
      </c>
      <c r="AA330" s="1310" t="s">
        <v>1476</v>
      </c>
      <c r="AB330" s="1310" t="s">
        <v>1476</v>
      </c>
      <c r="AC330" s="1310" t="s">
        <v>1476</v>
      </c>
      <c r="AD330" s="1310" t="s">
        <v>1476</v>
      </c>
      <c r="AE330" s="1310" t="s">
        <v>1476</v>
      </c>
      <c r="AF330" s="1310" t="s">
        <v>1476</v>
      </c>
    </row>
    <row r="331" spans="1:32" x14ac:dyDescent="0.3">
      <c r="A331" s="1310" t="s">
        <v>1476</v>
      </c>
      <c r="B331" s="1310" t="s">
        <v>1476</v>
      </c>
      <c r="C331" s="1310" t="s">
        <v>1476</v>
      </c>
      <c r="D331" s="1310" t="s">
        <v>1476</v>
      </c>
      <c r="E331" s="1310" t="s">
        <v>1476</v>
      </c>
      <c r="F331" s="1310" t="s">
        <v>1476</v>
      </c>
      <c r="G331" s="1310" t="s">
        <v>1476</v>
      </c>
      <c r="H331" s="1310" t="s">
        <v>1476</v>
      </c>
      <c r="I331" s="1310" t="s">
        <v>1476</v>
      </c>
      <c r="J331" s="1310" t="s">
        <v>1476</v>
      </c>
      <c r="K331" s="1310" t="s">
        <v>1476</v>
      </c>
      <c r="L331" s="1310" t="s">
        <v>1476</v>
      </c>
      <c r="M331" s="1310" t="s">
        <v>1476</v>
      </c>
      <c r="N331" s="1310" t="s">
        <v>1476</v>
      </c>
      <c r="O331" s="1310" t="s">
        <v>1476</v>
      </c>
      <c r="P331" s="1310" t="s">
        <v>1476</v>
      </c>
      <c r="Q331" s="1310" t="s">
        <v>1476</v>
      </c>
      <c r="R331" s="1310" t="s">
        <v>1476</v>
      </c>
      <c r="S331" s="1310" t="s">
        <v>1476</v>
      </c>
      <c r="T331" s="1310" t="s">
        <v>1476</v>
      </c>
      <c r="U331" s="1310" t="s">
        <v>1476</v>
      </c>
      <c r="V331" s="1310" t="s">
        <v>1476</v>
      </c>
      <c r="W331" s="1310" t="s">
        <v>1476</v>
      </c>
      <c r="X331" s="1310" t="s">
        <v>1476</v>
      </c>
      <c r="Y331" s="1310" t="s">
        <v>1476</v>
      </c>
      <c r="Z331" s="1310" t="s">
        <v>1476</v>
      </c>
      <c r="AA331" s="1310" t="s">
        <v>1476</v>
      </c>
      <c r="AB331" s="1310" t="s">
        <v>1476</v>
      </c>
      <c r="AC331" s="1310" t="s">
        <v>1476</v>
      </c>
      <c r="AD331" s="1310" t="s">
        <v>1476</v>
      </c>
      <c r="AE331" s="1310" t="s">
        <v>1476</v>
      </c>
      <c r="AF331" s="1310" t="s">
        <v>1476</v>
      </c>
    </row>
    <row r="332" spans="1:32" x14ac:dyDescent="0.3">
      <c r="A332" s="1310" t="s">
        <v>1476</v>
      </c>
      <c r="B332" s="1310" t="s">
        <v>1476</v>
      </c>
      <c r="C332" s="1310" t="s">
        <v>1476</v>
      </c>
      <c r="D332" s="1310" t="s">
        <v>1476</v>
      </c>
      <c r="E332" s="1310" t="s">
        <v>1476</v>
      </c>
      <c r="F332" s="1310" t="s">
        <v>1476</v>
      </c>
      <c r="G332" s="1310" t="s">
        <v>1476</v>
      </c>
      <c r="H332" s="1310" t="s">
        <v>1476</v>
      </c>
      <c r="I332" s="1310" t="s">
        <v>1476</v>
      </c>
      <c r="J332" s="1310" t="s">
        <v>1476</v>
      </c>
      <c r="K332" s="1310" t="s">
        <v>1476</v>
      </c>
      <c r="L332" s="1310" t="s">
        <v>1476</v>
      </c>
      <c r="M332" s="1310" t="s">
        <v>1476</v>
      </c>
      <c r="N332" s="1310" t="s">
        <v>1476</v>
      </c>
      <c r="O332" s="1310" t="s">
        <v>1476</v>
      </c>
      <c r="P332" s="1310" t="s">
        <v>1476</v>
      </c>
      <c r="Q332" s="1310" t="s">
        <v>1476</v>
      </c>
      <c r="R332" s="1310" t="s">
        <v>1476</v>
      </c>
      <c r="S332" s="1310" t="s">
        <v>1476</v>
      </c>
      <c r="T332" s="1310" t="s">
        <v>1476</v>
      </c>
      <c r="U332" s="1310" t="s">
        <v>1476</v>
      </c>
      <c r="V332" s="1310" t="s">
        <v>1476</v>
      </c>
      <c r="W332" s="1310" t="s">
        <v>1476</v>
      </c>
      <c r="X332" s="1310" t="s">
        <v>1476</v>
      </c>
      <c r="Y332" s="1310" t="s">
        <v>1476</v>
      </c>
      <c r="Z332" s="1310" t="s">
        <v>1476</v>
      </c>
      <c r="AA332" s="1310" t="s">
        <v>1476</v>
      </c>
      <c r="AB332" s="1310" t="s">
        <v>1476</v>
      </c>
      <c r="AC332" s="1310" t="s">
        <v>1660</v>
      </c>
      <c r="AD332" s="1310" t="s">
        <v>1517</v>
      </c>
      <c r="AE332" s="1310" t="s">
        <v>1447</v>
      </c>
      <c r="AF332" s="1310" t="s">
        <v>1481</v>
      </c>
    </row>
    <row r="333" spans="1:32" x14ac:dyDescent="0.3">
      <c r="A333" s="1310" t="s">
        <v>1520</v>
      </c>
      <c r="B333" s="1310" t="s">
        <v>1532</v>
      </c>
      <c r="C333" s="1310" t="s">
        <v>1596</v>
      </c>
      <c r="D333" s="1310" t="s">
        <v>1475</v>
      </c>
      <c r="E333" s="1310" t="s">
        <v>1479</v>
      </c>
      <c r="F333" s="1310" t="s">
        <v>1476</v>
      </c>
      <c r="G333" s="1310" t="s">
        <v>1475</v>
      </c>
      <c r="H333" s="1310" t="s">
        <v>1484</v>
      </c>
      <c r="I333" s="1310" t="s">
        <v>1473</v>
      </c>
      <c r="J333" s="1310" t="s">
        <v>1627</v>
      </c>
      <c r="K333" s="1310" t="s">
        <v>1515</v>
      </c>
      <c r="L333" s="1310" t="s">
        <v>1489</v>
      </c>
      <c r="M333" s="1310" t="s">
        <v>1515</v>
      </c>
      <c r="N333" s="1310" t="s">
        <v>1517</v>
      </c>
      <c r="O333" s="1310" t="s">
        <v>1608</v>
      </c>
      <c r="P333" s="1310" t="s">
        <v>1443</v>
      </c>
      <c r="Q333" s="1310" t="s">
        <v>126</v>
      </c>
      <c r="R333" s="1310" t="s">
        <v>1500</v>
      </c>
      <c r="S333" s="1310" t="s">
        <v>1588</v>
      </c>
      <c r="T333" s="1310" t="s">
        <v>1573</v>
      </c>
      <c r="U333" s="1310" t="s">
        <v>1502</v>
      </c>
      <c r="V333" s="1310" t="s">
        <v>1502</v>
      </c>
      <c r="W333" s="1310" t="s">
        <v>1501</v>
      </c>
      <c r="X333" s="1310" t="s">
        <v>1477</v>
      </c>
      <c r="Y333" s="1310" t="s">
        <v>1527</v>
      </c>
      <c r="Z333" s="1310" t="s">
        <v>1633</v>
      </c>
      <c r="AA333" s="1310" t="s">
        <v>1543</v>
      </c>
      <c r="AB333" s="1310" t="s">
        <v>1573</v>
      </c>
      <c r="AC333" s="1310" t="s">
        <v>1651</v>
      </c>
      <c r="AD333" s="1310" t="s">
        <v>1446</v>
      </c>
      <c r="AE333" s="1310" t="s">
        <v>1450</v>
      </c>
      <c r="AF333" s="1310" t="s">
        <v>262</v>
      </c>
    </row>
    <row r="334" spans="1:32" x14ac:dyDescent="0.3">
      <c r="A334" s="1310" t="s">
        <v>262</v>
      </c>
      <c r="B334" s="1310" t="s">
        <v>1450</v>
      </c>
      <c r="C334" s="1310" t="s">
        <v>1450</v>
      </c>
      <c r="D334" s="1310" t="s">
        <v>1500</v>
      </c>
      <c r="E334" s="1310" t="s">
        <v>1498</v>
      </c>
      <c r="F334" s="1310" t="s">
        <v>1651</v>
      </c>
      <c r="G334" s="1310" t="s">
        <v>1448</v>
      </c>
      <c r="H334" s="1310" t="s">
        <v>1484</v>
      </c>
      <c r="I334" s="1310" t="s">
        <v>1474</v>
      </c>
      <c r="J334" s="1310" t="s">
        <v>263</v>
      </c>
      <c r="K334" s="1310" t="s">
        <v>1471</v>
      </c>
      <c r="L334" s="1310" t="s">
        <v>1450</v>
      </c>
      <c r="M334" s="1310" t="s">
        <v>1450</v>
      </c>
      <c r="N334" s="1310" t="s">
        <v>1483</v>
      </c>
      <c r="O334" s="1310" t="s">
        <v>1484</v>
      </c>
      <c r="P334" s="1310" t="s">
        <v>1479</v>
      </c>
      <c r="Q334" s="1310" t="s">
        <v>1460</v>
      </c>
      <c r="R334" s="1310" t="s">
        <v>1527</v>
      </c>
      <c r="S334" s="1310" t="s">
        <v>1563</v>
      </c>
      <c r="T334" s="1310" t="s">
        <v>1524</v>
      </c>
      <c r="U334" s="1310" t="s">
        <v>1476</v>
      </c>
      <c r="V334" s="1310" t="s">
        <v>1588</v>
      </c>
      <c r="W334" s="1310" t="s">
        <v>1599</v>
      </c>
      <c r="X334" s="1310" t="s">
        <v>1659</v>
      </c>
      <c r="Y334" s="1310" t="s">
        <v>1476</v>
      </c>
      <c r="Z334" s="1310" t="s">
        <v>267</v>
      </c>
      <c r="AA334" s="1310" t="s">
        <v>1601</v>
      </c>
      <c r="AB334" s="1310" t="s">
        <v>1450</v>
      </c>
      <c r="AC334" s="1310" t="s">
        <v>263</v>
      </c>
      <c r="AD334" s="1310" t="s">
        <v>1450</v>
      </c>
      <c r="AE334" s="1310" t="s">
        <v>270</v>
      </c>
      <c r="AF334" s="1310" t="s">
        <v>1450</v>
      </c>
    </row>
    <row r="335" spans="1:32" x14ac:dyDescent="0.3">
      <c r="A335" s="1310" t="s">
        <v>268</v>
      </c>
      <c r="B335" s="1310" t="s">
        <v>1450</v>
      </c>
      <c r="C335" s="1310" t="s">
        <v>1459</v>
      </c>
      <c r="D335" s="1310" t="s">
        <v>1450</v>
      </c>
      <c r="E335" s="1310" t="s">
        <v>1450</v>
      </c>
      <c r="F335" s="1310" t="s">
        <v>1520</v>
      </c>
      <c r="G335" s="1310" t="s">
        <v>1532</v>
      </c>
      <c r="H335" s="1310" t="s">
        <v>1480</v>
      </c>
      <c r="I335" s="1310" t="s">
        <v>1481</v>
      </c>
      <c r="J335" s="1310" t="s">
        <v>1451</v>
      </c>
      <c r="K335" s="1310" t="s">
        <v>1530</v>
      </c>
      <c r="L335" s="1310" t="s">
        <v>1543</v>
      </c>
      <c r="M335" s="1310" t="s">
        <v>1538</v>
      </c>
      <c r="N335" s="1310" t="s">
        <v>1450</v>
      </c>
      <c r="O335" s="1310" t="s">
        <v>1450</v>
      </c>
      <c r="P335" s="1310" t="s">
        <v>1450</v>
      </c>
      <c r="Q335" s="1310" t="s">
        <v>1450</v>
      </c>
      <c r="R335" s="1310" t="s">
        <v>1573</v>
      </c>
      <c r="S335" s="1310" t="s">
        <v>1446</v>
      </c>
      <c r="T335" s="1310" t="s">
        <v>1502</v>
      </c>
      <c r="U335" s="1310" t="s">
        <v>1476</v>
      </c>
      <c r="V335" s="1310" t="s">
        <v>1480</v>
      </c>
      <c r="W335" s="1310" t="s">
        <v>1527</v>
      </c>
      <c r="X335" s="1310" t="s">
        <v>1563</v>
      </c>
      <c r="Y335" s="1310" t="s">
        <v>1524</v>
      </c>
      <c r="Z335" s="1310" t="s">
        <v>1450</v>
      </c>
      <c r="AA335" s="1310" t="s">
        <v>1450</v>
      </c>
      <c r="AB335" s="1310" t="s">
        <v>1450</v>
      </c>
      <c r="AC335" s="1310" t="s">
        <v>1450</v>
      </c>
      <c r="AD335" s="1310" t="s">
        <v>1450</v>
      </c>
      <c r="AE335" s="1310" t="s">
        <v>1450</v>
      </c>
      <c r="AF335" s="1310" t="s">
        <v>1450</v>
      </c>
    </row>
    <row r="336" spans="1:32" x14ac:dyDescent="0.3">
      <c r="A336" s="1310" t="s">
        <v>1450</v>
      </c>
      <c r="B336" s="1310" t="s">
        <v>1450</v>
      </c>
      <c r="C336" s="1310" t="s">
        <v>1450</v>
      </c>
      <c r="D336" s="1310" t="s">
        <v>1450</v>
      </c>
      <c r="E336" s="1310" t="s">
        <v>262</v>
      </c>
      <c r="F336" s="1310" t="s">
        <v>1450</v>
      </c>
      <c r="G336" s="1310" t="s">
        <v>1450</v>
      </c>
      <c r="H336" s="1310" t="s">
        <v>1562</v>
      </c>
      <c r="I336" s="1310" t="s">
        <v>1560</v>
      </c>
      <c r="J336" s="1310" t="s">
        <v>1450</v>
      </c>
      <c r="K336" s="1310" t="s">
        <v>262</v>
      </c>
      <c r="L336" s="1310" t="s">
        <v>1450</v>
      </c>
      <c r="M336" s="1310" t="s">
        <v>1450</v>
      </c>
      <c r="N336" s="1310" t="s">
        <v>1450</v>
      </c>
      <c r="O336" s="1310" t="s">
        <v>1450</v>
      </c>
      <c r="P336" s="1310" t="s">
        <v>123</v>
      </c>
      <c r="Q336" s="1310" t="s">
        <v>1654</v>
      </c>
      <c r="R336" s="1310" t="s">
        <v>1498</v>
      </c>
      <c r="S336" s="1310" t="s">
        <v>1477</v>
      </c>
      <c r="T336" s="1310" t="s">
        <v>1476</v>
      </c>
      <c r="U336" s="1310" t="s">
        <v>1476</v>
      </c>
      <c r="V336" s="1310" t="s">
        <v>1450</v>
      </c>
      <c r="W336" s="1310" t="s">
        <v>1450</v>
      </c>
      <c r="X336" s="1310" t="s">
        <v>1450</v>
      </c>
      <c r="Y336" s="1310" t="s">
        <v>1450</v>
      </c>
      <c r="Z336" s="1310" t="s">
        <v>1450</v>
      </c>
      <c r="AA336" s="1310" t="s">
        <v>1450</v>
      </c>
      <c r="AB336" s="1310" t="s">
        <v>1450</v>
      </c>
      <c r="AC336" s="1310" t="s">
        <v>1450</v>
      </c>
      <c r="AD336" s="1310" t="s">
        <v>1450</v>
      </c>
      <c r="AE336" s="1310" t="s">
        <v>1450</v>
      </c>
      <c r="AF336" s="1310" t="s">
        <v>1450</v>
      </c>
    </row>
    <row r="337" spans="1:32" x14ac:dyDescent="0.3">
      <c r="A337" s="1310" t="s">
        <v>1450</v>
      </c>
      <c r="B337" s="1310" t="s">
        <v>1450</v>
      </c>
      <c r="C337" s="1310" t="s">
        <v>1450</v>
      </c>
      <c r="D337" s="1310" t="s">
        <v>1450</v>
      </c>
      <c r="E337" s="1310" t="s">
        <v>1450</v>
      </c>
      <c r="F337" s="1310" t="s">
        <v>1450</v>
      </c>
      <c r="G337" s="1310" t="s">
        <v>1450</v>
      </c>
      <c r="H337" s="1310" t="s">
        <v>1450</v>
      </c>
      <c r="I337" s="1310" t="s">
        <v>1450</v>
      </c>
      <c r="J337" s="1310" t="s">
        <v>1450</v>
      </c>
      <c r="K337" s="1310" t="s">
        <v>1450</v>
      </c>
      <c r="L337" s="1310" t="s">
        <v>1450</v>
      </c>
      <c r="M337" s="1310" t="s">
        <v>1450</v>
      </c>
      <c r="N337" s="1310" t="s">
        <v>1450</v>
      </c>
      <c r="O337" s="1310" t="s">
        <v>1450</v>
      </c>
      <c r="P337" s="1310" t="s">
        <v>1450</v>
      </c>
      <c r="Q337" s="1310" t="s">
        <v>1450</v>
      </c>
      <c r="R337" s="1310" t="s">
        <v>1450</v>
      </c>
      <c r="S337" s="1310" t="s">
        <v>1450</v>
      </c>
      <c r="T337" s="1310" t="s">
        <v>1450</v>
      </c>
      <c r="U337" s="1310" t="s">
        <v>1450</v>
      </c>
      <c r="V337" s="1310" t="s">
        <v>1450</v>
      </c>
      <c r="W337" s="1310" t="s">
        <v>1450</v>
      </c>
      <c r="X337" s="1310" t="s">
        <v>1450</v>
      </c>
      <c r="Y337" s="1310" t="s">
        <v>1450</v>
      </c>
      <c r="Z337" s="1310" t="s">
        <v>1450</v>
      </c>
      <c r="AA337" s="1310" t="s">
        <v>1450</v>
      </c>
      <c r="AB337" s="1310" t="s">
        <v>1450</v>
      </c>
      <c r="AC337" s="1310" t="s">
        <v>1450</v>
      </c>
      <c r="AD337" s="1310" t="s">
        <v>1450</v>
      </c>
      <c r="AE337" s="1310" t="s">
        <v>1450</v>
      </c>
      <c r="AF337" s="1310" t="s">
        <v>1450</v>
      </c>
    </row>
    <row r="338" spans="1:32" x14ac:dyDescent="0.3">
      <c r="A338" s="1310" t="s">
        <v>1450</v>
      </c>
      <c r="B338" s="1310" t="s">
        <v>1450</v>
      </c>
      <c r="C338" s="1310" t="s">
        <v>1450</v>
      </c>
      <c r="D338" s="1310" t="s">
        <v>1450</v>
      </c>
      <c r="E338" s="1310" t="s">
        <v>1507</v>
      </c>
      <c r="F338" s="1310" t="s">
        <v>1532</v>
      </c>
      <c r="G338" s="1310" t="s">
        <v>1481</v>
      </c>
      <c r="H338" s="1310" t="s">
        <v>1460</v>
      </c>
      <c r="I338" s="1310" t="s">
        <v>1479</v>
      </c>
      <c r="J338" s="1310" t="s">
        <v>1450</v>
      </c>
      <c r="K338" s="1310" t="s">
        <v>1450</v>
      </c>
      <c r="L338" s="1310" t="s">
        <v>262</v>
      </c>
      <c r="M338" s="1310" t="s">
        <v>1477</v>
      </c>
      <c r="N338" s="1310" t="s">
        <v>1450</v>
      </c>
      <c r="O338" s="1310" t="s">
        <v>1450</v>
      </c>
      <c r="P338" s="1310" t="s">
        <v>1450</v>
      </c>
      <c r="Q338" s="1310" t="s">
        <v>1494</v>
      </c>
      <c r="R338" s="1310" t="s">
        <v>1473</v>
      </c>
      <c r="S338" s="1310" t="s">
        <v>1475</v>
      </c>
      <c r="T338" s="1310" t="s">
        <v>1480</v>
      </c>
      <c r="U338" s="1310" t="s">
        <v>1532</v>
      </c>
      <c r="V338" s="1310" t="s">
        <v>1450</v>
      </c>
      <c r="W338" s="1310" t="s">
        <v>1450</v>
      </c>
      <c r="X338" s="1310" t="s">
        <v>262</v>
      </c>
      <c r="Y338" s="1310" t="s">
        <v>1506</v>
      </c>
      <c r="Z338" s="1310" t="s">
        <v>1450</v>
      </c>
      <c r="AA338" s="1310" t="s">
        <v>1450</v>
      </c>
      <c r="AB338" s="1310" t="s">
        <v>1450</v>
      </c>
      <c r="AC338" s="1310" t="s">
        <v>1482</v>
      </c>
      <c r="AD338" s="1310" t="s">
        <v>1489</v>
      </c>
      <c r="AE338" s="1310" t="s">
        <v>1479</v>
      </c>
      <c r="AF338" s="1310" t="s">
        <v>1481</v>
      </c>
    </row>
    <row r="339" spans="1:32" x14ac:dyDescent="0.3">
      <c r="A339" s="1310" t="s">
        <v>1479</v>
      </c>
      <c r="B339" s="1310" t="s">
        <v>1450</v>
      </c>
      <c r="C339" s="1310" t="s">
        <v>1450</v>
      </c>
      <c r="D339" s="1310" t="s">
        <v>262</v>
      </c>
      <c r="E339" s="1310" t="s">
        <v>1531</v>
      </c>
      <c r="F339" s="1310" t="s">
        <v>1450</v>
      </c>
      <c r="G339" s="1310" t="s">
        <v>1450</v>
      </c>
      <c r="H339" s="1310" t="s">
        <v>1450</v>
      </c>
      <c r="I339" s="1310" t="s">
        <v>1462</v>
      </c>
      <c r="J339" s="1310" t="s">
        <v>1455</v>
      </c>
      <c r="K339" s="1310" t="s">
        <v>1596</v>
      </c>
      <c r="L339" s="1310" t="s">
        <v>1481</v>
      </c>
      <c r="M339" s="1310" t="s">
        <v>1479</v>
      </c>
      <c r="N339" s="1310" t="s">
        <v>1450</v>
      </c>
      <c r="O339" s="1310" t="s">
        <v>1450</v>
      </c>
      <c r="P339" s="1310" t="s">
        <v>263</v>
      </c>
      <c r="Q339" s="1310" t="s">
        <v>265</v>
      </c>
      <c r="R339" s="1310" t="s">
        <v>1450</v>
      </c>
      <c r="S339" s="1310" t="s">
        <v>1450</v>
      </c>
      <c r="T339" s="1310" t="s">
        <v>1450</v>
      </c>
      <c r="U339" s="1310" t="s">
        <v>1462</v>
      </c>
      <c r="V339" s="1310" t="s">
        <v>1460</v>
      </c>
      <c r="W339" s="1310" t="s">
        <v>1588</v>
      </c>
      <c r="X339" s="1310" t="s">
        <v>1599</v>
      </c>
      <c r="Y339" s="1310" t="s">
        <v>1659</v>
      </c>
      <c r="Z339" s="1310" t="s">
        <v>1450</v>
      </c>
      <c r="AA339" s="1310" t="s">
        <v>1450</v>
      </c>
      <c r="AB339" s="1310" t="s">
        <v>263</v>
      </c>
      <c r="AC339" s="1310" t="s">
        <v>1511</v>
      </c>
      <c r="AD339" s="1310" t="s">
        <v>1450</v>
      </c>
      <c r="AE339" s="1310" t="s">
        <v>1450</v>
      </c>
      <c r="AF339" s="1310" t="s">
        <v>1450</v>
      </c>
    </row>
    <row r="340" spans="1:32" x14ac:dyDescent="0.3">
      <c r="A340" s="1310" t="s">
        <v>1462</v>
      </c>
      <c r="B340" s="1310" t="s">
        <v>1564</v>
      </c>
      <c r="C340" s="1310" t="s">
        <v>1588</v>
      </c>
      <c r="D340" s="1310" t="s">
        <v>1599</v>
      </c>
      <c r="E340" s="1310" t="s">
        <v>1659</v>
      </c>
      <c r="F340" s="1310" t="s">
        <v>1450</v>
      </c>
      <c r="G340" s="1310" t="s">
        <v>1450</v>
      </c>
      <c r="H340" s="1310" t="s">
        <v>263</v>
      </c>
      <c r="I340" s="1310" t="s">
        <v>1625</v>
      </c>
      <c r="J340" s="1310" t="s">
        <v>1450</v>
      </c>
      <c r="K340" s="1310" t="s">
        <v>1450</v>
      </c>
      <c r="L340" s="1310" t="s">
        <v>1450</v>
      </c>
      <c r="M340" s="1310" t="s">
        <v>1462</v>
      </c>
      <c r="N340" s="1310" t="s">
        <v>1455</v>
      </c>
      <c r="O340" s="1310" t="s">
        <v>1588</v>
      </c>
      <c r="P340" s="1310" t="s">
        <v>1599</v>
      </c>
      <c r="Q340" s="1310" t="s">
        <v>1659</v>
      </c>
      <c r="R340" s="1310" t="s">
        <v>1450</v>
      </c>
      <c r="S340" s="1310" t="s">
        <v>1450</v>
      </c>
      <c r="T340" s="1310" t="s">
        <v>263</v>
      </c>
      <c r="U340" s="1310" t="s">
        <v>1497</v>
      </c>
      <c r="V340" s="1310" t="s">
        <v>1450</v>
      </c>
      <c r="W340" s="1310" t="s">
        <v>1450</v>
      </c>
      <c r="X340" s="1310" t="s">
        <v>1450</v>
      </c>
      <c r="Y340" s="1310" t="s">
        <v>1462</v>
      </c>
      <c r="Z340" s="1310" t="s">
        <v>1473</v>
      </c>
      <c r="AA340" s="1310" t="s">
        <v>1483</v>
      </c>
      <c r="AB340" s="1310" t="s">
        <v>1484</v>
      </c>
      <c r="AC340" s="1310" t="s">
        <v>1473</v>
      </c>
      <c r="AD340" s="1310" t="s">
        <v>1450</v>
      </c>
      <c r="AE340" s="1310" t="s">
        <v>1450</v>
      </c>
      <c r="AF340" s="1310" t="s">
        <v>263</v>
      </c>
    </row>
    <row r="341" spans="1:32" x14ac:dyDescent="0.3">
      <c r="A341" s="1310" t="s">
        <v>1538</v>
      </c>
      <c r="B341" s="1310" t="s">
        <v>1450</v>
      </c>
      <c r="C341" s="1310" t="s">
        <v>1450</v>
      </c>
      <c r="D341" s="1310" t="s">
        <v>1450</v>
      </c>
      <c r="E341" s="1310" t="s">
        <v>1481</v>
      </c>
      <c r="F341" s="1310" t="s">
        <v>1473</v>
      </c>
      <c r="G341" s="1310" t="s">
        <v>1483</v>
      </c>
      <c r="H341" s="1310" t="s">
        <v>1473</v>
      </c>
      <c r="I341" s="1310" t="s">
        <v>1473</v>
      </c>
      <c r="J341" s="1310" t="s">
        <v>1450</v>
      </c>
      <c r="K341" s="1310" t="s">
        <v>1450</v>
      </c>
      <c r="L341" s="1310" t="s">
        <v>263</v>
      </c>
      <c r="M341" s="1310" t="s">
        <v>129</v>
      </c>
      <c r="N341" s="1310" t="s">
        <v>1450</v>
      </c>
      <c r="O341" s="1310" t="s">
        <v>1450</v>
      </c>
      <c r="P341" s="1310" t="s">
        <v>1450</v>
      </c>
      <c r="Q341" s="1310" t="s">
        <v>1593</v>
      </c>
      <c r="R341" s="1310" t="s">
        <v>1554</v>
      </c>
      <c r="S341" s="1310" t="s">
        <v>1542</v>
      </c>
      <c r="T341" s="1310" t="s">
        <v>1475</v>
      </c>
      <c r="U341" s="1310" t="s">
        <v>1473</v>
      </c>
      <c r="V341" s="1310" t="s">
        <v>1450</v>
      </c>
      <c r="W341" s="1310" t="s">
        <v>1450</v>
      </c>
      <c r="X341" s="1310" t="s">
        <v>264</v>
      </c>
      <c r="Y341" s="1310" t="s">
        <v>1651</v>
      </c>
      <c r="Z341" s="1310" t="s">
        <v>1450</v>
      </c>
      <c r="AA341" s="1310" t="s">
        <v>1450</v>
      </c>
      <c r="AB341" s="1310" t="s">
        <v>1450</v>
      </c>
      <c r="AC341" s="1310" t="s">
        <v>1555</v>
      </c>
      <c r="AD341" s="1310" t="s">
        <v>1554</v>
      </c>
      <c r="AE341" s="1310" t="s">
        <v>1448</v>
      </c>
      <c r="AF341" s="1310" t="s">
        <v>1475</v>
      </c>
    </row>
    <row r="342" spans="1:32" x14ac:dyDescent="0.3">
      <c r="A342" s="1310" t="s">
        <v>1489</v>
      </c>
      <c r="B342" s="1310" t="s">
        <v>1450</v>
      </c>
      <c r="C342" s="1310" t="s">
        <v>1450</v>
      </c>
      <c r="D342" s="1310" t="s">
        <v>264</v>
      </c>
      <c r="E342" s="1310" t="s">
        <v>124</v>
      </c>
      <c r="F342" s="1310" t="s">
        <v>1450</v>
      </c>
      <c r="G342" s="1310" t="s">
        <v>1450</v>
      </c>
      <c r="H342" s="1310" t="s">
        <v>1450</v>
      </c>
      <c r="I342" s="1310" t="s">
        <v>1526</v>
      </c>
      <c r="J342" s="1310" t="s">
        <v>1482</v>
      </c>
      <c r="K342" s="1310" t="s">
        <v>1542</v>
      </c>
      <c r="L342" s="1310" t="s">
        <v>1483</v>
      </c>
      <c r="M342" s="1310" t="s">
        <v>1448</v>
      </c>
      <c r="N342" s="1310" t="s">
        <v>1450</v>
      </c>
      <c r="O342" s="1310" t="s">
        <v>1450</v>
      </c>
      <c r="P342" s="1310" t="s">
        <v>264</v>
      </c>
      <c r="Q342" s="1310" t="s">
        <v>1612</v>
      </c>
      <c r="R342" s="1310" t="s">
        <v>1450</v>
      </c>
      <c r="S342" s="1310" t="s">
        <v>1450</v>
      </c>
      <c r="T342" s="1310" t="s">
        <v>1450</v>
      </c>
      <c r="U342" s="1310" t="s">
        <v>1462</v>
      </c>
      <c r="V342" s="1310" t="s">
        <v>1483</v>
      </c>
      <c r="W342" s="1310" t="s">
        <v>1475</v>
      </c>
      <c r="X342" s="1310" t="s">
        <v>1520</v>
      </c>
      <c r="Y342" s="1310" t="s">
        <v>1480</v>
      </c>
      <c r="Z342" s="1310" t="s">
        <v>1450</v>
      </c>
      <c r="AA342" s="1310" t="s">
        <v>1450</v>
      </c>
      <c r="AB342" s="1310" t="s">
        <v>265</v>
      </c>
      <c r="AC342" s="1310" t="s">
        <v>1500</v>
      </c>
      <c r="AD342" s="1310" t="s">
        <v>1450</v>
      </c>
      <c r="AE342" s="1310" t="s">
        <v>1450</v>
      </c>
      <c r="AF342" s="1310" t="s">
        <v>1450</v>
      </c>
    </row>
    <row r="343" spans="1:32" x14ac:dyDescent="0.3">
      <c r="A343" s="1310" t="s">
        <v>1526</v>
      </c>
      <c r="B343" s="1310" t="s">
        <v>1479</v>
      </c>
      <c r="C343" s="1310" t="s">
        <v>1475</v>
      </c>
      <c r="D343" s="1310" t="s">
        <v>1532</v>
      </c>
      <c r="E343" s="1310" t="s">
        <v>1478</v>
      </c>
      <c r="F343" s="1310" t="s">
        <v>1450</v>
      </c>
      <c r="G343" s="1310" t="s">
        <v>1450</v>
      </c>
      <c r="H343" s="1310" t="s">
        <v>265</v>
      </c>
      <c r="I343" s="1310" t="s">
        <v>1487</v>
      </c>
      <c r="J343" s="1310" t="s">
        <v>1450</v>
      </c>
      <c r="K343" s="1310" t="s">
        <v>1450</v>
      </c>
      <c r="L343" s="1310" t="s">
        <v>1450</v>
      </c>
      <c r="M343" s="1310" t="s">
        <v>1500</v>
      </c>
      <c r="N343" s="1310" t="s">
        <v>1460</v>
      </c>
      <c r="O343" s="1310" t="s">
        <v>1538</v>
      </c>
      <c r="P343" s="1310" t="s">
        <v>1527</v>
      </c>
      <c r="Q343" s="1310" t="s">
        <v>1502</v>
      </c>
      <c r="R343" s="1310" t="s">
        <v>1450</v>
      </c>
      <c r="S343" s="1310" t="s">
        <v>1450</v>
      </c>
      <c r="T343" s="1310" t="s">
        <v>265</v>
      </c>
      <c r="U343" s="1310" t="s">
        <v>1660</v>
      </c>
      <c r="V343" s="1310" t="s">
        <v>1450</v>
      </c>
      <c r="W343" s="1310" t="s">
        <v>1450</v>
      </c>
      <c r="X343" s="1310" t="s">
        <v>269</v>
      </c>
      <c r="Y343" s="1310" t="s">
        <v>1500</v>
      </c>
      <c r="Z343" s="1310" t="s">
        <v>1564</v>
      </c>
      <c r="AA343" s="1310" t="s">
        <v>1538</v>
      </c>
      <c r="AB343" s="1310" t="s">
        <v>1527</v>
      </c>
      <c r="AC343" s="1310" t="s">
        <v>1502</v>
      </c>
      <c r="AD343" s="1310" t="s">
        <v>1450</v>
      </c>
      <c r="AE343" s="1310" t="s">
        <v>1450</v>
      </c>
      <c r="AF343" s="1310" t="s">
        <v>265</v>
      </c>
    </row>
    <row r="344" spans="1:32" x14ac:dyDescent="0.3">
      <c r="A344" s="1310" t="s">
        <v>1660</v>
      </c>
      <c r="B344" s="1310" t="s">
        <v>1450</v>
      </c>
      <c r="C344" s="1310" t="s">
        <v>1450</v>
      </c>
      <c r="D344" s="1310" t="s">
        <v>269</v>
      </c>
      <c r="E344" s="1310" t="s">
        <v>1500</v>
      </c>
      <c r="F344" s="1310" t="s">
        <v>1455</v>
      </c>
      <c r="G344" s="1310" t="s">
        <v>1538</v>
      </c>
      <c r="H344" s="1310" t="s">
        <v>1527</v>
      </c>
      <c r="I344" s="1310" t="s">
        <v>1502</v>
      </c>
      <c r="J344" s="1310" t="s">
        <v>1450</v>
      </c>
      <c r="K344" s="1310" t="s">
        <v>1450</v>
      </c>
      <c r="L344" s="1310" t="s">
        <v>265</v>
      </c>
      <c r="M344" s="1310" t="s">
        <v>1660</v>
      </c>
      <c r="N344" s="1310" t="s">
        <v>1450</v>
      </c>
      <c r="O344" s="1310" t="s">
        <v>1450</v>
      </c>
      <c r="P344" s="1310" t="s">
        <v>269</v>
      </c>
      <c r="Q344" s="1310" t="s">
        <v>1500</v>
      </c>
      <c r="R344" s="1310" t="s">
        <v>1479</v>
      </c>
      <c r="S344" s="1310" t="s">
        <v>1475</v>
      </c>
      <c r="T344" s="1310" t="s">
        <v>1447</v>
      </c>
      <c r="U344" s="1310" t="s">
        <v>1479</v>
      </c>
      <c r="V344" s="1310" t="s">
        <v>1450</v>
      </c>
      <c r="W344" s="1310" t="s">
        <v>1450</v>
      </c>
      <c r="X344" s="1310" t="s">
        <v>1450</v>
      </c>
      <c r="Y344" s="1310" t="s">
        <v>1450</v>
      </c>
      <c r="Z344" s="1310" t="s">
        <v>1502</v>
      </c>
      <c r="AA344" s="1310" t="s">
        <v>1474</v>
      </c>
      <c r="AB344" s="1310" t="s">
        <v>1481</v>
      </c>
      <c r="AC344" s="1310" t="s">
        <v>1585</v>
      </c>
      <c r="AD344" s="1310" t="s">
        <v>1460</v>
      </c>
      <c r="AE344" s="1310" t="s">
        <v>1448</v>
      </c>
      <c r="AF344" s="1310" t="s">
        <v>1564</v>
      </c>
    </row>
    <row r="345" spans="1:32" x14ac:dyDescent="0.3">
      <c r="A345" s="1310" t="s">
        <v>1478</v>
      </c>
      <c r="B345" s="1310" t="s">
        <v>1479</v>
      </c>
      <c r="C345" s="1310" t="s">
        <v>1476</v>
      </c>
      <c r="D345" s="1310" t="s">
        <v>1458</v>
      </c>
      <c r="E345" s="1310" t="s">
        <v>1532</v>
      </c>
      <c r="F345" s="1310" t="s">
        <v>1490</v>
      </c>
      <c r="G345" s="1310" t="s">
        <v>1476</v>
      </c>
      <c r="H345" s="1310" t="s">
        <v>1459</v>
      </c>
      <c r="I345" s="1310" t="s">
        <v>1631</v>
      </c>
      <c r="J345" s="1310" t="s">
        <v>1631</v>
      </c>
      <c r="K345" s="1310" t="s">
        <v>1574</v>
      </c>
      <c r="L345" s="1310" t="s">
        <v>1476</v>
      </c>
      <c r="M345" s="1310" t="s">
        <v>1498</v>
      </c>
      <c r="N345" s="1310" t="s">
        <v>1475</v>
      </c>
      <c r="O345" s="1310" t="s">
        <v>1489</v>
      </c>
      <c r="P345" s="1310" t="s">
        <v>1482</v>
      </c>
      <c r="Q345" s="1310" t="s">
        <v>1475</v>
      </c>
      <c r="R345" s="1310" t="s">
        <v>1479</v>
      </c>
      <c r="S345" s="1310" t="s">
        <v>1479</v>
      </c>
      <c r="T345" s="1310" t="s">
        <v>1654</v>
      </c>
      <c r="U345" s="1310" t="s">
        <v>1477</v>
      </c>
      <c r="V345" s="1310" t="s">
        <v>1520</v>
      </c>
      <c r="W345" s="1310" t="s">
        <v>1532</v>
      </c>
      <c r="X345" s="1310" t="s">
        <v>1596</v>
      </c>
      <c r="Y345" s="1310" t="s">
        <v>1520</v>
      </c>
      <c r="Z345" s="1310" t="s">
        <v>1460</v>
      </c>
      <c r="AA345" s="1310" t="s">
        <v>1473</v>
      </c>
      <c r="AB345" s="1310" t="s">
        <v>1476</v>
      </c>
      <c r="AC345" s="1310" t="s">
        <v>1502</v>
      </c>
      <c r="AD345" s="1310" t="s">
        <v>1474</v>
      </c>
      <c r="AE345" s="1310" t="s">
        <v>1483</v>
      </c>
      <c r="AF345" s="1310" t="s">
        <v>1481</v>
      </c>
    </row>
    <row r="346" spans="1:32" x14ac:dyDescent="0.3">
      <c r="A346" s="1310" t="s">
        <v>1520</v>
      </c>
      <c r="B346" s="1310" t="s">
        <v>1484</v>
      </c>
      <c r="C346" s="1310" t="s">
        <v>1585</v>
      </c>
      <c r="D346" s="1310" t="s">
        <v>1450</v>
      </c>
      <c r="E346" s="1310" t="s">
        <v>1450</v>
      </c>
      <c r="F346" s="1310" t="s">
        <v>1473</v>
      </c>
      <c r="G346" s="1310" t="s">
        <v>1475</v>
      </c>
      <c r="H346" s="1310" t="s">
        <v>1480</v>
      </c>
      <c r="I346" s="1310" t="s">
        <v>1532</v>
      </c>
      <c r="J346" s="1310" t="s">
        <v>1450</v>
      </c>
      <c r="K346" s="1310" t="s">
        <v>1450</v>
      </c>
      <c r="L346" s="1310" t="s">
        <v>1450</v>
      </c>
      <c r="M346" s="1310" t="s">
        <v>1450</v>
      </c>
      <c r="N346" s="1310" t="s">
        <v>1450</v>
      </c>
      <c r="O346" s="1310" t="s">
        <v>1450</v>
      </c>
      <c r="P346" s="1310" t="s">
        <v>1450</v>
      </c>
      <c r="Q346" s="1310" t="s">
        <v>1453</v>
      </c>
      <c r="R346" s="1310" t="s">
        <v>1480</v>
      </c>
      <c r="S346" s="1310" t="s">
        <v>1527</v>
      </c>
      <c r="T346" s="1310" t="s">
        <v>1563</v>
      </c>
      <c r="U346" s="1310" t="s">
        <v>1524</v>
      </c>
      <c r="V346" s="1310" t="s">
        <v>1476</v>
      </c>
      <c r="W346" s="1310" t="s">
        <v>1573</v>
      </c>
      <c r="X346" s="1310" t="s">
        <v>1446</v>
      </c>
      <c r="Y346" s="1310" t="s">
        <v>1502</v>
      </c>
      <c r="Z346" s="1310" t="s">
        <v>1539</v>
      </c>
      <c r="AA346" s="1310" t="s">
        <v>1459</v>
      </c>
      <c r="AB346" s="1310" t="s">
        <v>1631</v>
      </c>
      <c r="AC346" s="1310" t="s">
        <v>1539</v>
      </c>
      <c r="AD346" s="1310" t="s">
        <v>1539</v>
      </c>
      <c r="AE346" s="1310" t="s">
        <v>1654</v>
      </c>
      <c r="AF346" s="1310" t="s">
        <v>1461</v>
      </c>
    </row>
    <row r="347" spans="1:32" x14ac:dyDescent="0.3">
      <c r="A347" s="1310" t="s">
        <v>1486</v>
      </c>
      <c r="B347" s="1310" t="s">
        <v>1459</v>
      </c>
      <c r="C347" s="1310" t="s">
        <v>1450</v>
      </c>
      <c r="D347" s="1310" t="s">
        <v>1450</v>
      </c>
      <c r="E347" s="1310" t="s">
        <v>1450</v>
      </c>
      <c r="F347" s="1310" t="s">
        <v>1450</v>
      </c>
      <c r="G347" s="1310" t="s">
        <v>1450</v>
      </c>
      <c r="H347" s="1310" t="s">
        <v>1450</v>
      </c>
      <c r="I347" s="1310" t="s">
        <v>1450</v>
      </c>
      <c r="J347" s="1310" t="s">
        <v>1450</v>
      </c>
      <c r="K347" s="1310" t="s">
        <v>1450</v>
      </c>
      <c r="L347" s="1310" t="s">
        <v>1450</v>
      </c>
      <c r="M347" s="1310" t="s">
        <v>1450</v>
      </c>
      <c r="N347" s="1310" t="s">
        <v>1453</v>
      </c>
      <c r="O347" s="1310" t="s">
        <v>1480</v>
      </c>
      <c r="P347" s="1310" t="s">
        <v>1527</v>
      </c>
      <c r="Q347" s="1310" t="s">
        <v>1563</v>
      </c>
      <c r="R347" s="1310" t="s">
        <v>1524</v>
      </c>
      <c r="S347" s="1310" t="s">
        <v>1476</v>
      </c>
      <c r="T347" s="1310" t="s">
        <v>1573</v>
      </c>
      <c r="U347" s="1310" t="s">
        <v>1446</v>
      </c>
      <c r="V347" s="1310" t="s">
        <v>1502</v>
      </c>
      <c r="W347" s="1310" t="s">
        <v>1539</v>
      </c>
      <c r="X347" s="1310" t="s">
        <v>1459</v>
      </c>
      <c r="Y347" s="1310" t="s">
        <v>1631</v>
      </c>
      <c r="Z347" s="1310" t="s">
        <v>1539</v>
      </c>
      <c r="AA347" s="1310" t="s">
        <v>1539</v>
      </c>
      <c r="AB347" s="1310" t="s">
        <v>1654</v>
      </c>
      <c r="AC347" s="1310" t="s">
        <v>1461</v>
      </c>
      <c r="AD347" s="1310" t="s">
        <v>1486</v>
      </c>
      <c r="AE347" s="1310" t="s">
        <v>1459</v>
      </c>
      <c r="AF347" s="1310" t="s">
        <v>1450</v>
      </c>
    </row>
    <row r="348" spans="1:32" x14ac:dyDescent="0.3">
      <c r="A348" s="1310" t="s">
        <v>1450</v>
      </c>
      <c r="B348" s="1310" t="s">
        <v>1450</v>
      </c>
      <c r="C348" s="1310" t="s">
        <v>1450</v>
      </c>
      <c r="D348" s="1310" t="s">
        <v>1450</v>
      </c>
      <c r="E348" s="1310" t="s">
        <v>1450</v>
      </c>
      <c r="F348" s="1310" t="s">
        <v>1450</v>
      </c>
      <c r="G348" s="1310" t="s">
        <v>1450</v>
      </c>
      <c r="H348" s="1310" t="s">
        <v>1450</v>
      </c>
      <c r="I348" s="1310" t="s">
        <v>1450</v>
      </c>
      <c r="J348" s="1310" t="s">
        <v>1450</v>
      </c>
      <c r="K348" s="1310" t="s">
        <v>1450</v>
      </c>
      <c r="L348" s="1310" t="s">
        <v>1450</v>
      </c>
      <c r="M348" s="1310" t="s">
        <v>1450</v>
      </c>
      <c r="N348" s="1310" t="s">
        <v>1450</v>
      </c>
      <c r="O348" s="1310" t="s">
        <v>1450</v>
      </c>
      <c r="P348" s="1310" t="s">
        <v>1450</v>
      </c>
      <c r="Q348" s="1310" t="s">
        <v>1450</v>
      </c>
      <c r="R348" s="1310" t="s">
        <v>1450</v>
      </c>
      <c r="S348" s="1310" t="s">
        <v>1450</v>
      </c>
      <c r="T348" s="1310" t="s">
        <v>1450</v>
      </c>
      <c r="U348" s="1310" t="s">
        <v>1450</v>
      </c>
      <c r="V348" s="1310" t="s">
        <v>1450</v>
      </c>
      <c r="W348" s="1310" t="s">
        <v>1450</v>
      </c>
      <c r="X348" s="1310" t="s">
        <v>1450</v>
      </c>
      <c r="Y348" s="1310" t="s">
        <v>1450</v>
      </c>
      <c r="Z348" s="1310" t="s">
        <v>1450</v>
      </c>
      <c r="AA348" s="1310" t="s">
        <v>1450</v>
      </c>
      <c r="AB348" s="1310" t="s">
        <v>1450</v>
      </c>
      <c r="AC348" s="1310" t="s">
        <v>1450</v>
      </c>
      <c r="AD348" s="1310" t="s">
        <v>1450</v>
      </c>
      <c r="AE348" s="1310" t="s">
        <v>1450</v>
      </c>
      <c r="AF348" s="1310" t="s">
        <v>1450</v>
      </c>
    </row>
    <row r="349" spans="1:32" x14ac:dyDescent="0.3">
      <c r="A349" s="1310" t="s">
        <v>1450</v>
      </c>
      <c r="B349" s="1310" t="s">
        <v>1450</v>
      </c>
      <c r="C349" s="1310" t="s">
        <v>1450</v>
      </c>
      <c r="D349" s="1310" t="s">
        <v>1450</v>
      </c>
      <c r="E349" s="1310" t="s">
        <v>1450</v>
      </c>
      <c r="F349" s="1310" t="s">
        <v>1450</v>
      </c>
      <c r="G349" s="1310" t="s">
        <v>1450</v>
      </c>
      <c r="H349" s="1310" t="s">
        <v>1450</v>
      </c>
      <c r="I349" s="1310" t="s">
        <v>1450</v>
      </c>
      <c r="J349" s="1310" t="s">
        <v>1450</v>
      </c>
      <c r="K349" s="1310" t="s">
        <v>1450</v>
      </c>
      <c r="L349" s="1310" t="s">
        <v>1450</v>
      </c>
      <c r="M349" s="1310" t="s">
        <v>1450</v>
      </c>
      <c r="N349" s="1310" t="s">
        <v>1450</v>
      </c>
      <c r="O349" s="1310" t="s">
        <v>1450</v>
      </c>
      <c r="P349" s="1310" t="s">
        <v>1450</v>
      </c>
      <c r="Q349" s="1310" t="s">
        <v>1450</v>
      </c>
      <c r="R349" s="1310" t="s">
        <v>1588</v>
      </c>
      <c r="S349" s="1310" t="s">
        <v>1599</v>
      </c>
      <c r="T349" s="1310" t="s">
        <v>1659</v>
      </c>
      <c r="U349" s="1310" t="s">
        <v>1476</v>
      </c>
      <c r="V349" s="1310" t="s">
        <v>1450</v>
      </c>
      <c r="W349" s="1310" t="s">
        <v>1450</v>
      </c>
      <c r="X349" s="1310" t="s">
        <v>1450</v>
      </c>
      <c r="Y349" s="1310" t="s">
        <v>1450</v>
      </c>
      <c r="Z349" s="1310" t="s">
        <v>1450</v>
      </c>
      <c r="AA349" s="1310" t="s">
        <v>1450</v>
      </c>
      <c r="AB349" s="1310" t="s">
        <v>132</v>
      </c>
      <c r="AC349" s="1310" t="s">
        <v>1519</v>
      </c>
      <c r="AD349" s="1310" t="s">
        <v>1450</v>
      </c>
      <c r="AE349" s="1310" t="s">
        <v>262</v>
      </c>
      <c r="AF349" s="1310" t="s">
        <v>1450</v>
      </c>
    </row>
    <row r="350" spans="1:32" x14ac:dyDescent="0.3">
      <c r="A350" s="1310" t="s">
        <v>1450</v>
      </c>
      <c r="B350" s="1310" t="s">
        <v>1450</v>
      </c>
      <c r="C350" s="1310" t="s">
        <v>262</v>
      </c>
      <c r="D350" s="1310" t="s">
        <v>1533</v>
      </c>
      <c r="E350" s="1310" t="s">
        <v>1648</v>
      </c>
      <c r="F350" s="1310" t="s">
        <v>1588</v>
      </c>
      <c r="G350" s="1310" t="s">
        <v>1599</v>
      </c>
      <c r="H350" s="1310" t="s">
        <v>1659</v>
      </c>
      <c r="I350" s="1310" t="s">
        <v>1476</v>
      </c>
      <c r="J350" s="1310" t="s">
        <v>1450</v>
      </c>
      <c r="K350" s="1310" t="s">
        <v>1450</v>
      </c>
      <c r="L350" s="1310" t="s">
        <v>1450</v>
      </c>
      <c r="M350" s="1310" t="s">
        <v>1450</v>
      </c>
      <c r="N350" s="1310" t="s">
        <v>1450</v>
      </c>
      <c r="O350" s="1310" t="s">
        <v>1450</v>
      </c>
      <c r="P350" s="1310" t="s">
        <v>1450</v>
      </c>
      <c r="Q350" s="1310" t="s">
        <v>1450</v>
      </c>
      <c r="R350" s="1310" t="s">
        <v>1450</v>
      </c>
      <c r="S350" s="1310" t="s">
        <v>1450</v>
      </c>
      <c r="T350" s="1310" t="s">
        <v>1450</v>
      </c>
      <c r="U350" s="1310" t="s">
        <v>1450</v>
      </c>
      <c r="V350" s="1310" t="s">
        <v>1450</v>
      </c>
      <c r="W350" s="1310" t="s">
        <v>1450</v>
      </c>
      <c r="X350" s="1310" t="s">
        <v>1450</v>
      </c>
      <c r="Y350" s="1310" t="s">
        <v>1450</v>
      </c>
      <c r="Z350" s="1310" t="s">
        <v>1588</v>
      </c>
      <c r="AA350" s="1310" t="s">
        <v>1599</v>
      </c>
      <c r="AB350" s="1310" t="s">
        <v>1659</v>
      </c>
      <c r="AC350" s="1310" t="s">
        <v>1476</v>
      </c>
      <c r="AD350" s="1310" t="s">
        <v>1450</v>
      </c>
      <c r="AE350" s="1310" t="s">
        <v>1450</v>
      </c>
      <c r="AF350" s="1310" t="s">
        <v>1450</v>
      </c>
    </row>
    <row r="351" spans="1:32" x14ac:dyDescent="0.3">
      <c r="A351" s="1310" t="s">
        <v>1450</v>
      </c>
      <c r="B351" s="1310" t="s">
        <v>1450</v>
      </c>
      <c r="C351" s="1310" t="s">
        <v>1450</v>
      </c>
      <c r="D351" s="1310" t="s">
        <v>1474</v>
      </c>
      <c r="E351" s="1310" t="s">
        <v>111</v>
      </c>
      <c r="F351" s="1310" t="s">
        <v>1450</v>
      </c>
      <c r="G351" s="1310" t="s">
        <v>1450</v>
      </c>
      <c r="H351" s="1310" t="s">
        <v>1574</v>
      </c>
      <c r="I351" s="1310" t="s">
        <v>1552</v>
      </c>
      <c r="J351" s="1310" t="s">
        <v>1450</v>
      </c>
      <c r="K351" s="1310" t="s">
        <v>1450</v>
      </c>
      <c r="L351" s="1310" t="s">
        <v>264</v>
      </c>
      <c r="M351" s="1310" t="s">
        <v>1578</v>
      </c>
      <c r="N351" s="1310" t="s">
        <v>1588</v>
      </c>
      <c r="O351" s="1310" t="s">
        <v>1599</v>
      </c>
      <c r="P351" s="1310" t="s">
        <v>1659</v>
      </c>
      <c r="Q351" s="1310" t="s">
        <v>1476</v>
      </c>
      <c r="R351" s="1310" t="s">
        <v>1450</v>
      </c>
      <c r="S351" s="1310" t="s">
        <v>1450</v>
      </c>
      <c r="T351" s="1310" t="s">
        <v>1450</v>
      </c>
      <c r="U351" s="1310" t="s">
        <v>1450</v>
      </c>
      <c r="V351" s="1310" t="s">
        <v>1450</v>
      </c>
      <c r="W351" s="1310" t="s">
        <v>1450</v>
      </c>
      <c r="X351" s="1310" t="s">
        <v>1455</v>
      </c>
      <c r="Y351" s="1310" t="s">
        <v>1649</v>
      </c>
      <c r="Z351" s="1310" t="s">
        <v>1450</v>
      </c>
      <c r="AA351" s="1310" t="s">
        <v>1450</v>
      </c>
      <c r="AB351" s="1310" t="s">
        <v>1567</v>
      </c>
      <c r="AC351" s="1310" t="s">
        <v>1545</v>
      </c>
      <c r="AD351" s="1310" t="s">
        <v>1450</v>
      </c>
      <c r="AE351" s="1310" t="s">
        <v>1450</v>
      </c>
      <c r="AF351" s="1310" t="s">
        <v>1511</v>
      </c>
    </row>
    <row r="352" spans="1:32" x14ac:dyDescent="0.3">
      <c r="A352" s="1310" t="s">
        <v>1572</v>
      </c>
      <c r="B352" s="1310" t="s">
        <v>1588</v>
      </c>
      <c r="C352" s="1310" t="s">
        <v>1599</v>
      </c>
      <c r="D352" s="1310" t="s">
        <v>1659</v>
      </c>
      <c r="E352" s="1310" t="s">
        <v>1476</v>
      </c>
      <c r="F352" s="1310" t="s">
        <v>1450</v>
      </c>
      <c r="G352" s="1310" t="s">
        <v>1450</v>
      </c>
      <c r="H352" s="1310" t="s">
        <v>1450</v>
      </c>
      <c r="I352" s="1310" t="s">
        <v>1450</v>
      </c>
      <c r="J352" s="1310" t="s">
        <v>1450</v>
      </c>
      <c r="K352" s="1310" t="s">
        <v>1450</v>
      </c>
      <c r="L352" s="1310" t="s">
        <v>1526</v>
      </c>
      <c r="M352" s="1310" t="s">
        <v>1495</v>
      </c>
      <c r="N352" s="1310" t="s">
        <v>1450</v>
      </c>
      <c r="O352" s="1310" t="s">
        <v>1450</v>
      </c>
      <c r="P352" s="1310" t="s">
        <v>1510</v>
      </c>
      <c r="Q352" s="1310" t="s">
        <v>1506</v>
      </c>
      <c r="R352" s="1310" t="s">
        <v>1450</v>
      </c>
      <c r="S352" s="1310" t="s">
        <v>1450</v>
      </c>
      <c r="T352" s="1310" t="s">
        <v>1558</v>
      </c>
      <c r="U352" s="1310" t="s">
        <v>1607</v>
      </c>
      <c r="V352" s="1310" t="s">
        <v>1473</v>
      </c>
      <c r="W352" s="1310" t="s">
        <v>1475</v>
      </c>
      <c r="X352" s="1310" t="s">
        <v>1480</v>
      </c>
      <c r="Y352" s="1310" t="s">
        <v>1532</v>
      </c>
      <c r="Z352" s="1310" t="s">
        <v>1450</v>
      </c>
      <c r="AA352" s="1310" t="s">
        <v>1450</v>
      </c>
      <c r="AB352" s="1310" t="s">
        <v>1450</v>
      </c>
      <c r="AC352" s="1310" t="s">
        <v>1450</v>
      </c>
      <c r="AD352" s="1310" t="s">
        <v>1450</v>
      </c>
      <c r="AE352" s="1310" t="s">
        <v>1450</v>
      </c>
      <c r="AF352" s="1310" t="s">
        <v>1450</v>
      </c>
    </row>
    <row r="353" spans="1:32" x14ac:dyDescent="0.3">
      <c r="A353" s="1310" t="s">
        <v>1533</v>
      </c>
      <c r="B353" s="1310" t="s">
        <v>1573</v>
      </c>
      <c r="C353" s="1310" t="s">
        <v>1446</v>
      </c>
      <c r="D353" s="1310" t="s">
        <v>1502</v>
      </c>
      <c r="E353" s="1310" t="s">
        <v>1476</v>
      </c>
      <c r="F353" s="1310" t="s">
        <v>1478</v>
      </c>
      <c r="G353" s="1310" t="s">
        <v>1479</v>
      </c>
      <c r="H353" s="1310" t="s">
        <v>1479</v>
      </c>
      <c r="I353" s="1310" t="s">
        <v>1481</v>
      </c>
      <c r="J353" s="1310" t="s">
        <v>1491</v>
      </c>
      <c r="K353" s="1310" t="s">
        <v>1645</v>
      </c>
      <c r="L353" s="1310" t="s">
        <v>1645</v>
      </c>
      <c r="M353" s="1310" t="s">
        <v>1489</v>
      </c>
      <c r="N353" s="1310" t="s">
        <v>1489</v>
      </c>
      <c r="O353" s="1310" t="s">
        <v>1489</v>
      </c>
      <c r="P353" s="1310" t="s">
        <v>1486</v>
      </c>
      <c r="Q353" s="1310" t="s">
        <v>1448</v>
      </c>
      <c r="R353" s="1310" t="s">
        <v>1475</v>
      </c>
      <c r="S353" s="1310" t="s">
        <v>1532</v>
      </c>
      <c r="T353" s="1310" t="s">
        <v>1486</v>
      </c>
      <c r="U353" s="1310" t="s">
        <v>1532</v>
      </c>
      <c r="V353" s="1310" t="s">
        <v>1478</v>
      </c>
      <c r="W353" s="1310" t="s">
        <v>1450</v>
      </c>
      <c r="X353" s="1310" t="s">
        <v>1450</v>
      </c>
      <c r="Y353" s="1310" t="s">
        <v>1450</v>
      </c>
      <c r="Z353" s="1310" t="s">
        <v>1450</v>
      </c>
      <c r="AA353" s="1310" t="s">
        <v>1450</v>
      </c>
      <c r="AB353" s="1310" t="s">
        <v>1450</v>
      </c>
      <c r="AC353" s="1310" t="s">
        <v>1450</v>
      </c>
      <c r="AD353" s="1310" t="s">
        <v>1450</v>
      </c>
      <c r="AE353" s="1310" t="s">
        <v>1450</v>
      </c>
      <c r="AF353" s="1310" t="s">
        <v>1450</v>
      </c>
    </row>
    <row r="354" spans="1:32" x14ac:dyDescent="0.3">
      <c r="A354" s="1310" t="s">
        <v>1450</v>
      </c>
      <c r="B354" s="1310" t="s">
        <v>1533</v>
      </c>
      <c r="C354" s="1310" t="s">
        <v>1573</v>
      </c>
      <c r="D354" s="1310" t="s">
        <v>1446</v>
      </c>
      <c r="E354" s="1310" t="s">
        <v>1502</v>
      </c>
      <c r="F354" s="1310" t="s">
        <v>1476</v>
      </c>
      <c r="G354" s="1310" t="s">
        <v>1478</v>
      </c>
      <c r="H354" s="1310" t="s">
        <v>1479</v>
      </c>
      <c r="I354" s="1310" t="s">
        <v>1479</v>
      </c>
      <c r="J354" s="1310" t="s">
        <v>1481</v>
      </c>
      <c r="K354" s="1310" t="s">
        <v>1491</v>
      </c>
      <c r="L354" s="1310" t="s">
        <v>1645</v>
      </c>
      <c r="M354" s="1310" t="s">
        <v>1645</v>
      </c>
      <c r="N354" s="1310" t="s">
        <v>1489</v>
      </c>
      <c r="O354" s="1310" t="s">
        <v>1489</v>
      </c>
      <c r="P354" s="1310" t="s">
        <v>1489</v>
      </c>
      <c r="Q354" s="1310" t="s">
        <v>1486</v>
      </c>
      <c r="R354" s="1310" t="s">
        <v>1448</v>
      </c>
      <c r="S354" s="1310" t="s">
        <v>1475</v>
      </c>
      <c r="T354" s="1310" t="s">
        <v>1532</v>
      </c>
      <c r="U354" s="1310" t="s">
        <v>1486</v>
      </c>
      <c r="V354" s="1310" t="s">
        <v>1532</v>
      </c>
      <c r="W354" s="1310" t="s">
        <v>1478</v>
      </c>
      <c r="X354" s="1310" t="s">
        <v>1450</v>
      </c>
      <c r="Y354" s="1310" t="s">
        <v>1450</v>
      </c>
      <c r="Z354" s="1310" t="s">
        <v>1450</v>
      </c>
      <c r="AA354" s="1310" t="s">
        <v>1450</v>
      </c>
      <c r="AB354" s="1310" t="s">
        <v>1450</v>
      </c>
      <c r="AC354" s="1310" t="s">
        <v>1450</v>
      </c>
      <c r="AD354" s="1310" t="s">
        <v>1450</v>
      </c>
      <c r="AE354" s="1310" t="s">
        <v>1450</v>
      </c>
      <c r="AF354" s="1310" t="s">
        <v>1450</v>
      </c>
    </row>
    <row r="355" spans="1:32" x14ac:dyDescent="0.3">
      <c r="A355" s="1310" t="s">
        <v>1450</v>
      </c>
      <c r="B355" s="1310" t="s">
        <v>1450</v>
      </c>
      <c r="C355" s="1310" t="s">
        <v>1450</v>
      </c>
      <c r="D355" s="1310" t="s">
        <v>1450</v>
      </c>
      <c r="E355" s="1310" t="s">
        <v>1450</v>
      </c>
      <c r="F355" s="1310" t="s">
        <v>1450</v>
      </c>
      <c r="G355" s="1310" t="s">
        <v>1450</v>
      </c>
      <c r="H355" s="1310" t="s">
        <v>1450</v>
      </c>
      <c r="I355" s="1310" t="s">
        <v>1450</v>
      </c>
      <c r="J355" s="1310" t="s">
        <v>1450</v>
      </c>
      <c r="K355" s="1310" t="s">
        <v>1450</v>
      </c>
      <c r="L355" s="1310" t="s">
        <v>1450</v>
      </c>
      <c r="M355" s="1310" t="s">
        <v>1450</v>
      </c>
      <c r="N355" s="1310" t="s">
        <v>1450</v>
      </c>
      <c r="O355" s="1310" t="s">
        <v>1450</v>
      </c>
      <c r="P355" s="1310" t="s">
        <v>1450</v>
      </c>
      <c r="Q355" s="1310" t="s">
        <v>1450</v>
      </c>
      <c r="R355" s="1310" t="s">
        <v>1450</v>
      </c>
      <c r="S355" s="1310" t="s">
        <v>1450</v>
      </c>
      <c r="T355" s="1310" t="s">
        <v>1450</v>
      </c>
      <c r="U355" s="1310" t="s">
        <v>1450</v>
      </c>
      <c r="V355" s="1310" t="s">
        <v>1450</v>
      </c>
      <c r="W355" s="1310" t="s">
        <v>1450</v>
      </c>
      <c r="X355" s="1310" t="s">
        <v>1450</v>
      </c>
      <c r="Y355" s="1310" t="s">
        <v>1450</v>
      </c>
      <c r="Z355" s="1310" t="s">
        <v>1450</v>
      </c>
      <c r="AA355" s="1310" t="s">
        <v>1450</v>
      </c>
      <c r="AB355" s="1310" t="s">
        <v>1450</v>
      </c>
      <c r="AC355" s="1310" t="s">
        <v>1450</v>
      </c>
      <c r="AD355" s="1310" t="s">
        <v>1450</v>
      </c>
      <c r="AE355" s="1310" t="s">
        <v>1450</v>
      </c>
      <c r="AF355" s="1310" t="s">
        <v>1450</v>
      </c>
    </row>
    <row r="356" spans="1:32" x14ac:dyDescent="0.3">
      <c r="A356" s="1310" t="s">
        <v>1450</v>
      </c>
      <c r="B356" s="1310" t="s">
        <v>1450</v>
      </c>
      <c r="C356" s="1310" t="s">
        <v>1450</v>
      </c>
      <c r="D356" s="1310" t="s">
        <v>1450</v>
      </c>
      <c r="E356" s="1310" t="s">
        <v>1450</v>
      </c>
      <c r="F356" s="1310" t="s">
        <v>1473</v>
      </c>
      <c r="G356" s="1310" t="s">
        <v>1475</v>
      </c>
      <c r="H356" s="1310" t="s">
        <v>1480</v>
      </c>
      <c r="I356" s="1310" t="s">
        <v>1532</v>
      </c>
      <c r="J356" s="1310" t="s">
        <v>1450</v>
      </c>
      <c r="K356" s="1310" t="s">
        <v>1450</v>
      </c>
      <c r="L356" s="1310" t="s">
        <v>1450</v>
      </c>
      <c r="M356" s="1310" t="s">
        <v>1450</v>
      </c>
      <c r="N356" s="1310" t="s">
        <v>1450</v>
      </c>
      <c r="O356" s="1310" t="s">
        <v>1450</v>
      </c>
      <c r="P356" s="1310" t="s">
        <v>1450</v>
      </c>
      <c r="Q356" s="1310" t="s">
        <v>1486</v>
      </c>
      <c r="R356" s="1310" t="s">
        <v>1573</v>
      </c>
      <c r="S356" s="1310" t="s">
        <v>1446</v>
      </c>
      <c r="T356" s="1310" t="s">
        <v>1502</v>
      </c>
      <c r="U356" s="1310" t="s">
        <v>1476</v>
      </c>
      <c r="V356" s="1310" t="s">
        <v>1539</v>
      </c>
      <c r="W356" s="1310" t="s">
        <v>1459</v>
      </c>
      <c r="X356" s="1310" t="s">
        <v>1631</v>
      </c>
      <c r="Y356" s="1310" t="s">
        <v>1539</v>
      </c>
      <c r="Z356" s="1310" t="s">
        <v>1539</v>
      </c>
      <c r="AA356" s="1310" t="s">
        <v>1654</v>
      </c>
      <c r="AB356" s="1310" t="s">
        <v>1461</v>
      </c>
      <c r="AC356" s="1310" t="s">
        <v>1486</v>
      </c>
      <c r="AD356" s="1310" t="s">
        <v>1459</v>
      </c>
      <c r="AE356" s="1310" t="s">
        <v>1476</v>
      </c>
      <c r="AF356" s="1310" t="s">
        <v>1536</v>
      </c>
    </row>
    <row r="357" spans="1:32" x14ac:dyDescent="0.3">
      <c r="A357" s="1310" t="s">
        <v>1475</v>
      </c>
      <c r="B357" s="1310" t="s">
        <v>1449</v>
      </c>
      <c r="C357" s="1310" t="s">
        <v>1520</v>
      </c>
      <c r="D357" s="1310" t="s">
        <v>1542</v>
      </c>
      <c r="E357" s="1310" t="s">
        <v>1482</v>
      </c>
      <c r="F357" s="1310" t="s">
        <v>1479</v>
      </c>
      <c r="G357" s="1310" t="s">
        <v>1476</v>
      </c>
      <c r="H357" s="1310" t="s">
        <v>1527</v>
      </c>
      <c r="I357" s="1310" t="s">
        <v>1563</v>
      </c>
      <c r="J357" s="1310" t="s">
        <v>1524</v>
      </c>
      <c r="K357" s="1310" t="s">
        <v>1476</v>
      </c>
      <c r="L357" s="1310" t="s">
        <v>1532</v>
      </c>
      <c r="M357" s="1310" t="s">
        <v>1474</v>
      </c>
      <c r="N357" s="1310" t="s">
        <v>1482</v>
      </c>
      <c r="O357" s="1310" t="s">
        <v>1474</v>
      </c>
      <c r="P357" s="1310" t="s">
        <v>1542</v>
      </c>
      <c r="Q357" s="1310" t="s">
        <v>1460</v>
      </c>
      <c r="R357" s="1310" t="s">
        <v>1476</v>
      </c>
      <c r="S357" s="1310" t="s">
        <v>1480</v>
      </c>
      <c r="T357" s="1310" t="s">
        <v>1481</v>
      </c>
      <c r="U357" s="1310" t="s">
        <v>1520</v>
      </c>
      <c r="V357" s="1310" t="s">
        <v>1532</v>
      </c>
      <c r="W357" s="1310" t="s">
        <v>1475</v>
      </c>
      <c r="X357" s="1310" t="s">
        <v>1476</v>
      </c>
      <c r="Y357" s="1310" t="s">
        <v>1654</v>
      </c>
      <c r="Z357" s="1310" t="s">
        <v>1476</v>
      </c>
      <c r="AA357" s="1310" t="s">
        <v>1480</v>
      </c>
      <c r="AB357" s="1310" t="s">
        <v>1527</v>
      </c>
      <c r="AC357" s="1310" t="s">
        <v>1563</v>
      </c>
      <c r="AD357" s="1310" t="s">
        <v>1524</v>
      </c>
      <c r="AE357" s="1310" t="s">
        <v>1450</v>
      </c>
      <c r="AF357" s="1310" t="s">
        <v>1450</v>
      </c>
    </row>
    <row r="358" spans="1:32" x14ac:dyDescent="0.3">
      <c r="A358" s="1310" t="s">
        <v>1450</v>
      </c>
      <c r="B358" s="1310" t="s">
        <v>1450</v>
      </c>
      <c r="C358" s="1310" t="s">
        <v>1450</v>
      </c>
      <c r="D358" s="1310" t="s">
        <v>1450</v>
      </c>
      <c r="E358" s="1310" t="s">
        <v>1450</v>
      </c>
      <c r="F358" s="1310" t="s">
        <v>1450</v>
      </c>
      <c r="G358" s="1310" t="s">
        <v>1450</v>
      </c>
      <c r="H358" s="1310" t="s">
        <v>1450</v>
      </c>
      <c r="I358" s="1310" t="s">
        <v>1450</v>
      </c>
      <c r="J358" s="1310" t="s">
        <v>1486</v>
      </c>
      <c r="K358" s="1310" t="s">
        <v>1573</v>
      </c>
      <c r="L358" s="1310" t="s">
        <v>1446</v>
      </c>
      <c r="M358" s="1310" t="s">
        <v>1502</v>
      </c>
      <c r="N358" s="1310" t="s">
        <v>1476</v>
      </c>
      <c r="O358" s="1310" t="s">
        <v>1539</v>
      </c>
      <c r="P358" s="1310" t="s">
        <v>1459</v>
      </c>
      <c r="Q358" s="1310" t="s">
        <v>1631</v>
      </c>
      <c r="R358" s="1310" t="s">
        <v>1539</v>
      </c>
      <c r="S358" s="1310" t="s">
        <v>1539</v>
      </c>
      <c r="T358" s="1310" t="s">
        <v>1654</v>
      </c>
      <c r="U358" s="1310" t="s">
        <v>1461</v>
      </c>
      <c r="V358" s="1310" t="s">
        <v>1486</v>
      </c>
      <c r="W358" s="1310" t="s">
        <v>1459</v>
      </c>
      <c r="X358" s="1310" t="s">
        <v>1476</v>
      </c>
      <c r="Y358" s="1310" t="s">
        <v>1536</v>
      </c>
      <c r="Z358" s="1310" t="s">
        <v>1475</v>
      </c>
      <c r="AA358" s="1310" t="s">
        <v>1449</v>
      </c>
      <c r="AB358" s="1310" t="s">
        <v>1520</v>
      </c>
      <c r="AC358" s="1310" t="s">
        <v>1542</v>
      </c>
      <c r="AD358" s="1310" t="s">
        <v>1482</v>
      </c>
      <c r="AE358" s="1310" t="s">
        <v>1479</v>
      </c>
      <c r="AF358" s="1310" t="s">
        <v>1476</v>
      </c>
    </row>
    <row r="359" spans="1:32" x14ac:dyDescent="0.3">
      <c r="A359" s="1310" t="s">
        <v>1527</v>
      </c>
      <c r="B359" s="1310" t="s">
        <v>1563</v>
      </c>
      <c r="C359" s="1310" t="s">
        <v>1524</v>
      </c>
      <c r="D359" s="1310" t="s">
        <v>1476</v>
      </c>
      <c r="E359" s="1310" t="s">
        <v>1532</v>
      </c>
      <c r="F359" s="1310" t="s">
        <v>1474</v>
      </c>
      <c r="G359" s="1310" t="s">
        <v>1482</v>
      </c>
      <c r="H359" s="1310" t="s">
        <v>1474</v>
      </c>
      <c r="I359" s="1310" t="s">
        <v>1542</v>
      </c>
      <c r="J359" s="1310" t="s">
        <v>1460</v>
      </c>
      <c r="K359" s="1310" t="s">
        <v>1476</v>
      </c>
      <c r="L359" s="1310" t="s">
        <v>1480</v>
      </c>
      <c r="M359" s="1310" t="s">
        <v>1481</v>
      </c>
      <c r="N359" s="1310" t="s">
        <v>1520</v>
      </c>
      <c r="O359" s="1310" t="s">
        <v>1532</v>
      </c>
      <c r="P359" s="1310" t="s">
        <v>1475</v>
      </c>
      <c r="Q359" s="1310" t="s">
        <v>1476</v>
      </c>
      <c r="R359" s="1310" t="s">
        <v>1654</v>
      </c>
      <c r="S359" s="1310" t="s">
        <v>1476</v>
      </c>
      <c r="T359" s="1310" t="s">
        <v>1480</v>
      </c>
      <c r="U359" s="1310" t="s">
        <v>1527</v>
      </c>
      <c r="V359" s="1310" t="s">
        <v>1563</v>
      </c>
      <c r="W359" s="1310" t="s">
        <v>1524</v>
      </c>
      <c r="X359" s="1310" t="s">
        <v>1450</v>
      </c>
      <c r="Y359" s="1310" t="s">
        <v>1450</v>
      </c>
      <c r="Z359" s="1310" t="s">
        <v>1450</v>
      </c>
      <c r="AA359" s="1310" t="s">
        <v>1450</v>
      </c>
      <c r="AB359" s="1310" t="s">
        <v>1450</v>
      </c>
      <c r="AC359" s="1310" t="s">
        <v>1450</v>
      </c>
      <c r="AD359" s="1310" t="s">
        <v>1450</v>
      </c>
      <c r="AE359" s="1310" t="s">
        <v>1450</v>
      </c>
      <c r="AF359" s="1310" t="s">
        <v>1450</v>
      </c>
    </row>
    <row r="360" spans="1:32" x14ac:dyDescent="0.3">
      <c r="A360" s="1310" t="s">
        <v>1450</v>
      </c>
      <c r="B360" s="1310" t="s">
        <v>1450</v>
      </c>
      <c r="C360" s="1310" t="s">
        <v>1450</v>
      </c>
      <c r="D360" s="1310" t="s">
        <v>1450</v>
      </c>
      <c r="E360" s="1310" t="s">
        <v>1450</v>
      </c>
      <c r="F360" s="1310" t="s">
        <v>1450</v>
      </c>
      <c r="G360" s="1310" t="s">
        <v>1450</v>
      </c>
      <c r="H360" s="1310" t="s">
        <v>1450</v>
      </c>
      <c r="I360" s="1310" t="s">
        <v>1450</v>
      </c>
      <c r="J360" s="1310" t="s">
        <v>1450</v>
      </c>
      <c r="K360" s="1310" t="s">
        <v>1450</v>
      </c>
      <c r="L360" s="1310" t="s">
        <v>1450</v>
      </c>
      <c r="M360" s="1310" t="s">
        <v>1450</v>
      </c>
      <c r="N360" s="1310" t="s">
        <v>1473</v>
      </c>
      <c r="O360" s="1310" t="s">
        <v>1475</v>
      </c>
      <c r="P360" s="1310" t="s">
        <v>1480</v>
      </c>
      <c r="Q360" s="1310" t="s">
        <v>1532</v>
      </c>
      <c r="R360" s="1310" t="s">
        <v>1450</v>
      </c>
      <c r="S360" s="1310" t="s">
        <v>1450</v>
      </c>
      <c r="T360" s="1310" t="s">
        <v>1450</v>
      </c>
      <c r="U360" s="1310" t="s">
        <v>1450</v>
      </c>
      <c r="V360" s="1310" t="s">
        <v>1450</v>
      </c>
      <c r="W360" s="1310" t="s">
        <v>1450</v>
      </c>
      <c r="X360" s="1310" t="s">
        <v>1450</v>
      </c>
      <c r="Y360" s="1310" t="s">
        <v>1625</v>
      </c>
      <c r="Z360" s="1310" t="s">
        <v>1527</v>
      </c>
      <c r="AA360" s="1310" t="s">
        <v>1475</v>
      </c>
      <c r="AB360" s="1310" t="s">
        <v>1449</v>
      </c>
      <c r="AC360" s="1310" t="s">
        <v>1475</v>
      </c>
      <c r="AD360" s="1310" t="s">
        <v>1460</v>
      </c>
      <c r="AE360" s="1310" t="s">
        <v>1475</v>
      </c>
      <c r="AF360" s="1310" t="s">
        <v>1484</v>
      </c>
    </row>
    <row r="361" spans="1:32" x14ac:dyDescent="0.3">
      <c r="A361" s="1310" t="s">
        <v>1532</v>
      </c>
      <c r="B361" s="1310" t="s">
        <v>1475</v>
      </c>
      <c r="C361" s="1310" t="s">
        <v>1476</v>
      </c>
      <c r="D361" s="1310" t="s">
        <v>1553</v>
      </c>
      <c r="E361" s="1310" t="s">
        <v>1448</v>
      </c>
      <c r="F361" s="1310" t="s">
        <v>1475</v>
      </c>
      <c r="G361" s="1310" t="s">
        <v>1489</v>
      </c>
      <c r="H361" s="1310" t="s">
        <v>1448</v>
      </c>
      <c r="I361" s="1310" t="s">
        <v>1484</v>
      </c>
      <c r="J361" s="1310" t="s">
        <v>1564</v>
      </c>
      <c r="K361" s="1310" t="s">
        <v>1476</v>
      </c>
      <c r="L361" s="1310" t="s">
        <v>1502</v>
      </c>
      <c r="M361" s="1310" t="s">
        <v>1474</v>
      </c>
      <c r="N361" s="1310" t="s">
        <v>1484</v>
      </c>
      <c r="O361" s="1310" t="s">
        <v>1473</v>
      </c>
      <c r="P361" s="1310" t="s">
        <v>1448</v>
      </c>
      <c r="Q361" s="1310" t="s">
        <v>1479</v>
      </c>
      <c r="R361" s="1310" t="s">
        <v>1448</v>
      </c>
      <c r="S361" s="1310" t="s">
        <v>1474</v>
      </c>
      <c r="T361" s="1310" t="s">
        <v>1484</v>
      </c>
      <c r="U361" s="1310" t="s">
        <v>1476</v>
      </c>
      <c r="V361" s="1310" t="s">
        <v>1448</v>
      </c>
      <c r="W361" s="1310" t="s">
        <v>1484</v>
      </c>
      <c r="X361" s="1310" t="s">
        <v>1476</v>
      </c>
      <c r="Y361" s="1310" t="s">
        <v>1573</v>
      </c>
      <c r="Z361" s="1310" t="s">
        <v>1446</v>
      </c>
      <c r="AA361" s="1310" t="s">
        <v>1502</v>
      </c>
      <c r="AB361" s="1310" t="s">
        <v>1539</v>
      </c>
      <c r="AC361" s="1310" t="s">
        <v>1459</v>
      </c>
      <c r="AD361" s="1310" t="s">
        <v>1631</v>
      </c>
      <c r="AE361" s="1310" t="s">
        <v>1539</v>
      </c>
      <c r="AF361" s="1310" t="s">
        <v>1539</v>
      </c>
    </row>
    <row r="362" spans="1:32" x14ac:dyDescent="0.3">
      <c r="A362" s="1310" t="s">
        <v>1654</v>
      </c>
      <c r="B362" s="1310" t="s">
        <v>1461</v>
      </c>
      <c r="C362" s="1310" t="s">
        <v>1486</v>
      </c>
      <c r="D362" s="1310" t="s">
        <v>1459</v>
      </c>
      <c r="E362" s="1310" t="s">
        <v>1450</v>
      </c>
      <c r="F362" s="1310" t="s">
        <v>1450</v>
      </c>
      <c r="G362" s="1310" t="s">
        <v>1450</v>
      </c>
      <c r="H362" s="1310" t="s">
        <v>1450</v>
      </c>
      <c r="I362" s="1310" t="s">
        <v>1450</v>
      </c>
      <c r="J362" s="1310" t="s">
        <v>1450</v>
      </c>
      <c r="K362" s="1310" t="s">
        <v>1450</v>
      </c>
      <c r="L362" s="1310" t="s">
        <v>1450</v>
      </c>
      <c r="M362" s="1310" t="s">
        <v>1450</v>
      </c>
      <c r="N362" s="1310" t="s">
        <v>1450</v>
      </c>
      <c r="O362" s="1310" t="s">
        <v>1450</v>
      </c>
      <c r="P362" s="1310" t="s">
        <v>1625</v>
      </c>
      <c r="Q362" s="1310" t="s">
        <v>1527</v>
      </c>
      <c r="R362" s="1310" t="s">
        <v>1475</v>
      </c>
      <c r="S362" s="1310" t="s">
        <v>1449</v>
      </c>
      <c r="T362" s="1310" t="s">
        <v>1475</v>
      </c>
      <c r="U362" s="1310" t="s">
        <v>1460</v>
      </c>
      <c r="V362" s="1310" t="s">
        <v>1475</v>
      </c>
      <c r="W362" s="1310" t="s">
        <v>1484</v>
      </c>
      <c r="X362" s="1310" t="s">
        <v>1532</v>
      </c>
      <c r="Y362" s="1310" t="s">
        <v>1475</v>
      </c>
      <c r="Z362" s="1310" t="s">
        <v>1476</v>
      </c>
      <c r="AA362" s="1310" t="s">
        <v>1553</v>
      </c>
      <c r="AB362" s="1310" t="s">
        <v>1448</v>
      </c>
      <c r="AC362" s="1310" t="s">
        <v>1475</v>
      </c>
      <c r="AD362" s="1310" t="s">
        <v>1489</v>
      </c>
      <c r="AE362" s="1310" t="s">
        <v>1448</v>
      </c>
      <c r="AF362" s="1310" t="s">
        <v>1484</v>
      </c>
    </row>
    <row r="363" spans="1:32" x14ac:dyDescent="0.3">
      <c r="A363" s="1310" t="s">
        <v>1564</v>
      </c>
      <c r="B363" s="1310" t="s">
        <v>1476</v>
      </c>
      <c r="C363" s="1310" t="s">
        <v>1502</v>
      </c>
      <c r="D363" s="1310" t="s">
        <v>1474</v>
      </c>
      <c r="E363" s="1310" t="s">
        <v>1484</v>
      </c>
      <c r="F363" s="1310" t="s">
        <v>1473</v>
      </c>
      <c r="G363" s="1310" t="s">
        <v>1448</v>
      </c>
      <c r="H363" s="1310" t="s">
        <v>1479</v>
      </c>
      <c r="I363" s="1310" t="s">
        <v>1448</v>
      </c>
      <c r="J363" s="1310" t="s">
        <v>1474</v>
      </c>
      <c r="K363" s="1310" t="s">
        <v>1484</v>
      </c>
      <c r="L363" s="1310" t="s">
        <v>1476</v>
      </c>
      <c r="M363" s="1310" t="s">
        <v>1448</v>
      </c>
      <c r="N363" s="1310" t="s">
        <v>1484</v>
      </c>
      <c r="O363" s="1310" t="s">
        <v>1476</v>
      </c>
      <c r="P363" s="1310" t="s">
        <v>1573</v>
      </c>
      <c r="Q363" s="1310" t="s">
        <v>1446</v>
      </c>
      <c r="R363" s="1310" t="s">
        <v>1502</v>
      </c>
      <c r="S363" s="1310" t="s">
        <v>1539</v>
      </c>
      <c r="T363" s="1310" t="s">
        <v>1459</v>
      </c>
      <c r="U363" s="1310" t="s">
        <v>1631</v>
      </c>
      <c r="V363" s="1310" t="s">
        <v>1539</v>
      </c>
      <c r="W363" s="1310" t="s">
        <v>1539</v>
      </c>
      <c r="X363" s="1310" t="s">
        <v>1654</v>
      </c>
      <c r="Y363" s="1310" t="s">
        <v>1461</v>
      </c>
      <c r="Z363" s="1310" t="s">
        <v>1486</v>
      </c>
      <c r="AA363" s="1310" t="s">
        <v>1459</v>
      </c>
      <c r="AB363" s="1310" t="s">
        <v>1450</v>
      </c>
      <c r="AC363" s="1310" t="s">
        <v>1450</v>
      </c>
      <c r="AD363" s="1310" t="s">
        <v>1450</v>
      </c>
      <c r="AE363" s="1310" t="s">
        <v>1450</v>
      </c>
      <c r="AF363" s="1310" t="s">
        <v>1450</v>
      </c>
    </row>
    <row r="364" spans="1:32" x14ac:dyDescent="0.3">
      <c r="A364" s="1310" t="s">
        <v>1450</v>
      </c>
      <c r="B364" s="1310" t="s">
        <v>1450</v>
      </c>
      <c r="C364" s="1310" t="s">
        <v>1450</v>
      </c>
      <c r="D364" s="1310" t="s">
        <v>1450</v>
      </c>
      <c r="E364" s="1310" t="s">
        <v>1450</v>
      </c>
      <c r="F364" s="1310" t="s">
        <v>1450</v>
      </c>
      <c r="G364" s="1310" t="s">
        <v>1450</v>
      </c>
      <c r="H364" s="1310" t="s">
        <v>1450</v>
      </c>
      <c r="I364" s="1310" t="s">
        <v>1450</v>
      </c>
      <c r="J364" s="1310" t="s">
        <v>1450</v>
      </c>
      <c r="K364" s="1310" t="s">
        <v>1450</v>
      </c>
      <c r="L364" s="1310" t="s">
        <v>1450</v>
      </c>
      <c r="M364" s="1310" t="s">
        <v>1450</v>
      </c>
      <c r="N364" s="1310" t="s">
        <v>1450</v>
      </c>
      <c r="O364" s="1310" t="s">
        <v>1450</v>
      </c>
      <c r="P364" s="1310" t="s">
        <v>1450</v>
      </c>
      <c r="Q364" s="1310" t="s">
        <v>1450</v>
      </c>
      <c r="R364" s="1310" t="s">
        <v>1450</v>
      </c>
      <c r="S364" s="1310" t="s">
        <v>1450</v>
      </c>
      <c r="T364" s="1310" t="s">
        <v>1450</v>
      </c>
      <c r="U364" s="1310" t="s">
        <v>1450</v>
      </c>
      <c r="V364" s="1310" t="s">
        <v>1554</v>
      </c>
      <c r="W364" s="1310" t="s">
        <v>1448</v>
      </c>
      <c r="X364" s="1310" t="s">
        <v>1475</v>
      </c>
      <c r="Y364" s="1310" t="s">
        <v>1489</v>
      </c>
      <c r="Z364" s="1310" t="s">
        <v>1450</v>
      </c>
      <c r="AA364" s="1310" t="s">
        <v>1450</v>
      </c>
      <c r="AB364" s="1310" t="s">
        <v>1450</v>
      </c>
      <c r="AC364" s="1310" t="s">
        <v>1450</v>
      </c>
      <c r="AD364" s="1310" t="s">
        <v>1450</v>
      </c>
      <c r="AE364" s="1310" t="s">
        <v>1512</v>
      </c>
      <c r="AF364" s="1310" t="s">
        <v>113</v>
      </c>
    </row>
    <row r="365" spans="1:32" x14ac:dyDescent="0.3">
      <c r="A365" s="1310" t="s">
        <v>1636</v>
      </c>
      <c r="B365" s="1310" t="s">
        <v>1450</v>
      </c>
      <c r="C365" s="1310" t="s">
        <v>1462</v>
      </c>
      <c r="D365" s="1310" t="s">
        <v>1501</v>
      </c>
      <c r="E365" s="1310" t="s">
        <v>1486</v>
      </c>
      <c r="F365" s="1310" t="s">
        <v>1450</v>
      </c>
      <c r="G365" s="1310" t="s">
        <v>1471</v>
      </c>
      <c r="H365" s="1310" t="s">
        <v>1607</v>
      </c>
      <c r="I365" s="1310" t="s">
        <v>1462</v>
      </c>
      <c r="J365" s="1310" t="s">
        <v>1450</v>
      </c>
      <c r="K365" s="1310" t="s">
        <v>264</v>
      </c>
      <c r="L365" s="1310" t="s">
        <v>1499</v>
      </c>
      <c r="M365" s="1310" t="s">
        <v>1648</v>
      </c>
      <c r="N365" s="1310" t="s">
        <v>1450</v>
      </c>
      <c r="O365" s="1310" t="s">
        <v>265</v>
      </c>
      <c r="P365" s="1310" t="s">
        <v>1512</v>
      </c>
      <c r="Q365" s="1310" t="s">
        <v>1508</v>
      </c>
      <c r="R365" s="1310" t="s">
        <v>1450</v>
      </c>
      <c r="S365" s="1310" t="s">
        <v>264</v>
      </c>
      <c r="T365" s="1310" t="s">
        <v>1576</v>
      </c>
      <c r="U365" s="1310" t="s">
        <v>1594</v>
      </c>
      <c r="V365" s="1310" t="s">
        <v>1450</v>
      </c>
      <c r="W365" s="1310" t="s">
        <v>1450</v>
      </c>
      <c r="X365" s="1310" t="s">
        <v>1450</v>
      </c>
      <c r="Y365" s="1310" t="s">
        <v>262</v>
      </c>
      <c r="Z365" s="1310" t="s">
        <v>1588</v>
      </c>
      <c r="AA365" s="1310" t="s">
        <v>1599</v>
      </c>
      <c r="AB365" s="1310" t="s">
        <v>1659</v>
      </c>
      <c r="AC365" s="1310" t="s">
        <v>1476</v>
      </c>
      <c r="AD365" s="1310" t="s">
        <v>1450</v>
      </c>
      <c r="AE365" s="1310" t="s">
        <v>1450</v>
      </c>
      <c r="AF365" s="1310" t="s">
        <v>1450</v>
      </c>
    </row>
    <row r="366" spans="1:32" x14ac:dyDescent="0.3">
      <c r="A366" s="1310" t="s">
        <v>1450</v>
      </c>
      <c r="B366" s="1310" t="s">
        <v>1450</v>
      </c>
      <c r="C366" s="1310" t="s">
        <v>1651</v>
      </c>
      <c r="D366" s="1310" t="s">
        <v>270</v>
      </c>
      <c r="E366" s="1310" t="s">
        <v>1553</v>
      </c>
      <c r="F366" s="1310" t="s">
        <v>1450</v>
      </c>
      <c r="G366" s="1310" t="s">
        <v>1477</v>
      </c>
      <c r="H366" s="1310" t="s">
        <v>1450</v>
      </c>
      <c r="I366" s="1310" t="s">
        <v>1450</v>
      </c>
      <c r="J366" s="1310" t="s">
        <v>1450</v>
      </c>
      <c r="K366" s="1310" t="s">
        <v>1488</v>
      </c>
      <c r="L366" s="1310" t="s">
        <v>1603</v>
      </c>
      <c r="M366" s="1310" t="s">
        <v>1570</v>
      </c>
      <c r="N366" s="1310" t="s">
        <v>1483</v>
      </c>
      <c r="O366" s="1310" t="s">
        <v>1475</v>
      </c>
      <c r="P366" s="1310" t="s">
        <v>1520</v>
      </c>
      <c r="Q366" s="1310" t="s">
        <v>1480</v>
      </c>
      <c r="R366" s="1310" t="s">
        <v>1450</v>
      </c>
      <c r="S366" s="1310" t="s">
        <v>1450</v>
      </c>
      <c r="T366" s="1310" t="s">
        <v>1450</v>
      </c>
      <c r="U366" s="1310" t="s">
        <v>1450</v>
      </c>
      <c r="V366" s="1310" t="s">
        <v>1450</v>
      </c>
      <c r="W366" s="1310" t="s">
        <v>1450</v>
      </c>
      <c r="X366" s="1310" t="s">
        <v>1450</v>
      </c>
      <c r="Y366" s="1310" t="s">
        <v>262</v>
      </c>
      <c r="Z366" s="1310" t="s">
        <v>1450</v>
      </c>
      <c r="AA366" s="1310" t="s">
        <v>1450</v>
      </c>
      <c r="AB366" s="1310" t="s">
        <v>1450</v>
      </c>
      <c r="AC366" s="1310" t="s">
        <v>1450</v>
      </c>
      <c r="AD366" s="1310" t="s">
        <v>1450</v>
      </c>
      <c r="AE366" s="1310" t="s">
        <v>1450</v>
      </c>
      <c r="AF366" s="1310" t="s">
        <v>1450</v>
      </c>
    </row>
    <row r="367" spans="1:32" x14ac:dyDescent="0.3">
      <c r="A367" s="1310" t="s">
        <v>1450</v>
      </c>
      <c r="B367" s="1310" t="s">
        <v>1450</v>
      </c>
      <c r="C367" s="1310" t="s">
        <v>1450</v>
      </c>
      <c r="D367" s="1310" t="s">
        <v>1450</v>
      </c>
      <c r="E367" s="1310" t="s">
        <v>1450</v>
      </c>
      <c r="F367" s="1310" t="s">
        <v>1450</v>
      </c>
      <c r="G367" s="1310" t="s">
        <v>1450</v>
      </c>
      <c r="H367" s="1310" t="s">
        <v>1450</v>
      </c>
      <c r="I367" s="1310" t="s">
        <v>1450</v>
      </c>
      <c r="J367" s="1310" t="s">
        <v>1450</v>
      </c>
      <c r="K367" s="1310" t="s">
        <v>1450</v>
      </c>
      <c r="L367" s="1310" t="s">
        <v>263</v>
      </c>
      <c r="M367" s="1310" t="s">
        <v>1590</v>
      </c>
      <c r="N367" s="1310" t="s">
        <v>1450</v>
      </c>
      <c r="O367" s="1310" t="s">
        <v>1450</v>
      </c>
      <c r="P367" s="1310" t="s">
        <v>1450</v>
      </c>
      <c r="Q367" s="1310" t="s">
        <v>263</v>
      </c>
      <c r="R367" s="1310" t="s">
        <v>1480</v>
      </c>
      <c r="S367" s="1310" t="s">
        <v>1448</v>
      </c>
      <c r="T367" s="1310" t="s">
        <v>1564</v>
      </c>
      <c r="U367" s="1310" t="s">
        <v>1476</v>
      </c>
      <c r="V367" s="1310" t="s">
        <v>1450</v>
      </c>
      <c r="W367" s="1310" t="s">
        <v>1450</v>
      </c>
      <c r="X367" s="1310" t="s">
        <v>1450</v>
      </c>
      <c r="Y367" s="1310" t="s">
        <v>1450</v>
      </c>
      <c r="Z367" s="1310" t="s">
        <v>1502</v>
      </c>
      <c r="AA367" s="1310" t="s">
        <v>1527</v>
      </c>
      <c r="AB367" s="1310" t="s">
        <v>1538</v>
      </c>
      <c r="AC367" s="1310" t="s">
        <v>1476</v>
      </c>
      <c r="AD367" s="1310" t="s">
        <v>1532</v>
      </c>
      <c r="AE367" s="1310" t="s">
        <v>1542</v>
      </c>
      <c r="AF367" s="1310" t="s">
        <v>1460</v>
      </c>
    </row>
    <row r="368" spans="1:32" x14ac:dyDescent="0.3">
      <c r="A368" s="1310" t="s">
        <v>1554</v>
      </c>
      <c r="B368" s="1310" t="s">
        <v>1450</v>
      </c>
      <c r="C368" s="1310" t="s">
        <v>1450</v>
      </c>
      <c r="D368" s="1310" t="s">
        <v>1450</v>
      </c>
      <c r="E368" s="1310" t="s">
        <v>1450</v>
      </c>
      <c r="F368" s="1310" t="s">
        <v>1450</v>
      </c>
      <c r="G368" s="1310" t="s">
        <v>1450</v>
      </c>
      <c r="H368" s="1310" t="s">
        <v>265</v>
      </c>
      <c r="I368" s="1310" t="s">
        <v>1450</v>
      </c>
      <c r="J368" s="1310" t="s">
        <v>1450</v>
      </c>
      <c r="K368" s="1310" t="s">
        <v>1450</v>
      </c>
      <c r="L368" s="1310" t="s">
        <v>1450</v>
      </c>
      <c r="M368" s="1310" t="s">
        <v>266</v>
      </c>
      <c r="N368" s="1310" t="s">
        <v>1450</v>
      </c>
      <c r="O368" s="1310" t="s">
        <v>1467</v>
      </c>
      <c r="P368" s="1310" t="s">
        <v>1450</v>
      </c>
      <c r="Q368" s="1310" t="s">
        <v>1510</v>
      </c>
      <c r="R368" s="1310" t="s">
        <v>1450</v>
      </c>
      <c r="S368" s="1310" t="s">
        <v>1462</v>
      </c>
      <c r="T368" s="1310" t="s">
        <v>1450</v>
      </c>
      <c r="U368" s="1310" t="s">
        <v>1597</v>
      </c>
      <c r="V368" s="1310" t="s">
        <v>1450</v>
      </c>
      <c r="W368" s="1310" t="s">
        <v>1613</v>
      </c>
      <c r="X368" s="1310" t="s">
        <v>1450</v>
      </c>
      <c r="Y368" s="1310" t="s">
        <v>1525</v>
      </c>
      <c r="Z368" s="1310" t="s">
        <v>1450</v>
      </c>
      <c r="AA368" s="1310" t="s">
        <v>1458</v>
      </c>
      <c r="AB368" s="1310" t="s">
        <v>1450</v>
      </c>
      <c r="AC368" s="1310" t="s">
        <v>1654</v>
      </c>
      <c r="AD368" s="1310" t="s">
        <v>1450</v>
      </c>
      <c r="AE368" s="1310" t="s">
        <v>1461</v>
      </c>
      <c r="AF368" s="1310" t="s">
        <v>1450</v>
      </c>
    </row>
    <row r="369" spans="1:32" x14ac:dyDescent="0.3">
      <c r="A369" s="1310" t="s">
        <v>1485</v>
      </c>
      <c r="B369" s="1310" t="s">
        <v>1450</v>
      </c>
      <c r="C369" s="1310" t="s">
        <v>1618</v>
      </c>
      <c r="D369" s="1310" t="s">
        <v>1450</v>
      </c>
      <c r="E369" s="1310" t="s">
        <v>1497</v>
      </c>
      <c r="F369" s="1310" t="s">
        <v>1450</v>
      </c>
      <c r="G369" s="1310" t="s">
        <v>1446</v>
      </c>
      <c r="H369" s="1310" t="s">
        <v>1450</v>
      </c>
      <c r="I369" s="1310" t="s">
        <v>1652</v>
      </c>
      <c r="J369" s="1310" t="s">
        <v>1450</v>
      </c>
      <c r="K369" s="1310" t="s">
        <v>1633</v>
      </c>
      <c r="L369" s="1310" t="s">
        <v>1450</v>
      </c>
      <c r="M369" s="1310" t="s">
        <v>1538</v>
      </c>
      <c r="N369" s="1310" t="s">
        <v>1450</v>
      </c>
      <c r="O369" s="1310" t="s">
        <v>1599</v>
      </c>
      <c r="P369" s="1310" t="s">
        <v>1450</v>
      </c>
      <c r="Q369" s="1310" t="s">
        <v>1619</v>
      </c>
      <c r="R369" s="1310" t="s">
        <v>1450</v>
      </c>
      <c r="S369" s="1310" t="s">
        <v>1532</v>
      </c>
      <c r="T369" s="1310" t="s">
        <v>1450</v>
      </c>
      <c r="U369" s="1310" t="s">
        <v>1478</v>
      </c>
      <c r="V369" s="1310" t="s">
        <v>1450</v>
      </c>
      <c r="W369" s="1310" t="s">
        <v>1483</v>
      </c>
      <c r="X369" s="1310" t="s">
        <v>1450</v>
      </c>
      <c r="Y369" s="1310" t="s">
        <v>1460</v>
      </c>
      <c r="Z369" s="1310" t="s">
        <v>1450</v>
      </c>
      <c r="AA369" s="1310" t="s">
        <v>1489</v>
      </c>
      <c r="AB369" s="1310" t="s">
        <v>1450</v>
      </c>
      <c r="AC369" s="1310" t="s">
        <v>1605</v>
      </c>
      <c r="AD369" s="1310" t="s">
        <v>1450</v>
      </c>
      <c r="AE369" s="1310" t="s">
        <v>1522</v>
      </c>
      <c r="AF369" s="1310" t="s">
        <v>1450</v>
      </c>
    </row>
    <row r="370" spans="1:32" x14ac:dyDescent="0.3">
      <c r="A370" s="1310" t="s">
        <v>1555</v>
      </c>
      <c r="B370" s="1310" t="s">
        <v>1450</v>
      </c>
      <c r="C370" s="1310" t="s">
        <v>1584</v>
      </c>
      <c r="D370" s="1310" t="s">
        <v>1450</v>
      </c>
      <c r="E370" s="1310" t="s">
        <v>1578</v>
      </c>
      <c r="F370" s="1310" t="s">
        <v>1450</v>
      </c>
      <c r="G370" s="1310" t="s">
        <v>1546</v>
      </c>
      <c r="H370" s="1310" t="s">
        <v>1450</v>
      </c>
      <c r="I370" s="1310" t="s">
        <v>1463</v>
      </c>
      <c r="J370" s="1310" t="s">
        <v>1450</v>
      </c>
      <c r="K370" s="1310" t="s">
        <v>1602</v>
      </c>
      <c r="L370" s="1310" t="s">
        <v>1450</v>
      </c>
      <c r="M370" s="1310" t="s">
        <v>113</v>
      </c>
      <c r="N370" s="1310" t="s">
        <v>1450</v>
      </c>
      <c r="O370" s="1310" t="s">
        <v>1591</v>
      </c>
      <c r="P370" s="1310" t="s">
        <v>1450</v>
      </c>
      <c r="Q370" s="1310" t="s">
        <v>1635</v>
      </c>
      <c r="R370" s="1310" t="s">
        <v>1450</v>
      </c>
      <c r="S370" s="1310" t="s">
        <v>115</v>
      </c>
      <c r="T370" s="1310" t="s">
        <v>1450</v>
      </c>
      <c r="U370" s="1310" t="s">
        <v>1567</v>
      </c>
      <c r="V370" s="1310" t="s">
        <v>1450</v>
      </c>
      <c r="W370" s="1310" t="s">
        <v>1655</v>
      </c>
      <c r="X370" s="1310" t="s">
        <v>1450</v>
      </c>
      <c r="Y370" s="1310" t="s">
        <v>118</v>
      </c>
      <c r="Z370" s="1310" t="s">
        <v>1450</v>
      </c>
      <c r="AA370" s="1310" t="s">
        <v>1559</v>
      </c>
      <c r="AB370" s="1310" t="s">
        <v>1450</v>
      </c>
      <c r="AC370" s="1310" t="s">
        <v>1637</v>
      </c>
      <c r="AD370" s="1310" t="s">
        <v>1450</v>
      </c>
      <c r="AE370" s="1310" t="s">
        <v>1634</v>
      </c>
      <c r="AF370" s="1310" t="s">
        <v>1450</v>
      </c>
    </row>
    <row r="371" spans="1:32" x14ac:dyDescent="0.3">
      <c r="A371" s="1310" t="s">
        <v>1550</v>
      </c>
      <c r="B371" s="1310" t="s">
        <v>1450</v>
      </c>
      <c r="C371" s="1310" t="s">
        <v>1505</v>
      </c>
      <c r="D371" s="1310" t="s">
        <v>1450</v>
      </c>
      <c r="E371" s="1310" t="s">
        <v>1656</v>
      </c>
      <c r="F371" s="1310" t="s">
        <v>1450</v>
      </c>
      <c r="G371" s="1310" t="s">
        <v>1551</v>
      </c>
      <c r="H371" s="1310" t="s">
        <v>1450</v>
      </c>
      <c r="I371" s="1310" t="s">
        <v>1626</v>
      </c>
      <c r="J371" s="1310" t="s">
        <v>1450</v>
      </c>
      <c r="K371" s="1310" t="s">
        <v>1531</v>
      </c>
      <c r="L371" s="1310" t="s">
        <v>1450</v>
      </c>
      <c r="M371" s="1310" t="s">
        <v>1562</v>
      </c>
      <c r="N371" s="1310" t="s">
        <v>1450</v>
      </c>
      <c r="O371" s="1310" t="s">
        <v>1641</v>
      </c>
      <c r="P371" s="1310" t="s">
        <v>262</v>
      </c>
      <c r="Q371" s="1310" t="s">
        <v>262</v>
      </c>
      <c r="R371" s="1310" t="s">
        <v>262</v>
      </c>
      <c r="S371" s="1310" t="s">
        <v>267</v>
      </c>
      <c r="T371" s="1310" t="s">
        <v>262</v>
      </c>
      <c r="U371" s="1310" t="s">
        <v>1513</v>
      </c>
      <c r="V371" s="1310" t="s">
        <v>262</v>
      </c>
      <c r="W371" s="1310" t="s">
        <v>1512</v>
      </c>
      <c r="X371" s="1310" t="s">
        <v>262</v>
      </c>
      <c r="Y371" s="1310" t="s">
        <v>1597</v>
      </c>
      <c r="Z371" s="1310" t="s">
        <v>262</v>
      </c>
      <c r="AA371" s="1310" t="s">
        <v>1603</v>
      </c>
      <c r="AB371" s="1310" t="s">
        <v>262</v>
      </c>
      <c r="AC371" s="1310" t="s">
        <v>1528</v>
      </c>
      <c r="AD371" s="1310" t="s">
        <v>262</v>
      </c>
      <c r="AE371" s="1310" t="s">
        <v>1657</v>
      </c>
      <c r="AF371" s="1310" t="s">
        <v>262</v>
      </c>
    </row>
    <row r="372" spans="1:32" x14ac:dyDescent="0.3">
      <c r="A372" s="1310" t="s">
        <v>1461</v>
      </c>
      <c r="B372" s="1310" t="s">
        <v>262</v>
      </c>
      <c r="C372" s="1310" t="s">
        <v>1574</v>
      </c>
      <c r="D372" s="1310" t="s">
        <v>262</v>
      </c>
      <c r="E372" s="1310" t="s">
        <v>1608</v>
      </c>
      <c r="F372" s="1310" t="s">
        <v>262</v>
      </c>
      <c r="G372" s="1310" t="s">
        <v>1446</v>
      </c>
      <c r="H372" s="1310" t="s">
        <v>262</v>
      </c>
      <c r="I372" s="1310" t="s">
        <v>1651</v>
      </c>
      <c r="J372" s="1310" t="s">
        <v>262</v>
      </c>
      <c r="K372" s="1310" t="s">
        <v>1527</v>
      </c>
      <c r="L372" s="1310" t="s">
        <v>262</v>
      </c>
      <c r="M372" s="1310" t="s">
        <v>1599</v>
      </c>
      <c r="N372" s="1310" t="s">
        <v>262</v>
      </c>
      <c r="O372" s="1310" t="s">
        <v>1582</v>
      </c>
      <c r="P372" s="1310" t="s">
        <v>262</v>
      </c>
      <c r="Q372" s="1310" t="s">
        <v>1564</v>
      </c>
      <c r="R372" s="1310" t="s">
        <v>262</v>
      </c>
      <c r="S372" s="1310" t="s">
        <v>1484</v>
      </c>
      <c r="T372" s="1310" t="s">
        <v>262</v>
      </c>
      <c r="U372" s="1310" t="s">
        <v>1542</v>
      </c>
      <c r="V372" s="1310" t="s">
        <v>262</v>
      </c>
      <c r="W372" s="1310" t="s">
        <v>1605</v>
      </c>
      <c r="X372" s="1310" t="s">
        <v>262</v>
      </c>
      <c r="Y372" s="1310" t="s">
        <v>1534</v>
      </c>
      <c r="Z372" s="1310" t="s">
        <v>262</v>
      </c>
      <c r="AA372" s="1310" t="s">
        <v>1584</v>
      </c>
      <c r="AB372" s="1310" t="s">
        <v>262</v>
      </c>
      <c r="AC372" s="1310" t="s">
        <v>1529</v>
      </c>
      <c r="AD372" s="1310" t="s">
        <v>262</v>
      </c>
      <c r="AE372" s="1310" t="s">
        <v>1463</v>
      </c>
      <c r="AF372" s="1310" t="s">
        <v>262</v>
      </c>
    </row>
    <row r="373" spans="1:32" x14ac:dyDescent="0.3">
      <c r="A373" s="1310" t="s">
        <v>110</v>
      </c>
      <c r="B373" s="1310" t="s">
        <v>262</v>
      </c>
      <c r="C373" s="1310" t="s">
        <v>1591</v>
      </c>
      <c r="D373" s="1310" t="s">
        <v>262</v>
      </c>
      <c r="E373" s="1310" t="s">
        <v>114</v>
      </c>
      <c r="F373" s="1310" t="s">
        <v>262</v>
      </c>
      <c r="G373" s="1310" t="s">
        <v>1604</v>
      </c>
      <c r="H373" s="1310" t="s">
        <v>262</v>
      </c>
      <c r="I373" s="1310" t="s">
        <v>118</v>
      </c>
      <c r="J373" s="1310" t="s">
        <v>262</v>
      </c>
      <c r="K373" s="1310" t="s">
        <v>1643</v>
      </c>
      <c r="L373" s="1310" t="s">
        <v>262</v>
      </c>
      <c r="M373" s="1310" t="s">
        <v>121</v>
      </c>
      <c r="N373" s="1310" t="s">
        <v>262</v>
      </c>
      <c r="O373" s="1310" t="s">
        <v>1617</v>
      </c>
      <c r="P373" s="1310" t="s">
        <v>262</v>
      </c>
      <c r="Q373" s="1310" t="s">
        <v>125</v>
      </c>
      <c r="R373" s="1310" t="s">
        <v>262</v>
      </c>
      <c r="S373" s="1310" t="s">
        <v>1579</v>
      </c>
      <c r="T373" s="1310" t="s">
        <v>262</v>
      </c>
      <c r="U373" s="1310" t="s">
        <v>131</v>
      </c>
      <c r="V373" s="1310" t="s">
        <v>262</v>
      </c>
      <c r="W373" s="1310" t="s">
        <v>1577</v>
      </c>
      <c r="X373" s="1310" t="s">
        <v>263</v>
      </c>
      <c r="Y373" s="1310" t="s">
        <v>264</v>
      </c>
      <c r="Z373" s="1310" t="s">
        <v>263</v>
      </c>
      <c r="AA373" s="1310" t="s">
        <v>1500</v>
      </c>
      <c r="AB373" s="1310" t="s">
        <v>263</v>
      </c>
      <c r="AC373" s="1310" t="s">
        <v>1462</v>
      </c>
      <c r="AD373" s="1310" t="s">
        <v>263</v>
      </c>
      <c r="AE373" s="1310" t="s">
        <v>1598</v>
      </c>
      <c r="AF373" s="1310" t="s">
        <v>263</v>
      </c>
    </row>
    <row r="374" spans="1:32" x14ac:dyDescent="0.3">
      <c r="A374" s="1310" t="s">
        <v>1535</v>
      </c>
      <c r="B374" s="1310" t="s">
        <v>263</v>
      </c>
      <c r="C374" s="1310" t="s">
        <v>1645</v>
      </c>
      <c r="D374" s="1310" t="s">
        <v>263</v>
      </c>
      <c r="E374" s="1310" t="s">
        <v>1574</v>
      </c>
      <c r="F374" s="1310" t="s">
        <v>263</v>
      </c>
      <c r="G374" s="1310" t="s">
        <v>1472</v>
      </c>
      <c r="H374" s="1310" t="s">
        <v>263</v>
      </c>
      <c r="I374" s="1310" t="s">
        <v>1653</v>
      </c>
      <c r="J374" s="1310" t="s">
        <v>263</v>
      </c>
      <c r="K374" s="1310" t="s">
        <v>1538</v>
      </c>
      <c r="L374" s="1310" t="s">
        <v>263</v>
      </c>
      <c r="M374" s="1310" t="s">
        <v>1644</v>
      </c>
      <c r="N374" s="1310" t="s">
        <v>263</v>
      </c>
      <c r="O374" s="1310" t="s">
        <v>1564</v>
      </c>
      <c r="P374" s="1310" t="s">
        <v>263</v>
      </c>
      <c r="Q374" s="1310" t="s">
        <v>1521</v>
      </c>
      <c r="R374" s="1310" t="s">
        <v>263</v>
      </c>
      <c r="S374" s="1310" t="s">
        <v>1610</v>
      </c>
      <c r="T374" s="1310" t="s">
        <v>263</v>
      </c>
      <c r="U374" s="1310" t="s">
        <v>1506</v>
      </c>
      <c r="V374" s="1310" t="s">
        <v>263</v>
      </c>
      <c r="W374" s="1310" t="s">
        <v>1592</v>
      </c>
      <c r="X374" s="1310" t="s">
        <v>263</v>
      </c>
      <c r="Y374" s="1310" t="s">
        <v>1606</v>
      </c>
      <c r="Z374" s="1310" t="s">
        <v>263</v>
      </c>
      <c r="AA374" s="1310" t="s">
        <v>111</v>
      </c>
      <c r="AB374" s="1310" t="s">
        <v>263</v>
      </c>
      <c r="AC374" s="1310" t="s">
        <v>1027</v>
      </c>
      <c r="AD374" s="1310" t="s">
        <v>263</v>
      </c>
      <c r="AE374" s="1310" t="s">
        <v>1558</v>
      </c>
      <c r="AF374" s="1310" t="s">
        <v>263</v>
      </c>
    </row>
    <row r="375" spans="1:32" x14ac:dyDescent="0.3">
      <c r="A375" s="1310" t="s">
        <v>118</v>
      </c>
      <c r="B375" s="1310" t="s">
        <v>263</v>
      </c>
      <c r="C375" s="1310" t="s">
        <v>1637</v>
      </c>
      <c r="D375" s="1310" t="s">
        <v>263</v>
      </c>
      <c r="E375" s="1310" t="s">
        <v>1550</v>
      </c>
      <c r="F375" s="1310" t="s">
        <v>263</v>
      </c>
      <c r="G375" s="1310" t="s">
        <v>1656</v>
      </c>
      <c r="H375" s="1310" t="s">
        <v>263</v>
      </c>
      <c r="I375" s="1310" t="s">
        <v>1626</v>
      </c>
      <c r="J375" s="1310" t="s">
        <v>263</v>
      </c>
      <c r="K375" s="1310" t="s">
        <v>1552</v>
      </c>
      <c r="L375" s="1310" t="s">
        <v>264</v>
      </c>
      <c r="M375" s="1310" t="s">
        <v>1450</v>
      </c>
      <c r="N375" s="1310" t="s">
        <v>264</v>
      </c>
      <c r="O375" s="1310" t="s">
        <v>1508</v>
      </c>
      <c r="P375" s="1310" t="s">
        <v>264</v>
      </c>
      <c r="Q375" s="1310" t="s">
        <v>1533</v>
      </c>
      <c r="R375" s="1310" t="s">
        <v>264</v>
      </c>
      <c r="S375" s="1310" t="s">
        <v>1518</v>
      </c>
      <c r="T375" s="1310" t="s">
        <v>264</v>
      </c>
      <c r="U375" s="1310" t="s">
        <v>1654</v>
      </c>
      <c r="V375" s="1310" t="s">
        <v>264</v>
      </c>
      <c r="W375" s="1310" t="s">
        <v>1574</v>
      </c>
      <c r="X375" s="1310" t="s">
        <v>264</v>
      </c>
      <c r="Y375" s="1310" t="s">
        <v>1502</v>
      </c>
      <c r="Z375" s="1310" t="s">
        <v>264</v>
      </c>
      <c r="AA375" s="1310" t="s">
        <v>1633</v>
      </c>
      <c r="AB375" s="1310" t="s">
        <v>264</v>
      </c>
      <c r="AC375" s="1310" t="s">
        <v>1659</v>
      </c>
      <c r="AD375" s="1310" t="s">
        <v>264</v>
      </c>
      <c r="AE375" s="1310" t="s">
        <v>1449</v>
      </c>
      <c r="AF375" s="1310" t="s">
        <v>264</v>
      </c>
    </row>
    <row r="376" spans="1:32" x14ac:dyDescent="0.3">
      <c r="A376" s="1310" t="s">
        <v>1460</v>
      </c>
      <c r="B376" s="1310" t="s">
        <v>264</v>
      </c>
      <c r="C376" s="1310" t="s">
        <v>1647</v>
      </c>
      <c r="D376" s="1310" t="s">
        <v>264</v>
      </c>
      <c r="E376" s="1310" t="s">
        <v>1632</v>
      </c>
      <c r="F376" s="1310" t="s">
        <v>264</v>
      </c>
      <c r="G376" s="1310" t="s">
        <v>1556</v>
      </c>
      <c r="H376" s="1310" t="s">
        <v>264</v>
      </c>
      <c r="I376" s="1310" t="s">
        <v>111</v>
      </c>
      <c r="J376" s="1310" t="s">
        <v>264</v>
      </c>
      <c r="K376" s="1310" t="s">
        <v>1635</v>
      </c>
      <c r="L376" s="1310" t="s">
        <v>264</v>
      </c>
      <c r="M376" s="1310" t="s">
        <v>1581</v>
      </c>
      <c r="N376" s="1310" t="s">
        <v>264</v>
      </c>
      <c r="O376" s="1310" t="s">
        <v>1568</v>
      </c>
      <c r="P376" s="1310" t="s">
        <v>264</v>
      </c>
      <c r="Q376" s="1310" t="s">
        <v>123</v>
      </c>
      <c r="R376" s="1310" t="s">
        <v>264</v>
      </c>
      <c r="S376" s="1310" t="s">
        <v>1656</v>
      </c>
      <c r="T376" s="1310" t="s">
        <v>264</v>
      </c>
      <c r="U376" s="1310" t="s">
        <v>1621</v>
      </c>
      <c r="V376" s="1310" t="s">
        <v>264</v>
      </c>
      <c r="W376" s="1310" t="s">
        <v>1622</v>
      </c>
      <c r="X376" s="1310" t="s">
        <v>265</v>
      </c>
      <c r="Y376" s="1310" t="s">
        <v>268</v>
      </c>
      <c r="Z376" s="1310" t="s">
        <v>265</v>
      </c>
      <c r="AA376" s="1310" t="s">
        <v>1512</v>
      </c>
      <c r="AB376" s="1310" t="s">
        <v>265</v>
      </c>
      <c r="AC376" s="1310" t="s">
        <v>1476</v>
      </c>
      <c r="AD376" s="1310" t="s">
        <v>265</v>
      </c>
      <c r="AE376" s="1310" t="s">
        <v>1654</v>
      </c>
      <c r="AF376" s="1310" t="s">
        <v>265</v>
      </c>
    </row>
    <row r="377" spans="1:32" x14ac:dyDescent="0.3">
      <c r="A377" s="1310" t="s">
        <v>1618</v>
      </c>
      <c r="B377" s="1310" t="s">
        <v>265</v>
      </c>
      <c r="C377" s="1310" t="s">
        <v>1498</v>
      </c>
      <c r="D377" s="1310" t="s">
        <v>265</v>
      </c>
      <c r="E377" s="1310" t="s">
        <v>1541</v>
      </c>
      <c r="F377" s="1310" t="s">
        <v>265</v>
      </c>
      <c r="G377" s="1310" t="s">
        <v>1532</v>
      </c>
      <c r="H377" s="1310" t="s">
        <v>265</v>
      </c>
      <c r="I377" s="1310" t="s">
        <v>1521</v>
      </c>
      <c r="J377" s="1310" t="s">
        <v>265</v>
      </c>
      <c r="K377" s="1310" t="s">
        <v>1647</v>
      </c>
      <c r="L377" s="1310" t="s">
        <v>265</v>
      </c>
      <c r="M377" s="1310" t="s">
        <v>1642</v>
      </c>
      <c r="N377" s="1310" t="s">
        <v>265</v>
      </c>
      <c r="O377" s="1310" t="s">
        <v>1463</v>
      </c>
      <c r="P377" s="1310" t="s">
        <v>265</v>
      </c>
      <c r="Q377" s="1310" t="s">
        <v>1628</v>
      </c>
      <c r="R377" s="1310" t="s">
        <v>265</v>
      </c>
      <c r="S377" s="1310" t="s">
        <v>1558</v>
      </c>
      <c r="T377" s="1310" t="s">
        <v>265</v>
      </c>
      <c r="U377" s="1310" t="s">
        <v>129</v>
      </c>
      <c r="V377" s="1310" t="s">
        <v>265</v>
      </c>
      <c r="W377" s="1310" t="s">
        <v>123</v>
      </c>
      <c r="X377" s="1310" t="s">
        <v>265</v>
      </c>
      <c r="Y377" s="1310" t="s">
        <v>125</v>
      </c>
      <c r="Z377" s="1310" t="s">
        <v>265</v>
      </c>
      <c r="AA377" s="1310" t="s">
        <v>1531</v>
      </c>
      <c r="AB377" s="1310" t="s">
        <v>265</v>
      </c>
      <c r="AC377" s="1310" t="s">
        <v>1636</v>
      </c>
      <c r="AD377" s="1310" t="s">
        <v>266</v>
      </c>
      <c r="AE377" s="1310" t="s">
        <v>1513</v>
      </c>
      <c r="AF377" s="1310" t="s">
        <v>266</v>
      </c>
    </row>
    <row r="378" spans="1:32" x14ac:dyDescent="0.3">
      <c r="A378" s="1310" t="s">
        <v>1658</v>
      </c>
      <c r="B378" s="1310" t="s">
        <v>266</v>
      </c>
      <c r="C378" s="1310" t="s">
        <v>1657</v>
      </c>
      <c r="D378" s="1310" t="s">
        <v>266</v>
      </c>
      <c r="E378" s="1310" t="s">
        <v>1491</v>
      </c>
      <c r="F378" s="1310" t="s">
        <v>266</v>
      </c>
      <c r="G378" s="1310" t="s">
        <v>1573</v>
      </c>
      <c r="H378" s="1310" t="s">
        <v>266</v>
      </c>
      <c r="I378" s="1310" t="s">
        <v>1588</v>
      </c>
      <c r="J378" s="1310" t="s">
        <v>266</v>
      </c>
      <c r="K378" s="1310" t="s">
        <v>1564</v>
      </c>
      <c r="L378" s="1310" t="s">
        <v>266</v>
      </c>
      <c r="M378" s="1310" t="s">
        <v>1489</v>
      </c>
      <c r="N378" s="1310" t="s">
        <v>266</v>
      </c>
      <c r="O378" s="1310" t="s">
        <v>1555</v>
      </c>
      <c r="P378" s="1310" t="s">
        <v>266</v>
      </c>
      <c r="Q378" s="1310" t="s">
        <v>1556</v>
      </c>
      <c r="R378" s="1310" t="s">
        <v>266</v>
      </c>
      <c r="S378" s="1310" t="s">
        <v>1557</v>
      </c>
      <c r="T378" s="1310" t="s">
        <v>266</v>
      </c>
      <c r="U378" s="1310" t="s">
        <v>1548</v>
      </c>
      <c r="V378" s="1310" t="s">
        <v>266</v>
      </c>
      <c r="W378" s="1310" t="s">
        <v>1549</v>
      </c>
      <c r="X378" s="1310" t="s">
        <v>266</v>
      </c>
      <c r="Y378" s="1310" t="s">
        <v>1550</v>
      </c>
      <c r="Z378" s="1310" t="s">
        <v>266</v>
      </c>
      <c r="AA378" s="1310" t="s">
        <v>1551</v>
      </c>
      <c r="AB378" s="1310" t="s">
        <v>266</v>
      </c>
      <c r="AC378" s="1310" t="s">
        <v>1562</v>
      </c>
      <c r="AD378" s="1310" t="s">
        <v>268</v>
      </c>
      <c r="AE378" s="1310" t="s">
        <v>268</v>
      </c>
      <c r="AF378" s="1310" t="s">
        <v>268</v>
      </c>
    </row>
    <row r="379" spans="1:32" x14ac:dyDescent="0.3">
      <c r="A379" s="1310" t="s">
        <v>1533</v>
      </c>
      <c r="B379" s="1310" t="s">
        <v>268</v>
      </c>
      <c r="C379" s="1310" t="s">
        <v>1470</v>
      </c>
      <c r="D379" s="1310" t="s">
        <v>268</v>
      </c>
      <c r="E379" s="1310" t="s">
        <v>1485</v>
      </c>
      <c r="F379" s="1310" t="s">
        <v>268</v>
      </c>
      <c r="G379" s="1310" t="s">
        <v>1498</v>
      </c>
      <c r="H379" s="1310" t="s">
        <v>268</v>
      </c>
      <c r="I379" s="1310" t="s">
        <v>1599</v>
      </c>
      <c r="J379" s="1310" t="s">
        <v>268</v>
      </c>
      <c r="K379" s="1310" t="s">
        <v>1457</v>
      </c>
      <c r="L379" s="1310" t="s">
        <v>268</v>
      </c>
      <c r="M379" s="1310" t="s">
        <v>1620</v>
      </c>
      <c r="N379" s="1310" t="s">
        <v>268</v>
      </c>
      <c r="O379" s="1310" t="s">
        <v>1642</v>
      </c>
      <c r="P379" s="1310" t="s">
        <v>268</v>
      </c>
      <c r="Q379" s="1310" t="s">
        <v>1630</v>
      </c>
      <c r="R379" s="1310" t="s">
        <v>268</v>
      </c>
      <c r="S379" s="1310" t="s">
        <v>1583</v>
      </c>
      <c r="T379" s="1310" t="s">
        <v>268</v>
      </c>
      <c r="U379" s="1310" t="s">
        <v>1514</v>
      </c>
      <c r="V379" s="1310" t="s">
        <v>268</v>
      </c>
      <c r="W379" s="1310" t="s">
        <v>121</v>
      </c>
      <c r="X379" s="1310" t="s">
        <v>268</v>
      </c>
      <c r="Y379" s="1310" t="s">
        <v>127</v>
      </c>
      <c r="Z379" s="1310" t="s">
        <v>268</v>
      </c>
      <c r="AA379" s="1310" t="s">
        <v>1552</v>
      </c>
      <c r="AB379" s="1310" t="s">
        <v>267</v>
      </c>
      <c r="AC379" s="1310" t="s">
        <v>267</v>
      </c>
      <c r="AD379" s="1310" t="s">
        <v>267</v>
      </c>
      <c r="AE379" s="1310" t="s">
        <v>1597</v>
      </c>
      <c r="AF379" s="1310" t="s">
        <v>267</v>
      </c>
    </row>
    <row r="380" spans="1:32" x14ac:dyDescent="0.3">
      <c r="A380" s="1310" t="s">
        <v>1657</v>
      </c>
      <c r="B380" s="1310" t="s">
        <v>267</v>
      </c>
      <c r="C380" s="1310" t="s">
        <v>1627</v>
      </c>
      <c r="D380" s="1310" t="s">
        <v>267</v>
      </c>
      <c r="E380" s="1310" t="s">
        <v>1633</v>
      </c>
      <c r="F380" s="1310" t="s">
        <v>267</v>
      </c>
      <c r="G380" s="1310" t="s">
        <v>1520</v>
      </c>
      <c r="H380" s="1310" t="s">
        <v>267</v>
      </c>
      <c r="I380" s="1310" t="s">
        <v>1479</v>
      </c>
      <c r="J380" s="1310" t="s">
        <v>267</v>
      </c>
      <c r="K380" s="1310" t="s">
        <v>1555</v>
      </c>
      <c r="L380" s="1310" t="s">
        <v>267</v>
      </c>
      <c r="M380" s="1310" t="s">
        <v>1649</v>
      </c>
      <c r="N380" s="1310" t="s">
        <v>267</v>
      </c>
      <c r="O380" s="1310" t="s">
        <v>1027</v>
      </c>
      <c r="P380" s="1310" t="s">
        <v>267</v>
      </c>
      <c r="Q380" s="1310" t="s">
        <v>1575</v>
      </c>
      <c r="R380" s="1310" t="s">
        <v>267</v>
      </c>
      <c r="S380" s="1310" t="s">
        <v>122</v>
      </c>
      <c r="T380" s="1310" t="s">
        <v>267</v>
      </c>
      <c r="U380" s="1310" t="s">
        <v>1551</v>
      </c>
      <c r="V380" s="1310" t="s">
        <v>267</v>
      </c>
      <c r="W380" s="1310" t="s">
        <v>1612</v>
      </c>
      <c r="X380" s="1310" t="s">
        <v>269</v>
      </c>
      <c r="Y380" s="1310" t="s">
        <v>1508</v>
      </c>
      <c r="Z380" s="1310" t="s">
        <v>269</v>
      </c>
      <c r="AA380" s="1310" t="s">
        <v>1603</v>
      </c>
      <c r="AB380" s="1310" t="s">
        <v>269</v>
      </c>
      <c r="AC380" s="1310" t="s">
        <v>1461</v>
      </c>
      <c r="AD380" s="1310" t="s">
        <v>269</v>
      </c>
      <c r="AE380" s="1310" t="s">
        <v>1543</v>
      </c>
      <c r="AF380" s="1310" t="s">
        <v>269</v>
      </c>
    </row>
    <row r="381" spans="1:32" x14ac:dyDescent="0.3">
      <c r="A381" s="1310" t="s">
        <v>1659</v>
      </c>
      <c r="B381" s="1310" t="s">
        <v>269</v>
      </c>
      <c r="C381" s="1310" t="s">
        <v>1484</v>
      </c>
      <c r="D381" s="1310" t="s">
        <v>269</v>
      </c>
      <c r="E381" s="1310" t="s">
        <v>1445</v>
      </c>
      <c r="F381" s="1310" t="s">
        <v>269</v>
      </c>
      <c r="G381" s="1310" t="s">
        <v>1556</v>
      </c>
      <c r="H381" s="1310" t="s">
        <v>269</v>
      </c>
      <c r="I381" s="1310" t="s">
        <v>1616</v>
      </c>
      <c r="J381" s="1310" t="s">
        <v>269</v>
      </c>
      <c r="K381" s="1310" t="s">
        <v>471</v>
      </c>
      <c r="L381" s="1310" t="s">
        <v>269</v>
      </c>
      <c r="M381" s="1310" t="s">
        <v>122</v>
      </c>
      <c r="N381" s="1310" t="s">
        <v>269</v>
      </c>
      <c r="O381" s="1310" t="s">
        <v>1570</v>
      </c>
      <c r="P381" s="1310" t="s">
        <v>269</v>
      </c>
      <c r="Q381" s="1310" t="s">
        <v>1641</v>
      </c>
      <c r="R381" s="1310" t="s">
        <v>270</v>
      </c>
      <c r="S381" s="1310" t="s">
        <v>1471</v>
      </c>
      <c r="T381" s="1310" t="s">
        <v>270</v>
      </c>
      <c r="U381" s="1310" t="s">
        <v>1528</v>
      </c>
      <c r="V381" s="1310" t="s">
        <v>270</v>
      </c>
      <c r="W381" s="1310" t="s">
        <v>1491</v>
      </c>
      <c r="X381" s="1310" t="s">
        <v>270</v>
      </c>
      <c r="Y381" s="1310" t="s">
        <v>1633</v>
      </c>
      <c r="Z381" s="1310" t="s">
        <v>270</v>
      </c>
      <c r="AA381" s="1310" t="s">
        <v>1473</v>
      </c>
      <c r="AB381" s="1310" t="s">
        <v>270</v>
      </c>
      <c r="AC381" s="1310" t="s">
        <v>1585</v>
      </c>
      <c r="AD381" s="1310" t="s">
        <v>270</v>
      </c>
      <c r="AE381" s="1310" t="s">
        <v>1590</v>
      </c>
      <c r="AF381" s="1310" t="s">
        <v>270</v>
      </c>
    </row>
    <row r="382" spans="1:32" x14ac:dyDescent="0.3">
      <c r="A382" s="1310" t="s">
        <v>113</v>
      </c>
      <c r="B382" s="1310" t="s">
        <v>270</v>
      </c>
      <c r="C382" s="1310" t="s">
        <v>1581</v>
      </c>
      <c r="D382" s="1310" t="s">
        <v>270</v>
      </c>
      <c r="E382" s="1310" t="s">
        <v>1607</v>
      </c>
      <c r="F382" s="1310" t="s">
        <v>270</v>
      </c>
      <c r="G382" s="1310" t="s">
        <v>1551</v>
      </c>
      <c r="H382" s="1310" t="s">
        <v>270</v>
      </c>
      <c r="I382" s="1310" t="s">
        <v>1641</v>
      </c>
      <c r="J382" s="1310" t="s">
        <v>1467</v>
      </c>
      <c r="K382" s="1310" t="s">
        <v>1507</v>
      </c>
      <c r="L382" s="1310" t="s">
        <v>1467</v>
      </c>
      <c r="M382" s="1310" t="s">
        <v>1470</v>
      </c>
      <c r="N382" s="1310" t="s">
        <v>1467</v>
      </c>
      <c r="O382" s="1310" t="s">
        <v>1627</v>
      </c>
      <c r="P382" s="1310" t="s">
        <v>1467</v>
      </c>
      <c r="Q382" s="1310" t="s">
        <v>1538</v>
      </c>
      <c r="R382" s="1310" t="s">
        <v>1467</v>
      </c>
      <c r="S382" s="1310" t="s">
        <v>1457</v>
      </c>
      <c r="T382" s="1310" t="s">
        <v>1467</v>
      </c>
      <c r="U382" s="1310" t="s">
        <v>1522</v>
      </c>
      <c r="V382" s="1310" t="s">
        <v>1467</v>
      </c>
      <c r="W382" s="1310" t="s">
        <v>1606</v>
      </c>
      <c r="X382" s="1310" t="s">
        <v>1467</v>
      </c>
      <c r="Y382" s="1310" t="s">
        <v>1635</v>
      </c>
      <c r="Z382" s="1310" t="s">
        <v>1467</v>
      </c>
      <c r="AA382" s="1310" t="s">
        <v>1549</v>
      </c>
      <c r="AB382" s="1310" t="s">
        <v>1467</v>
      </c>
      <c r="AC382" s="1310" t="s">
        <v>1466</v>
      </c>
      <c r="AD382" s="1310" t="s">
        <v>1467</v>
      </c>
      <c r="AE382" s="1310" t="s">
        <v>132</v>
      </c>
      <c r="AF382" s="1310" t="s">
        <v>1508</v>
      </c>
    </row>
    <row r="383" spans="1:32" x14ac:dyDescent="0.3">
      <c r="A383" s="1310" t="s">
        <v>1508</v>
      </c>
      <c r="B383" s="1310" t="s">
        <v>1508</v>
      </c>
      <c r="C383" s="1310" t="s">
        <v>1515</v>
      </c>
      <c r="D383" s="1310" t="s">
        <v>1508</v>
      </c>
      <c r="E383" s="1310" t="s">
        <v>1631</v>
      </c>
      <c r="F383" s="1310" t="s">
        <v>1508</v>
      </c>
      <c r="G383" s="1310" t="s">
        <v>1519</v>
      </c>
      <c r="H383" s="1310" t="s">
        <v>1508</v>
      </c>
      <c r="I383" s="1310" t="s">
        <v>1448</v>
      </c>
      <c r="J383" s="1310" t="s">
        <v>1508</v>
      </c>
      <c r="K383" s="1310" t="s">
        <v>1469</v>
      </c>
      <c r="L383" s="1310" t="s">
        <v>1508</v>
      </c>
      <c r="M383" s="1310" t="s">
        <v>1606</v>
      </c>
      <c r="N383" s="1310" t="s">
        <v>1508</v>
      </c>
      <c r="O383" s="1310" t="s">
        <v>1465</v>
      </c>
      <c r="P383" s="1310" t="s">
        <v>1508</v>
      </c>
      <c r="Q383" s="1310" t="s">
        <v>1650</v>
      </c>
      <c r="R383" s="1310" t="s">
        <v>1508</v>
      </c>
      <c r="S383" s="1310" t="s">
        <v>125</v>
      </c>
      <c r="T383" s="1310" t="s">
        <v>1508</v>
      </c>
      <c r="U383" s="1310" t="s">
        <v>1622</v>
      </c>
      <c r="V383" s="1310" t="s">
        <v>1500</v>
      </c>
      <c r="W383" s="1310" t="s">
        <v>1453</v>
      </c>
      <c r="X383" s="1310" t="s">
        <v>1500</v>
      </c>
      <c r="Y383" s="1310" t="s">
        <v>1452</v>
      </c>
      <c r="Z383" s="1310" t="s">
        <v>1500</v>
      </c>
      <c r="AA383" s="1310" t="s">
        <v>1502</v>
      </c>
      <c r="AB383" s="1310" t="s">
        <v>1500</v>
      </c>
      <c r="AC383" s="1310" t="s">
        <v>1576</v>
      </c>
      <c r="AD383" s="1310" t="s">
        <v>1500</v>
      </c>
      <c r="AE383" s="1310" t="s">
        <v>1542</v>
      </c>
      <c r="AF383" s="1310" t="s">
        <v>1500</v>
      </c>
    </row>
    <row r="384" spans="1:32" x14ac:dyDescent="0.3">
      <c r="A384" s="1310" t="s">
        <v>1592</v>
      </c>
      <c r="B384" s="1310" t="s">
        <v>1500</v>
      </c>
      <c r="C384" s="1310" t="s">
        <v>1566</v>
      </c>
      <c r="D384" s="1310" t="s">
        <v>1500</v>
      </c>
      <c r="E384" s="1310" t="s">
        <v>1514</v>
      </c>
      <c r="F384" s="1310" t="s">
        <v>1500</v>
      </c>
      <c r="G384" s="1310" t="s">
        <v>1617</v>
      </c>
      <c r="H384" s="1310" t="s">
        <v>1500</v>
      </c>
      <c r="I384" s="1310" t="s">
        <v>132</v>
      </c>
      <c r="J384" s="1310" t="s">
        <v>1513</v>
      </c>
      <c r="K384" s="1310" t="s">
        <v>1513</v>
      </c>
      <c r="L384" s="1310" t="s">
        <v>1513</v>
      </c>
      <c r="M384" s="1310" t="s">
        <v>1535</v>
      </c>
      <c r="N384" s="1310" t="s">
        <v>1513</v>
      </c>
      <c r="O384" s="1310" t="s">
        <v>1497</v>
      </c>
      <c r="P384" s="1310" t="s">
        <v>1513</v>
      </c>
      <c r="Q384" s="1310" t="s">
        <v>1659</v>
      </c>
      <c r="R384" s="1310" t="s">
        <v>1513</v>
      </c>
      <c r="S384" s="1310" t="s">
        <v>1479</v>
      </c>
      <c r="T384" s="1310" t="s">
        <v>1513</v>
      </c>
      <c r="U384" s="1310" t="s">
        <v>1592</v>
      </c>
      <c r="V384" s="1310" t="s">
        <v>1513</v>
      </c>
      <c r="W384" s="1310" t="s">
        <v>1591</v>
      </c>
      <c r="X384" s="1310" t="s">
        <v>1513</v>
      </c>
      <c r="Y384" s="1310" t="s">
        <v>120</v>
      </c>
      <c r="Z384" s="1310" t="s">
        <v>1513</v>
      </c>
      <c r="AA384" s="1310" t="s">
        <v>6</v>
      </c>
      <c r="AB384" s="1310" t="s">
        <v>1513</v>
      </c>
      <c r="AC384" s="1310" t="s">
        <v>1612</v>
      </c>
      <c r="AD384" s="1310" t="s">
        <v>1504</v>
      </c>
      <c r="AE384" s="1310" t="s">
        <v>1512</v>
      </c>
      <c r="AF384" s="1310" t="s">
        <v>1504</v>
      </c>
    </row>
    <row r="385" spans="1:32" x14ac:dyDescent="0.3">
      <c r="A385" s="1310" t="s">
        <v>1486</v>
      </c>
      <c r="B385" s="1310" t="s">
        <v>1504</v>
      </c>
      <c r="C385" s="1310" t="s">
        <v>1573</v>
      </c>
      <c r="D385" s="1310" t="s">
        <v>1504</v>
      </c>
      <c r="E385" s="1310" t="s">
        <v>1473</v>
      </c>
      <c r="F385" s="1310" t="s">
        <v>1504</v>
      </c>
      <c r="G385" s="1310" t="s">
        <v>1580</v>
      </c>
      <c r="H385" s="1310" t="s">
        <v>1504</v>
      </c>
      <c r="I385" s="1310" t="s">
        <v>1646</v>
      </c>
      <c r="J385" s="1310" t="s">
        <v>1504</v>
      </c>
      <c r="K385" s="1310" t="s">
        <v>1558</v>
      </c>
      <c r="L385" s="1310" t="s">
        <v>1504</v>
      </c>
      <c r="M385" s="1310" t="s">
        <v>122</v>
      </c>
      <c r="N385" s="1310" t="s">
        <v>1504</v>
      </c>
      <c r="O385" s="1310" t="s">
        <v>1503</v>
      </c>
      <c r="P385" s="1310" t="s">
        <v>1510</v>
      </c>
      <c r="Q385" s="1310" t="s">
        <v>270</v>
      </c>
      <c r="R385" s="1310" t="s">
        <v>1510</v>
      </c>
      <c r="S385" s="1310" t="s">
        <v>1528</v>
      </c>
      <c r="T385" s="1310" t="s">
        <v>1510</v>
      </c>
      <c r="U385" s="1310" t="s">
        <v>1472</v>
      </c>
      <c r="V385" s="1310" t="s">
        <v>1510</v>
      </c>
      <c r="W385" s="1310" t="s">
        <v>1619</v>
      </c>
      <c r="X385" s="1310" t="s">
        <v>1510</v>
      </c>
      <c r="Y385" s="1310" t="s">
        <v>1610</v>
      </c>
      <c r="Z385" s="1310" t="s">
        <v>1510</v>
      </c>
      <c r="AA385" s="1310" t="s">
        <v>1556</v>
      </c>
      <c r="AB385" s="1310" t="s">
        <v>1510</v>
      </c>
      <c r="AC385" s="1310" t="s">
        <v>116</v>
      </c>
      <c r="AD385" s="1310" t="s">
        <v>1510</v>
      </c>
      <c r="AE385" s="1310" t="s">
        <v>1607</v>
      </c>
      <c r="AF385" s="1310" t="s">
        <v>1510</v>
      </c>
    </row>
    <row r="386" spans="1:32" x14ac:dyDescent="0.3">
      <c r="A386" s="1310" t="s">
        <v>1621</v>
      </c>
      <c r="B386" s="1310" t="s">
        <v>1471</v>
      </c>
      <c r="C386" s="1310" t="s">
        <v>270</v>
      </c>
      <c r="D386" s="1310" t="s">
        <v>1471</v>
      </c>
      <c r="E386" s="1310" t="s">
        <v>1535</v>
      </c>
      <c r="F386" s="1310" t="s">
        <v>1471</v>
      </c>
      <c r="G386" s="1310" t="s">
        <v>1502</v>
      </c>
      <c r="H386" s="1310" t="s">
        <v>1471</v>
      </c>
      <c r="I386" s="1310" t="s">
        <v>1520</v>
      </c>
      <c r="J386" s="1310" t="s">
        <v>1471</v>
      </c>
      <c r="K386" s="1310" t="s">
        <v>1647</v>
      </c>
      <c r="L386" s="1310" t="s">
        <v>1471</v>
      </c>
      <c r="M386" s="1310" t="s">
        <v>1646</v>
      </c>
      <c r="N386" s="1310" t="s">
        <v>1471</v>
      </c>
      <c r="O386" s="1310" t="s">
        <v>1604</v>
      </c>
      <c r="P386" s="1310" t="s">
        <v>1471</v>
      </c>
      <c r="Q386" s="1310" t="s">
        <v>1569</v>
      </c>
      <c r="R386" s="1310" t="s">
        <v>1471</v>
      </c>
      <c r="S386" s="1310" t="s">
        <v>1552</v>
      </c>
      <c r="T386" s="1310" t="s">
        <v>1507</v>
      </c>
      <c r="U386" s="1310" t="s">
        <v>1512</v>
      </c>
      <c r="V386" s="1310" t="s">
        <v>1507</v>
      </c>
      <c r="W386" s="1310" t="s">
        <v>1459</v>
      </c>
      <c r="X386" s="1310" t="s">
        <v>1507</v>
      </c>
      <c r="Y386" s="1310" t="s">
        <v>1633</v>
      </c>
      <c r="Z386" s="1310" t="s">
        <v>1507</v>
      </c>
      <c r="AA386" s="1310" t="s">
        <v>1483</v>
      </c>
      <c r="AB386" s="1310" t="s">
        <v>1507</v>
      </c>
      <c r="AC386" s="1310" t="s">
        <v>1642</v>
      </c>
      <c r="AD386" s="1310" t="s">
        <v>1507</v>
      </c>
      <c r="AE386" s="1310" t="s">
        <v>1616</v>
      </c>
      <c r="AF386" s="1310" t="s">
        <v>1507</v>
      </c>
    </row>
    <row r="387" spans="1:32" x14ac:dyDescent="0.3">
      <c r="A387" s="1310" t="s">
        <v>1643</v>
      </c>
      <c r="B387" s="1310" t="s">
        <v>1507</v>
      </c>
      <c r="C387" s="1310" t="s">
        <v>1496</v>
      </c>
      <c r="D387" s="1310" t="s">
        <v>1453</v>
      </c>
      <c r="E387" s="1310" t="s">
        <v>267</v>
      </c>
      <c r="F387" s="1310" t="s">
        <v>1453</v>
      </c>
      <c r="G387" s="1310" t="s">
        <v>1535</v>
      </c>
      <c r="H387" s="1310" t="s">
        <v>1453</v>
      </c>
      <c r="I387" s="1310" t="s">
        <v>1446</v>
      </c>
      <c r="J387" s="1310" t="s">
        <v>1453</v>
      </c>
      <c r="K387" s="1310" t="s">
        <v>1473</v>
      </c>
      <c r="L387" s="1310" t="s">
        <v>1453</v>
      </c>
      <c r="M387" s="1310" t="s">
        <v>1506</v>
      </c>
      <c r="N387" s="1310" t="s">
        <v>1453</v>
      </c>
      <c r="O387" s="1310" t="s">
        <v>112</v>
      </c>
      <c r="P387" s="1310" t="s">
        <v>1453</v>
      </c>
      <c r="Q387" s="1310" t="s">
        <v>120</v>
      </c>
      <c r="R387" s="1310" t="s">
        <v>1453</v>
      </c>
      <c r="S387" s="1310" t="s">
        <v>127</v>
      </c>
      <c r="T387" s="1310" t="s">
        <v>1512</v>
      </c>
      <c r="U387" s="1310" t="s">
        <v>264</v>
      </c>
      <c r="V387" s="1310" t="s">
        <v>1512</v>
      </c>
      <c r="W387" s="1310" t="s">
        <v>1525</v>
      </c>
      <c r="X387" s="1310" t="s">
        <v>1512</v>
      </c>
      <c r="Y387" s="1310" t="s">
        <v>1502</v>
      </c>
      <c r="Z387" s="1310" t="s">
        <v>1512</v>
      </c>
      <c r="AA387" s="1310" t="s">
        <v>1532</v>
      </c>
      <c r="AB387" s="1310" t="s">
        <v>1512</v>
      </c>
      <c r="AC387" s="1310" t="s">
        <v>1534</v>
      </c>
      <c r="AD387" s="1310" t="s">
        <v>1512</v>
      </c>
      <c r="AE387" s="1310" t="s">
        <v>113</v>
      </c>
      <c r="AF387" s="1310" t="s">
        <v>1512</v>
      </c>
    </row>
    <row r="388" spans="1:32" x14ac:dyDescent="0.3">
      <c r="A388" s="1310" t="s">
        <v>1549</v>
      </c>
      <c r="B388" s="1310" t="s">
        <v>1512</v>
      </c>
      <c r="C388" s="1310" t="s">
        <v>1551</v>
      </c>
      <c r="D388" s="1310" t="s">
        <v>1462</v>
      </c>
      <c r="E388" s="1310" t="s">
        <v>268</v>
      </c>
      <c r="F388" s="1310" t="s">
        <v>1462</v>
      </c>
      <c r="G388" s="1310" t="s">
        <v>1470</v>
      </c>
      <c r="H388" s="1310" t="s">
        <v>1462</v>
      </c>
      <c r="I388" s="1310" t="s">
        <v>1573</v>
      </c>
      <c r="J388" s="1310" t="s">
        <v>1462</v>
      </c>
      <c r="K388" s="1310" t="s">
        <v>1457</v>
      </c>
      <c r="L388" s="1310" t="s">
        <v>1462</v>
      </c>
      <c r="M388" s="1310" t="s">
        <v>1584</v>
      </c>
      <c r="N388" s="1310" t="s">
        <v>1462</v>
      </c>
      <c r="O388" s="1310" t="s">
        <v>1611</v>
      </c>
      <c r="P388" s="1310" t="s">
        <v>1462</v>
      </c>
      <c r="Q388" s="1310" t="s">
        <v>1601</v>
      </c>
      <c r="R388" s="1310" t="s">
        <v>1462</v>
      </c>
      <c r="S388" s="1310" t="s">
        <v>1531</v>
      </c>
      <c r="T388" s="1310" t="s">
        <v>1509</v>
      </c>
      <c r="U388" s="1310" t="s">
        <v>1453</v>
      </c>
      <c r="V388" s="1310" t="s">
        <v>1509</v>
      </c>
      <c r="W388" s="1310" t="s">
        <v>1493</v>
      </c>
      <c r="X388" s="1310" t="s">
        <v>1509</v>
      </c>
      <c r="Y388" s="1310" t="s">
        <v>1553</v>
      </c>
      <c r="Z388" s="1310" t="s">
        <v>1509</v>
      </c>
      <c r="AA388" s="1310" t="s">
        <v>1447</v>
      </c>
      <c r="AB388" s="1310" t="s">
        <v>1509</v>
      </c>
      <c r="AC388" s="1310" t="s">
        <v>1646</v>
      </c>
      <c r="AD388" s="1310" t="s">
        <v>1509</v>
      </c>
      <c r="AE388" s="1310" t="s">
        <v>1587</v>
      </c>
      <c r="AF388" s="1310" t="s">
        <v>1509</v>
      </c>
    </row>
    <row r="389" spans="1:32" x14ac:dyDescent="0.3">
      <c r="A389" s="1310" t="s">
        <v>1656</v>
      </c>
      <c r="B389" s="1310" t="s">
        <v>1533</v>
      </c>
      <c r="C389" s="1310" t="s">
        <v>264</v>
      </c>
      <c r="D389" s="1310" t="s">
        <v>1533</v>
      </c>
      <c r="E389" s="1310" t="s">
        <v>1535</v>
      </c>
      <c r="F389" s="1310" t="s">
        <v>1533</v>
      </c>
      <c r="G389" s="1310" t="s">
        <v>1573</v>
      </c>
      <c r="H389" s="1310" t="s">
        <v>1533</v>
      </c>
      <c r="I389" s="1310" t="s">
        <v>1482</v>
      </c>
      <c r="J389" s="1310" t="s">
        <v>1533</v>
      </c>
      <c r="K389" s="1310" t="s">
        <v>1590</v>
      </c>
      <c r="L389" s="1310" t="s">
        <v>1533</v>
      </c>
      <c r="M389" s="1310" t="s">
        <v>115</v>
      </c>
      <c r="N389" s="1310" t="s">
        <v>1533</v>
      </c>
      <c r="O389" s="1310" t="s">
        <v>1560</v>
      </c>
      <c r="P389" s="1310" t="s">
        <v>1533</v>
      </c>
      <c r="Q389" s="1310" t="s">
        <v>1577</v>
      </c>
      <c r="R389" s="1310" t="s">
        <v>1540</v>
      </c>
      <c r="S389" s="1310" t="s">
        <v>1598</v>
      </c>
      <c r="T389" s="1310" t="s">
        <v>1540</v>
      </c>
      <c r="U389" s="1310" t="s">
        <v>1472</v>
      </c>
      <c r="V389" s="1310" t="s">
        <v>1540</v>
      </c>
      <c r="W389" s="1310" t="s">
        <v>1475</v>
      </c>
      <c r="X389" s="1310" t="s">
        <v>1540</v>
      </c>
      <c r="Y389" s="1310" t="s">
        <v>1609</v>
      </c>
      <c r="Z389" s="1310" t="s">
        <v>1540</v>
      </c>
      <c r="AA389" s="1310" t="s">
        <v>1635</v>
      </c>
      <c r="AB389" s="1310" t="s">
        <v>1540</v>
      </c>
      <c r="AC389" s="1310" t="s">
        <v>122</v>
      </c>
      <c r="AD389" s="1310" t="s">
        <v>1540</v>
      </c>
      <c r="AE389" s="1310" t="s">
        <v>1571</v>
      </c>
      <c r="AF389" s="1310" t="s">
        <v>1511</v>
      </c>
    </row>
    <row r="390" spans="1:32" x14ac:dyDescent="0.3">
      <c r="A390" s="1310" t="s">
        <v>1456</v>
      </c>
      <c r="B390" s="1310" t="s">
        <v>1511</v>
      </c>
      <c r="C390" s="1310" t="s">
        <v>1497</v>
      </c>
      <c r="D390" s="1310" t="s">
        <v>1511</v>
      </c>
      <c r="E390" s="1310" t="s">
        <v>1475</v>
      </c>
      <c r="F390" s="1310" t="s">
        <v>1511</v>
      </c>
      <c r="G390" s="1310" t="s">
        <v>1632</v>
      </c>
      <c r="H390" s="1310" t="s">
        <v>1511</v>
      </c>
      <c r="I390" s="1310" t="s">
        <v>1583</v>
      </c>
      <c r="J390" s="1310" t="s">
        <v>1511</v>
      </c>
      <c r="K390" s="1310" t="s">
        <v>1550</v>
      </c>
      <c r="L390" s="1310" t="s">
        <v>1511</v>
      </c>
      <c r="M390" s="1310" t="s">
        <v>1577</v>
      </c>
      <c r="N390" s="1310" t="s">
        <v>1597</v>
      </c>
      <c r="O390" s="1310" t="s">
        <v>1476</v>
      </c>
      <c r="P390" s="1310" t="s">
        <v>1597</v>
      </c>
      <c r="Q390" s="1310" t="s">
        <v>1446</v>
      </c>
      <c r="R390" s="1310" t="s">
        <v>1597</v>
      </c>
      <c r="S390" s="1310" t="s">
        <v>1596</v>
      </c>
      <c r="T390" s="1310" t="s">
        <v>1597</v>
      </c>
      <c r="U390" s="1310" t="s">
        <v>1523</v>
      </c>
      <c r="V390" s="1310" t="s">
        <v>1597</v>
      </c>
      <c r="W390" s="1310" t="s">
        <v>1567</v>
      </c>
      <c r="X390" s="1310" t="s">
        <v>1597</v>
      </c>
      <c r="Y390" s="1310" t="s">
        <v>1516</v>
      </c>
      <c r="Z390" s="1310" t="s">
        <v>1454</v>
      </c>
      <c r="AA390" s="1310" t="s">
        <v>265</v>
      </c>
      <c r="AB390" s="1310" t="s">
        <v>1454</v>
      </c>
      <c r="AC390" s="1310" t="s">
        <v>1452</v>
      </c>
      <c r="AD390" s="1310" t="s">
        <v>1454</v>
      </c>
      <c r="AE390" s="1310" t="s">
        <v>1519</v>
      </c>
      <c r="AF390" s="1310" t="s">
        <v>1454</v>
      </c>
    </row>
    <row r="391" spans="1:32" x14ac:dyDescent="0.3">
      <c r="A391" s="1310" t="s">
        <v>1489</v>
      </c>
      <c r="B391" s="1310" t="s">
        <v>1454</v>
      </c>
      <c r="C391" s="1310" t="s">
        <v>1594</v>
      </c>
      <c r="D391" s="1310" t="s">
        <v>1454</v>
      </c>
      <c r="E391" s="1310" t="s">
        <v>1549</v>
      </c>
      <c r="F391" s="1310" t="s">
        <v>1454</v>
      </c>
      <c r="G391" s="1310" t="s">
        <v>1621</v>
      </c>
      <c r="H391" s="1310" t="s">
        <v>1456</v>
      </c>
      <c r="I391" s="1310" t="s">
        <v>1462</v>
      </c>
      <c r="J391" s="1310" t="s">
        <v>1456</v>
      </c>
      <c r="K391" s="1310" t="s">
        <v>1618</v>
      </c>
      <c r="L391" s="1310" t="s">
        <v>1456</v>
      </c>
      <c r="M391" s="1310" t="s">
        <v>1532</v>
      </c>
      <c r="N391" s="1310" t="s">
        <v>1456</v>
      </c>
      <c r="O391" s="1310" t="s">
        <v>1632</v>
      </c>
      <c r="P391" s="1310" t="s">
        <v>1456</v>
      </c>
      <c r="Q391" s="1310" t="s">
        <v>115</v>
      </c>
      <c r="R391" s="1310" t="s">
        <v>1456</v>
      </c>
      <c r="S391" s="1310" t="s">
        <v>1572</v>
      </c>
      <c r="T391" s="1310" t="s">
        <v>1658</v>
      </c>
      <c r="U391" s="1310" t="s">
        <v>263</v>
      </c>
      <c r="V391" s="1310" t="s">
        <v>1658</v>
      </c>
      <c r="W391" s="1310" t="s">
        <v>1452</v>
      </c>
      <c r="X391" s="1310" t="s">
        <v>1658</v>
      </c>
      <c r="Y391" s="1310" t="s">
        <v>1527</v>
      </c>
      <c r="Z391" s="1310" t="s">
        <v>1658</v>
      </c>
      <c r="AA391" s="1310" t="s">
        <v>1620</v>
      </c>
      <c r="AB391" s="1310" t="s">
        <v>1658</v>
      </c>
      <c r="AC391" s="1310" t="s">
        <v>112</v>
      </c>
      <c r="AD391" s="1310" t="s">
        <v>1658</v>
      </c>
      <c r="AE391" s="1310" t="s">
        <v>1648</v>
      </c>
      <c r="AF391" s="1310" t="s">
        <v>1658</v>
      </c>
    </row>
    <row r="392" spans="1:32" x14ac:dyDescent="0.3">
      <c r="A392" s="1310" t="s">
        <v>1552</v>
      </c>
      <c r="B392" s="1310" t="s">
        <v>1598</v>
      </c>
      <c r="C392" s="1310" t="s">
        <v>1613</v>
      </c>
      <c r="D392" s="1310" t="s">
        <v>1598</v>
      </c>
      <c r="E392" s="1310" t="s">
        <v>1563</v>
      </c>
      <c r="F392" s="1310" t="s">
        <v>1598</v>
      </c>
      <c r="G392" s="1310" t="s">
        <v>1481</v>
      </c>
      <c r="H392" s="1310" t="s">
        <v>1598</v>
      </c>
      <c r="I392" s="1310" t="s">
        <v>1649</v>
      </c>
      <c r="J392" s="1310" t="s">
        <v>1598</v>
      </c>
      <c r="K392" s="1310" t="s">
        <v>120</v>
      </c>
      <c r="L392" s="1310" t="s">
        <v>1598</v>
      </c>
      <c r="M392" s="1310" t="s">
        <v>1621</v>
      </c>
      <c r="N392" s="1310" t="s">
        <v>1613</v>
      </c>
      <c r="O392" s="1310" t="s">
        <v>1533</v>
      </c>
      <c r="P392" s="1310" t="s">
        <v>1613</v>
      </c>
      <c r="Q392" s="1310" t="s">
        <v>1497</v>
      </c>
      <c r="R392" s="1310" t="s">
        <v>1613</v>
      </c>
      <c r="S392" s="1310" t="s">
        <v>1457</v>
      </c>
      <c r="T392" s="1310" t="s">
        <v>1613</v>
      </c>
      <c r="U392" s="1310" t="s">
        <v>1544</v>
      </c>
      <c r="V392" s="1310" t="s">
        <v>1613</v>
      </c>
      <c r="W392" s="1310" t="s">
        <v>471</v>
      </c>
      <c r="X392" s="1310" t="s">
        <v>1613</v>
      </c>
      <c r="Y392" s="1310" t="s">
        <v>1579</v>
      </c>
      <c r="Z392" s="1310" t="s">
        <v>1603</v>
      </c>
      <c r="AA392" s="1310" t="s">
        <v>1512</v>
      </c>
      <c r="AB392" s="1310" t="s">
        <v>1603</v>
      </c>
      <c r="AC392" s="1310" t="s">
        <v>1608</v>
      </c>
      <c r="AD392" s="1310" t="s">
        <v>1603</v>
      </c>
      <c r="AE392" s="1310" t="s">
        <v>1448</v>
      </c>
      <c r="AF392" s="1310" t="s">
        <v>1603</v>
      </c>
    </row>
    <row r="393" spans="1:32" x14ac:dyDescent="0.3">
      <c r="A393" s="1310" t="s">
        <v>1544</v>
      </c>
      <c r="B393" s="1310" t="s">
        <v>1603</v>
      </c>
      <c r="C393" s="1310" t="s">
        <v>1575</v>
      </c>
      <c r="D393" s="1310" t="s">
        <v>1603</v>
      </c>
      <c r="E393" s="1310" t="s">
        <v>1638</v>
      </c>
      <c r="F393" s="1310" t="s">
        <v>1476</v>
      </c>
      <c r="G393" s="1310" t="s">
        <v>1509</v>
      </c>
      <c r="H393" s="1310" t="s">
        <v>1476</v>
      </c>
      <c r="I393" s="1310" t="s">
        <v>1472</v>
      </c>
      <c r="J393" s="1310" t="s">
        <v>1476</v>
      </c>
      <c r="K393" s="1310" t="s">
        <v>1482</v>
      </c>
      <c r="L393" s="1310" t="s">
        <v>1476</v>
      </c>
      <c r="M393" s="1310" t="s">
        <v>1606</v>
      </c>
      <c r="N393" s="1310" t="s">
        <v>1476</v>
      </c>
      <c r="O393" s="1310" t="s">
        <v>129</v>
      </c>
      <c r="P393" s="1310" t="s">
        <v>1476</v>
      </c>
      <c r="Q393" s="1310" t="s">
        <v>1531</v>
      </c>
      <c r="R393" s="1310" t="s">
        <v>1518</v>
      </c>
      <c r="S393" s="1310" t="s">
        <v>1658</v>
      </c>
      <c r="T393" s="1310" t="s">
        <v>1518</v>
      </c>
      <c r="U393" s="1310" t="s">
        <v>1498</v>
      </c>
      <c r="V393" s="1310" t="s">
        <v>1518</v>
      </c>
      <c r="W393" s="1310" t="s">
        <v>1542</v>
      </c>
      <c r="X393" s="1310" t="s">
        <v>1518</v>
      </c>
      <c r="Y393" s="1310" t="s">
        <v>110</v>
      </c>
      <c r="Z393" s="1310" t="s">
        <v>1518</v>
      </c>
      <c r="AA393" s="1310" t="s">
        <v>1601</v>
      </c>
      <c r="AB393" s="1310" t="s">
        <v>1518</v>
      </c>
      <c r="AC393" s="1310" t="s">
        <v>1641</v>
      </c>
      <c r="AD393" s="1310" t="s">
        <v>1515</v>
      </c>
      <c r="AE393" s="1310" t="s">
        <v>1470</v>
      </c>
      <c r="AF393" s="1310" t="s">
        <v>1515</v>
      </c>
    </row>
    <row r="394" spans="1:32" x14ac:dyDescent="0.3">
      <c r="A394" s="1310" t="s">
        <v>1541</v>
      </c>
      <c r="B394" s="1310" t="s">
        <v>1515</v>
      </c>
      <c r="C394" s="1310" t="s">
        <v>1445</v>
      </c>
      <c r="D394" s="1310" t="s">
        <v>1515</v>
      </c>
      <c r="E394" s="1310" t="s">
        <v>1583</v>
      </c>
      <c r="F394" s="1310" t="s">
        <v>1515</v>
      </c>
      <c r="G394" s="1310" t="s">
        <v>1516</v>
      </c>
      <c r="H394" s="1310" t="s">
        <v>1525</v>
      </c>
      <c r="I394" s="1310" t="s">
        <v>1467</v>
      </c>
      <c r="J394" s="1310" t="s">
        <v>1525</v>
      </c>
      <c r="K394" s="1310" t="s">
        <v>1574</v>
      </c>
      <c r="L394" s="1310" t="s">
        <v>1525</v>
      </c>
      <c r="M394" s="1310" t="s">
        <v>1449</v>
      </c>
      <c r="N394" s="1310" t="s">
        <v>1525</v>
      </c>
      <c r="O394" s="1310" t="s">
        <v>1544</v>
      </c>
      <c r="P394" s="1310" t="s">
        <v>1525</v>
      </c>
      <c r="Q394" s="1310" t="s">
        <v>119</v>
      </c>
      <c r="R394" s="1310" t="s">
        <v>1525</v>
      </c>
      <c r="S394" s="1310" t="s">
        <v>1531</v>
      </c>
      <c r="T394" s="1310" t="s">
        <v>1526</v>
      </c>
      <c r="U394" s="1310" t="s">
        <v>1603</v>
      </c>
      <c r="V394" s="1310" t="s">
        <v>1526</v>
      </c>
      <c r="W394" s="1310" t="s">
        <v>1451</v>
      </c>
      <c r="X394" s="1310" t="s">
        <v>1526</v>
      </c>
      <c r="Y394" s="1310" t="s">
        <v>1605</v>
      </c>
      <c r="Z394" s="1310" t="s">
        <v>1526</v>
      </c>
      <c r="AA394" s="1310" t="s">
        <v>465</v>
      </c>
      <c r="AB394" s="1310" t="s">
        <v>1526</v>
      </c>
      <c r="AC394" s="1310" t="s">
        <v>1572</v>
      </c>
      <c r="AD394" s="1310" t="s">
        <v>1528</v>
      </c>
      <c r="AE394" s="1310" t="s">
        <v>270</v>
      </c>
      <c r="AF394" s="1310" t="s">
        <v>1528</v>
      </c>
    </row>
    <row r="395" spans="1:32" x14ac:dyDescent="0.3">
      <c r="A395" s="1310" t="s">
        <v>1574</v>
      </c>
      <c r="B395" s="1310" t="s">
        <v>1528</v>
      </c>
      <c r="C395" s="1310" t="s">
        <v>1478</v>
      </c>
      <c r="D395" s="1310" t="s">
        <v>1528</v>
      </c>
      <c r="E395" s="1310" t="s">
        <v>1565</v>
      </c>
      <c r="F395" s="1310" t="s">
        <v>1528</v>
      </c>
      <c r="G395" s="1310" t="s">
        <v>1568</v>
      </c>
      <c r="H395" s="1310" t="s">
        <v>1528</v>
      </c>
      <c r="I395" s="1310" t="s">
        <v>1571</v>
      </c>
      <c r="J395" s="1310" t="s">
        <v>1535</v>
      </c>
      <c r="K395" s="1310" t="s">
        <v>1470</v>
      </c>
      <c r="L395" s="1310" t="s">
        <v>1535</v>
      </c>
      <c r="M395" s="1310" t="s">
        <v>1488</v>
      </c>
      <c r="N395" s="1310" t="s">
        <v>1535</v>
      </c>
      <c r="O395" s="1310" t="s">
        <v>1464</v>
      </c>
      <c r="P395" s="1310" t="s">
        <v>1535</v>
      </c>
      <c r="Q395" s="1310" t="s">
        <v>1567</v>
      </c>
      <c r="R395" s="1310" t="s">
        <v>1535</v>
      </c>
      <c r="S395" s="1310" t="s">
        <v>1496</v>
      </c>
      <c r="T395" s="1310" t="s">
        <v>1470</v>
      </c>
      <c r="U395" s="1310" t="s">
        <v>1511</v>
      </c>
      <c r="V395" s="1310" t="s">
        <v>1470</v>
      </c>
      <c r="W395" s="1310" t="s">
        <v>1573</v>
      </c>
      <c r="X395" s="1310" t="s">
        <v>1470</v>
      </c>
      <c r="Y395" s="1310" t="s">
        <v>1610</v>
      </c>
      <c r="Z395" s="1310" t="s">
        <v>1470</v>
      </c>
      <c r="AA395" s="1310" t="s">
        <v>465</v>
      </c>
      <c r="AB395" s="1310" t="s">
        <v>1470</v>
      </c>
      <c r="AC395" s="1310" t="s">
        <v>1466</v>
      </c>
      <c r="AD395" s="1310" t="s">
        <v>1458</v>
      </c>
      <c r="AE395" s="1310" t="s">
        <v>1513</v>
      </c>
      <c r="AF395" s="1310" t="s">
        <v>1458</v>
      </c>
    </row>
    <row r="396" spans="1:32" x14ac:dyDescent="0.3">
      <c r="A396" s="1310" t="s">
        <v>1517</v>
      </c>
      <c r="B396" s="1310" t="s">
        <v>1458</v>
      </c>
      <c r="C396" s="1310" t="s">
        <v>1521</v>
      </c>
      <c r="D396" s="1310" t="s">
        <v>1458</v>
      </c>
      <c r="E396" s="1310" t="s">
        <v>111</v>
      </c>
      <c r="F396" s="1310" t="s">
        <v>1458</v>
      </c>
      <c r="G396" s="1310" t="s">
        <v>124</v>
      </c>
      <c r="H396" s="1310" t="s">
        <v>1490</v>
      </c>
      <c r="I396" s="1310" t="s">
        <v>268</v>
      </c>
      <c r="J396" s="1310" t="s">
        <v>1490</v>
      </c>
      <c r="K396" s="1310" t="s">
        <v>1574</v>
      </c>
      <c r="L396" s="1310" t="s">
        <v>1490</v>
      </c>
      <c r="M396" s="1310" t="s">
        <v>1596</v>
      </c>
      <c r="N396" s="1310" t="s">
        <v>1490</v>
      </c>
      <c r="O396" s="1310" t="s">
        <v>1630</v>
      </c>
      <c r="P396" s="1310" t="s">
        <v>1490</v>
      </c>
      <c r="Q396" s="1310" t="s">
        <v>1634</v>
      </c>
      <c r="R396" s="1310" t="s">
        <v>1452</v>
      </c>
      <c r="S396" s="1310" t="s">
        <v>263</v>
      </c>
      <c r="T396" s="1310" t="s">
        <v>1452</v>
      </c>
      <c r="U396" s="1310" t="s">
        <v>1492</v>
      </c>
      <c r="V396" s="1310" t="s">
        <v>1452</v>
      </c>
      <c r="W396" s="1310" t="s">
        <v>1478</v>
      </c>
      <c r="X396" s="1310" t="s">
        <v>1452</v>
      </c>
      <c r="Y396" s="1310" t="s">
        <v>1646</v>
      </c>
      <c r="Z396" s="1310" t="s">
        <v>1452</v>
      </c>
      <c r="AA396" s="1310" t="s">
        <v>1607</v>
      </c>
      <c r="AB396" s="1310" t="s">
        <v>1657</v>
      </c>
      <c r="AC396" s="1310" t="s">
        <v>263</v>
      </c>
      <c r="AD396" s="1310" t="s">
        <v>1657</v>
      </c>
      <c r="AE396" s="1310" t="s">
        <v>1539</v>
      </c>
      <c r="AF396" s="1310" t="s">
        <v>1657</v>
      </c>
    </row>
    <row r="397" spans="1:32" x14ac:dyDescent="0.3">
      <c r="A397" s="1310" t="s">
        <v>1448</v>
      </c>
      <c r="B397" s="1310" t="s">
        <v>1657</v>
      </c>
      <c r="C397" s="1310" t="s">
        <v>1630</v>
      </c>
      <c r="D397" s="1310" t="s">
        <v>1657</v>
      </c>
      <c r="E397" s="1310" t="s">
        <v>121</v>
      </c>
      <c r="F397" s="1310" t="s">
        <v>1625</v>
      </c>
      <c r="G397" s="1310" t="s">
        <v>266</v>
      </c>
      <c r="H397" s="1310" t="s">
        <v>1625</v>
      </c>
      <c r="I397" s="1310" t="s">
        <v>1631</v>
      </c>
      <c r="J397" s="1310" t="s">
        <v>1625</v>
      </c>
      <c r="K397" s="1310" t="s">
        <v>1484</v>
      </c>
      <c r="L397" s="1310" t="s">
        <v>1625</v>
      </c>
      <c r="M397" s="1310" t="s">
        <v>111</v>
      </c>
      <c r="N397" s="1310" t="s">
        <v>1625</v>
      </c>
      <c r="O397" s="1310" t="s">
        <v>1569</v>
      </c>
      <c r="P397" s="1310" t="s">
        <v>1654</v>
      </c>
      <c r="Q397" s="1310" t="s">
        <v>1500</v>
      </c>
      <c r="R397" s="1310" t="s">
        <v>1654</v>
      </c>
      <c r="S397" s="1310" t="s">
        <v>1472</v>
      </c>
      <c r="T397" s="1310" t="s">
        <v>1654</v>
      </c>
      <c r="U397" s="1310" t="s">
        <v>1554</v>
      </c>
      <c r="V397" s="1310" t="s">
        <v>1654</v>
      </c>
      <c r="W397" s="1310" t="s">
        <v>465</v>
      </c>
      <c r="X397" s="1310" t="s">
        <v>1654</v>
      </c>
      <c r="Y397" s="1310" t="s">
        <v>125</v>
      </c>
      <c r="Z397" s="1310" t="s">
        <v>1486</v>
      </c>
      <c r="AA397" s="1310" t="s">
        <v>1533</v>
      </c>
      <c r="AB397" s="1310" t="s">
        <v>1486</v>
      </c>
      <c r="AC397" s="1310" t="s">
        <v>1651</v>
      </c>
      <c r="AD397" s="1310" t="s">
        <v>1486</v>
      </c>
      <c r="AE397" s="1310" t="s">
        <v>1445</v>
      </c>
      <c r="AF397" s="1310" t="s">
        <v>1486</v>
      </c>
    </row>
    <row r="398" spans="1:32" x14ac:dyDescent="0.3">
      <c r="A398" s="1310" t="s">
        <v>1567</v>
      </c>
      <c r="B398" s="1310" t="s">
        <v>1486</v>
      </c>
      <c r="C398" s="1310" t="s">
        <v>1503</v>
      </c>
      <c r="D398" s="1310" t="s">
        <v>1645</v>
      </c>
      <c r="E398" s="1310" t="s">
        <v>1526</v>
      </c>
      <c r="F398" s="1310" t="s">
        <v>1645</v>
      </c>
      <c r="G398" s="1310" t="s">
        <v>1659</v>
      </c>
      <c r="H398" s="1310" t="s">
        <v>1645</v>
      </c>
      <c r="I398" s="1310" t="s">
        <v>1523</v>
      </c>
      <c r="J398" s="1310" t="s">
        <v>1645</v>
      </c>
      <c r="K398" s="1310" t="s">
        <v>1568</v>
      </c>
      <c r="L398" s="1310" t="s">
        <v>1645</v>
      </c>
      <c r="M398" s="1310" t="s">
        <v>1636</v>
      </c>
      <c r="N398" s="1310" t="s">
        <v>1487</v>
      </c>
      <c r="O398" s="1310" t="s">
        <v>1492</v>
      </c>
      <c r="P398" s="1310" t="s">
        <v>1487</v>
      </c>
      <c r="Q398" s="1310" t="s">
        <v>1482</v>
      </c>
      <c r="R398" s="1310" t="s">
        <v>1487</v>
      </c>
      <c r="S398" s="1310" t="s">
        <v>113</v>
      </c>
      <c r="T398" s="1310" t="s">
        <v>1487</v>
      </c>
      <c r="U398" s="1310" t="s">
        <v>1505</v>
      </c>
      <c r="V398" s="1310" t="s">
        <v>1459</v>
      </c>
      <c r="W398" s="1310" t="s">
        <v>1453</v>
      </c>
      <c r="X398" s="1310" t="s">
        <v>1459</v>
      </c>
      <c r="Y398" s="1310" t="s">
        <v>1652</v>
      </c>
      <c r="Z398" s="1310" t="s">
        <v>1459</v>
      </c>
      <c r="AA398" s="1310" t="s">
        <v>1445</v>
      </c>
      <c r="AB398" s="1310" t="s">
        <v>1459</v>
      </c>
      <c r="AC398" s="1310" t="s">
        <v>1581</v>
      </c>
      <c r="AD398" s="1310" t="s">
        <v>1459</v>
      </c>
      <c r="AE398" s="1310" t="s">
        <v>131</v>
      </c>
      <c r="AF398" s="1310" t="s">
        <v>1461</v>
      </c>
    </row>
    <row r="399" spans="1:32" x14ac:dyDescent="0.3">
      <c r="A399" s="1310" t="s">
        <v>1452</v>
      </c>
      <c r="B399" s="1310" t="s">
        <v>1461</v>
      </c>
      <c r="C399" s="1310" t="s">
        <v>1532</v>
      </c>
      <c r="D399" s="1310" t="s">
        <v>1461</v>
      </c>
      <c r="E399" s="1310" t="s">
        <v>1646</v>
      </c>
      <c r="F399" s="1310" t="s">
        <v>1461</v>
      </c>
      <c r="G399" s="1310" t="s">
        <v>124</v>
      </c>
      <c r="H399" s="1310" t="s">
        <v>1494</v>
      </c>
      <c r="I399" s="1310" t="s">
        <v>1513</v>
      </c>
      <c r="J399" s="1310" t="s">
        <v>1494</v>
      </c>
      <c r="K399" s="1310" t="s">
        <v>1543</v>
      </c>
      <c r="L399" s="1310" t="s">
        <v>1494</v>
      </c>
      <c r="M399" s="1310" t="s">
        <v>1580</v>
      </c>
      <c r="N399" s="1310" t="s">
        <v>1494</v>
      </c>
      <c r="O399" s="1310" t="s">
        <v>1589</v>
      </c>
      <c r="P399" s="1310" t="s">
        <v>1494</v>
      </c>
      <c r="Q399" s="1310" t="s">
        <v>130</v>
      </c>
      <c r="R399" s="1310" t="s">
        <v>1493</v>
      </c>
      <c r="S399" s="1310" t="s">
        <v>1657</v>
      </c>
      <c r="T399" s="1310" t="s">
        <v>1493</v>
      </c>
      <c r="U399" s="1310" t="s">
        <v>1475</v>
      </c>
      <c r="V399" s="1310" t="s">
        <v>1493</v>
      </c>
      <c r="W399" s="1310" t="s">
        <v>1594</v>
      </c>
      <c r="X399" s="1310" t="s">
        <v>1493</v>
      </c>
      <c r="Y399" s="1310" t="s">
        <v>1444</v>
      </c>
      <c r="Z399" s="1310" t="s">
        <v>1492</v>
      </c>
      <c r="AA399" s="1310" t="s">
        <v>1512</v>
      </c>
      <c r="AB399" s="1310" t="s">
        <v>1492</v>
      </c>
      <c r="AC399" s="1310" t="s">
        <v>1451</v>
      </c>
      <c r="AD399" s="1310" t="s">
        <v>1492</v>
      </c>
      <c r="AE399" s="1310" t="s">
        <v>1464</v>
      </c>
      <c r="AF399" s="1310" t="s">
        <v>1492</v>
      </c>
    </row>
    <row r="400" spans="1:32" x14ac:dyDescent="0.3">
      <c r="A400" s="1310" t="s">
        <v>119</v>
      </c>
      <c r="B400" s="1310" t="s">
        <v>1492</v>
      </c>
      <c r="C400" s="1310" t="s">
        <v>1639</v>
      </c>
      <c r="D400" s="1310" t="s">
        <v>1539</v>
      </c>
      <c r="E400" s="1310" t="s">
        <v>1485</v>
      </c>
      <c r="F400" s="1310" t="s">
        <v>1539</v>
      </c>
      <c r="G400" s="1310" t="s">
        <v>1460</v>
      </c>
      <c r="H400" s="1310" t="s">
        <v>1539</v>
      </c>
      <c r="I400" s="1310" t="s">
        <v>1635</v>
      </c>
      <c r="J400" s="1310" t="s">
        <v>1539</v>
      </c>
      <c r="K400" s="1310" t="s">
        <v>1579</v>
      </c>
      <c r="L400" s="1310" t="s">
        <v>1485</v>
      </c>
      <c r="M400" s="1310" t="s">
        <v>1526</v>
      </c>
      <c r="N400" s="1310" t="s">
        <v>1485</v>
      </c>
      <c r="O400" s="1310" t="s">
        <v>1582</v>
      </c>
      <c r="P400" s="1310" t="s">
        <v>1485</v>
      </c>
      <c r="Q400" s="1310" t="s">
        <v>1629</v>
      </c>
      <c r="R400" s="1310" t="s">
        <v>1485</v>
      </c>
      <c r="S400" s="1310" t="s">
        <v>1569</v>
      </c>
      <c r="T400" s="1310" t="s">
        <v>1574</v>
      </c>
      <c r="U400" s="1310" t="s">
        <v>1462</v>
      </c>
      <c r="V400" s="1310" t="s">
        <v>1574</v>
      </c>
      <c r="W400" s="1310" t="s">
        <v>1477</v>
      </c>
      <c r="X400" s="1310" t="s">
        <v>1574</v>
      </c>
      <c r="Y400" s="1310" t="s">
        <v>1642</v>
      </c>
      <c r="Z400" s="1310" t="s">
        <v>1574</v>
      </c>
      <c r="AA400" s="1310" t="s">
        <v>1650</v>
      </c>
      <c r="AB400" s="1310" t="s">
        <v>1631</v>
      </c>
      <c r="AC400" s="1310" t="s">
        <v>266</v>
      </c>
      <c r="AD400" s="1310" t="s">
        <v>1631</v>
      </c>
      <c r="AE400" s="1310" t="s">
        <v>1524</v>
      </c>
      <c r="AF400" s="1310" t="s">
        <v>1631</v>
      </c>
    </row>
    <row r="401" spans="1:32" x14ac:dyDescent="0.3">
      <c r="A401" s="1310" t="s">
        <v>1580</v>
      </c>
      <c r="B401" s="1310" t="s">
        <v>1631</v>
      </c>
      <c r="C401" s="1310" t="s">
        <v>1655</v>
      </c>
      <c r="D401" s="1310" t="s">
        <v>1631</v>
      </c>
      <c r="E401" s="1310" t="s">
        <v>1622</v>
      </c>
      <c r="F401" s="1310" t="s">
        <v>1491</v>
      </c>
      <c r="G401" s="1310" t="s">
        <v>1539</v>
      </c>
      <c r="H401" s="1310" t="s">
        <v>1491</v>
      </c>
      <c r="I401" s="1310" t="s">
        <v>1479</v>
      </c>
      <c r="J401" s="1310" t="s">
        <v>1491</v>
      </c>
      <c r="K401" s="1310" t="s">
        <v>115</v>
      </c>
      <c r="L401" s="1310" t="s">
        <v>1491</v>
      </c>
      <c r="M401" s="1310" t="s">
        <v>1614</v>
      </c>
      <c r="N401" s="1310" t="s">
        <v>1618</v>
      </c>
      <c r="O401" s="1310" t="s">
        <v>1654</v>
      </c>
      <c r="P401" s="1310" t="s">
        <v>1618</v>
      </c>
      <c r="Q401" s="1310" t="s">
        <v>1596</v>
      </c>
      <c r="R401" s="1310" t="s">
        <v>1618</v>
      </c>
      <c r="S401" s="1310" t="s">
        <v>1616</v>
      </c>
      <c r="T401" s="1310" t="s">
        <v>1618</v>
      </c>
      <c r="U401" s="1310" t="s">
        <v>1496</v>
      </c>
      <c r="V401" s="1310" t="s">
        <v>1660</v>
      </c>
      <c r="W401" s="1310" t="s">
        <v>1470</v>
      </c>
      <c r="X401" s="1310" t="s">
        <v>1660</v>
      </c>
      <c r="Y401" s="1310" t="s">
        <v>1475</v>
      </c>
      <c r="Z401" s="1310" t="s">
        <v>1660</v>
      </c>
      <c r="AA401" s="1310" t="s">
        <v>113</v>
      </c>
      <c r="AB401" s="1310" t="s">
        <v>1660</v>
      </c>
      <c r="AC401" s="1310" t="s">
        <v>127</v>
      </c>
      <c r="AD401" s="1310" t="s">
        <v>1627</v>
      </c>
      <c r="AE401" s="1310" t="s">
        <v>1515</v>
      </c>
      <c r="AF401" s="1310" t="s">
        <v>1627</v>
      </c>
    </row>
    <row r="402" spans="1:32" x14ac:dyDescent="0.3">
      <c r="A402" s="1310" t="s">
        <v>1520</v>
      </c>
      <c r="B402" s="1310" t="s">
        <v>1627</v>
      </c>
      <c r="C402" s="1310" t="s">
        <v>110</v>
      </c>
      <c r="D402" s="1310" t="s">
        <v>1627</v>
      </c>
      <c r="E402" s="1310" t="s">
        <v>1656</v>
      </c>
      <c r="F402" s="1310" t="s">
        <v>1608</v>
      </c>
      <c r="G402" s="1310" t="s">
        <v>1476</v>
      </c>
      <c r="H402" s="1310" t="s">
        <v>1608</v>
      </c>
      <c r="I402" s="1310" t="s">
        <v>1582</v>
      </c>
      <c r="J402" s="1310" t="s">
        <v>1608</v>
      </c>
      <c r="K402" s="1310" t="s">
        <v>1495</v>
      </c>
      <c r="L402" s="1310" t="s">
        <v>1608</v>
      </c>
      <c r="M402" s="1310" t="s">
        <v>1656</v>
      </c>
      <c r="N402" s="1310" t="s">
        <v>1517</v>
      </c>
      <c r="O402" s="1310" t="s">
        <v>1518</v>
      </c>
      <c r="P402" s="1310" t="s">
        <v>1517</v>
      </c>
      <c r="Q402" s="1310" t="s">
        <v>1520</v>
      </c>
      <c r="R402" s="1310" t="s">
        <v>1517</v>
      </c>
      <c r="S402" s="1310" t="s">
        <v>111</v>
      </c>
      <c r="T402" s="1310" t="s">
        <v>1517</v>
      </c>
      <c r="U402" s="1310" t="s">
        <v>126</v>
      </c>
      <c r="V402" s="1310" t="s">
        <v>1497</v>
      </c>
      <c r="W402" s="1310" t="s">
        <v>1525</v>
      </c>
      <c r="X402" s="1310" t="s">
        <v>1497</v>
      </c>
      <c r="Y402" s="1310" t="s">
        <v>1473</v>
      </c>
      <c r="Z402" s="1310" t="s">
        <v>1497</v>
      </c>
      <c r="AA402" s="1310" t="s">
        <v>1557</v>
      </c>
      <c r="AB402" s="1310" t="s">
        <v>1497</v>
      </c>
      <c r="AC402" s="1310" t="s">
        <v>1570</v>
      </c>
      <c r="AD402" s="1310" t="s">
        <v>1472</v>
      </c>
      <c r="AE402" s="1310" t="s">
        <v>1490</v>
      </c>
      <c r="AF402" s="1310" t="s">
        <v>1472</v>
      </c>
    </row>
    <row r="403" spans="1:32" x14ac:dyDescent="0.3">
      <c r="A403" s="1310" t="s">
        <v>1457</v>
      </c>
      <c r="B403" s="1310" t="s">
        <v>1472</v>
      </c>
      <c r="C403" s="1310" t="s">
        <v>1027</v>
      </c>
      <c r="D403" s="1310" t="s">
        <v>1472</v>
      </c>
      <c r="E403" s="1310" t="s">
        <v>1503</v>
      </c>
      <c r="F403" s="1310" t="s">
        <v>1524</v>
      </c>
      <c r="G403" s="1310" t="s">
        <v>1487</v>
      </c>
      <c r="H403" s="1310" t="s">
        <v>1524</v>
      </c>
      <c r="I403" s="1310" t="s">
        <v>1460</v>
      </c>
      <c r="J403" s="1310" t="s">
        <v>1524</v>
      </c>
      <c r="K403" s="1310" t="s">
        <v>1548</v>
      </c>
      <c r="L403" s="1310" t="s">
        <v>1524</v>
      </c>
      <c r="M403" s="1310" t="s">
        <v>1571</v>
      </c>
      <c r="N403" s="1310" t="s">
        <v>1502</v>
      </c>
      <c r="O403" s="1310" t="s">
        <v>1491</v>
      </c>
      <c r="P403" s="1310" t="s">
        <v>1502</v>
      </c>
      <c r="Q403" s="1310" t="s">
        <v>1623</v>
      </c>
      <c r="R403" s="1310" t="s">
        <v>1502</v>
      </c>
      <c r="S403" s="1310" t="s">
        <v>1514</v>
      </c>
      <c r="T403" s="1310" t="s">
        <v>1536</v>
      </c>
      <c r="U403" s="1310" t="s">
        <v>264</v>
      </c>
      <c r="V403" s="1310" t="s">
        <v>1536</v>
      </c>
      <c r="W403" s="1310" t="s">
        <v>1563</v>
      </c>
      <c r="X403" s="1310" t="s">
        <v>1536</v>
      </c>
      <c r="Y403" s="1310" t="s">
        <v>1632</v>
      </c>
      <c r="Z403" s="1310" t="s">
        <v>1536</v>
      </c>
      <c r="AA403" s="1310" t="s">
        <v>1601</v>
      </c>
      <c r="AB403" s="1310" t="s">
        <v>1446</v>
      </c>
      <c r="AC403" s="1310" t="s">
        <v>1453</v>
      </c>
      <c r="AD403" s="1310" t="s">
        <v>1446</v>
      </c>
      <c r="AE403" s="1310" t="s">
        <v>1541</v>
      </c>
      <c r="AF403" s="1310" t="s">
        <v>1446</v>
      </c>
    </row>
    <row r="404" spans="1:32" x14ac:dyDescent="0.3">
      <c r="A404" s="1310" t="s">
        <v>1463</v>
      </c>
      <c r="B404" s="1310" t="s">
        <v>1446</v>
      </c>
      <c r="C404" s="1310" t="s">
        <v>6</v>
      </c>
      <c r="D404" s="1310" t="s">
        <v>1543</v>
      </c>
      <c r="E404" s="1310" t="s">
        <v>1515</v>
      </c>
      <c r="F404" s="1310" t="s">
        <v>1543</v>
      </c>
      <c r="G404" s="1310" t="s">
        <v>1564</v>
      </c>
      <c r="H404" s="1310" t="s">
        <v>1543</v>
      </c>
      <c r="I404" s="1310" t="s">
        <v>465</v>
      </c>
      <c r="J404" s="1310" t="s">
        <v>1543</v>
      </c>
      <c r="K404" s="1310" t="s">
        <v>1531</v>
      </c>
      <c r="L404" s="1310" t="s">
        <v>1563</v>
      </c>
      <c r="M404" s="1310" t="s">
        <v>1492</v>
      </c>
      <c r="N404" s="1310" t="s">
        <v>1563</v>
      </c>
      <c r="O404" s="1310" t="s">
        <v>1620</v>
      </c>
      <c r="P404" s="1310" t="s">
        <v>1563</v>
      </c>
      <c r="Q404" s="1310" t="s">
        <v>1514</v>
      </c>
      <c r="R404" s="1310" t="s">
        <v>1498</v>
      </c>
      <c r="S404" s="1310" t="s">
        <v>266</v>
      </c>
      <c r="T404" s="1310" t="s">
        <v>1498</v>
      </c>
      <c r="U404" s="1310" t="s">
        <v>1653</v>
      </c>
      <c r="V404" s="1310" t="s">
        <v>1498</v>
      </c>
      <c r="W404" s="1310" t="s">
        <v>1523</v>
      </c>
      <c r="X404" s="1310" t="s">
        <v>1498</v>
      </c>
      <c r="Y404" s="1310" t="s">
        <v>1569</v>
      </c>
      <c r="Z404" s="1310" t="s">
        <v>1573</v>
      </c>
      <c r="AA404" s="1310" t="s">
        <v>1598</v>
      </c>
      <c r="AB404" s="1310" t="s">
        <v>1573</v>
      </c>
      <c r="AC404" s="1310" t="s">
        <v>1532</v>
      </c>
      <c r="AD404" s="1310" t="s">
        <v>1573</v>
      </c>
      <c r="AE404" s="1310" t="s">
        <v>1591</v>
      </c>
      <c r="AF404" s="1310" t="s">
        <v>1573</v>
      </c>
    </row>
    <row r="405" spans="1:32" x14ac:dyDescent="0.3">
      <c r="A405" s="1310" t="s">
        <v>1531</v>
      </c>
      <c r="B405" s="1310" t="s">
        <v>1652</v>
      </c>
      <c r="C405" s="1310" t="s">
        <v>1485</v>
      </c>
      <c r="D405" s="1310" t="s">
        <v>1652</v>
      </c>
      <c r="E405" s="1310" t="s">
        <v>1623</v>
      </c>
      <c r="F405" s="1310" t="s">
        <v>1652</v>
      </c>
      <c r="G405" s="1310" t="s">
        <v>129</v>
      </c>
      <c r="H405" s="1310" t="s">
        <v>1653</v>
      </c>
      <c r="I405" s="1310" t="s">
        <v>1500</v>
      </c>
      <c r="J405" s="1310" t="s">
        <v>1653</v>
      </c>
      <c r="K405" s="1310" t="s">
        <v>1530</v>
      </c>
      <c r="L405" s="1310" t="s">
        <v>1653</v>
      </c>
      <c r="M405" s="1310" t="s">
        <v>1463</v>
      </c>
      <c r="N405" s="1310" t="s">
        <v>1653</v>
      </c>
      <c r="O405" s="1310" t="s">
        <v>126</v>
      </c>
      <c r="P405" s="1310" t="s">
        <v>1651</v>
      </c>
      <c r="Q405" s="1310" t="s">
        <v>1452</v>
      </c>
      <c r="R405" s="1310" t="s">
        <v>1651</v>
      </c>
      <c r="S405" s="1310" t="s">
        <v>1460</v>
      </c>
      <c r="T405" s="1310" t="s">
        <v>1651</v>
      </c>
      <c r="U405" s="1310" t="s">
        <v>1581</v>
      </c>
      <c r="V405" s="1310" t="s">
        <v>1451</v>
      </c>
      <c r="W405" s="1310" t="s">
        <v>263</v>
      </c>
      <c r="X405" s="1310" t="s">
        <v>1451</v>
      </c>
      <c r="Y405" s="1310" t="s">
        <v>1652</v>
      </c>
      <c r="Z405" s="1310" t="s">
        <v>1451</v>
      </c>
      <c r="AA405" s="1310" t="s">
        <v>1537</v>
      </c>
      <c r="AB405" s="1310" t="s">
        <v>1451</v>
      </c>
      <c r="AC405" s="1310" t="s">
        <v>1466</v>
      </c>
      <c r="AD405" s="1310" t="s">
        <v>1624</v>
      </c>
      <c r="AE405" s="1310" t="s">
        <v>1528</v>
      </c>
      <c r="AF405" s="1310" t="s">
        <v>1624</v>
      </c>
    </row>
    <row r="406" spans="1:32" x14ac:dyDescent="0.3">
      <c r="A406" s="1310" t="s">
        <v>1484</v>
      </c>
      <c r="B406" s="1310" t="s">
        <v>1624</v>
      </c>
      <c r="C406" s="1310" t="s">
        <v>1567</v>
      </c>
      <c r="D406" s="1310" t="s">
        <v>1633</v>
      </c>
      <c r="E406" s="1310" t="s">
        <v>1450</v>
      </c>
      <c r="F406" s="1310" t="s">
        <v>1633</v>
      </c>
      <c r="G406" s="1310" t="s">
        <v>1573</v>
      </c>
      <c r="H406" s="1310" t="s">
        <v>1633</v>
      </c>
      <c r="I406" s="1310" t="s">
        <v>1537</v>
      </c>
      <c r="J406" s="1310" t="s">
        <v>1633</v>
      </c>
      <c r="K406" s="1310" t="s">
        <v>1516</v>
      </c>
      <c r="L406" s="1310" t="s">
        <v>1477</v>
      </c>
      <c r="M406" s="1310" t="s">
        <v>1470</v>
      </c>
      <c r="N406" s="1310" t="s">
        <v>1477</v>
      </c>
      <c r="O406" s="1310" t="s">
        <v>1521</v>
      </c>
      <c r="P406" s="1310" t="s">
        <v>1477</v>
      </c>
      <c r="Q406" s="1310" t="s">
        <v>1600</v>
      </c>
      <c r="R406" s="1310" t="s">
        <v>1519</v>
      </c>
      <c r="S406" s="1310" t="s">
        <v>268</v>
      </c>
      <c r="T406" s="1310" t="s">
        <v>1519</v>
      </c>
      <c r="U406" s="1310" t="s">
        <v>1477</v>
      </c>
      <c r="V406" s="1310" t="s">
        <v>1519</v>
      </c>
      <c r="W406" s="1310" t="s">
        <v>1646</v>
      </c>
      <c r="X406" s="1310" t="s">
        <v>1519</v>
      </c>
      <c r="Y406" s="1310" t="s">
        <v>1561</v>
      </c>
      <c r="Z406" s="1310" t="s">
        <v>1527</v>
      </c>
      <c r="AA406" s="1310" t="s">
        <v>1459</v>
      </c>
      <c r="AB406" s="1310" t="s">
        <v>1527</v>
      </c>
      <c r="AC406" s="1310" t="s">
        <v>1605</v>
      </c>
      <c r="AD406" s="1310" t="s">
        <v>1527</v>
      </c>
      <c r="AE406" s="1310" t="s">
        <v>1568</v>
      </c>
      <c r="AF406" s="1310" t="s">
        <v>1530</v>
      </c>
    </row>
    <row r="407" spans="1:32" x14ac:dyDescent="0.3">
      <c r="A407" s="1310" t="s">
        <v>1512</v>
      </c>
      <c r="B407" s="1310" t="s">
        <v>1530</v>
      </c>
      <c r="C407" s="1310" t="s">
        <v>1501</v>
      </c>
      <c r="D407" s="1310" t="s">
        <v>1530</v>
      </c>
      <c r="E407" s="1310" t="s">
        <v>1616</v>
      </c>
      <c r="F407" s="1310" t="s">
        <v>1530</v>
      </c>
      <c r="G407" s="1310" t="s">
        <v>1562</v>
      </c>
      <c r="H407" s="1310" t="s">
        <v>1538</v>
      </c>
      <c r="I407" s="1310" t="s">
        <v>1524</v>
      </c>
      <c r="J407" s="1310" t="s">
        <v>1538</v>
      </c>
      <c r="K407" s="1310" t="s">
        <v>1590</v>
      </c>
      <c r="L407" s="1310" t="s">
        <v>1538</v>
      </c>
      <c r="M407" s="1310" t="s">
        <v>1505</v>
      </c>
      <c r="N407" s="1310" t="s">
        <v>1541</v>
      </c>
      <c r="O407" s="1310" t="s">
        <v>1458</v>
      </c>
      <c r="P407" s="1310" t="s">
        <v>1541</v>
      </c>
      <c r="Q407" s="1310" t="s">
        <v>1542</v>
      </c>
      <c r="R407" s="1310" t="s">
        <v>1541</v>
      </c>
      <c r="S407" s="1310" t="s">
        <v>119</v>
      </c>
      <c r="T407" s="1310" t="s">
        <v>1553</v>
      </c>
      <c r="U407" s="1310" t="s">
        <v>1510</v>
      </c>
      <c r="V407" s="1310" t="s">
        <v>1553</v>
      </c>
      <c r="W407" s="1310" t="s">
        <v>1576</v>
      </c>
      <c r="X407" s="1310" t="s">
        <v>1553</v>
      </c>
      <c r="Y407" s="1310" t="s">
        <v>1591</v>
      </c>
      <c r="Z407" s="1310" t="s">
        <v>1553</v>
      </c>
      <c r="AA407" s="1310" t="s">
        <v>1571</v>
      </c>
      <c r="AB407" s="1310" t="s">
        <v>1488</v>
      </c>
      <c r="AC407" s="1310" t="s">
        <v>1536</v>
      </c>
      <c r="AD407" s="1310" t="s">
        <v>1488</v>
      </c>
      <c r="AE407" s="1310" t="s">
        <v>1529</v>
      </c>
      <c r="AF407" s="1310" t="s">
        <v>1488</v>
      </c>
    </row>
    <row r="408" spans="1:32" x14ac:dyDescent="0.3">
      <c r="A408" s="1310" t="s">
        <v>1656</v>
      </c>
      <c r="B408" s="1310" t="s">
        <v>1588</v>
      </c>
      <c r="C408" s="1310" t="s">
        <v>1645</v>
      </c>
      <c r="D408" s="1310" t="s">
        <v>1588</v>
      </c>
      <c r="E408" s="1310" t="s">
        <v>1623</v>
      </c>
      <c r="F408" s="1310" t="s">
        <v>1588</v>
      </c>
      <c r="G408" s="1310" t="s">
        <v>1637</v>
      </c>
      <c r="H408" s="1310" t="s">
        <v>1599</v>
      </c>
      <c r="I408" s="1310" t="s">
        <v>1454</v>
      </c>
      <c r="J408" s="1310" t="s">
        <v>1599</v>
      </c>
      <c r="K408" s="1310" t="s">
        <v>1448</v>
      </c>
      <c r="L408" s="1310" t="s">
        <v>1599</v>
      </c>
      <c r="M408" s="1310" t="s">
        <v>1589</v>
      </c>
      <c r="N408" s="1310" t="s">
        <v>1659</v>
      </c>
      <c r="O408" s="1310" t="s">
        <v>267</v>
      </c>
      <c r="P408" s="1310" t="s">
        <v>1659</v>
      </c>
      <c r="Q408" s="1310" t="s">
        <v>1553</v>
      </c>
      <c r="R408" s="1310" t="s">
        <v>1659</v>
      </c>
      <c r="S408" s="1310" t="s">
        <v>1557</v>
      </c>
      <c r="T408" s="1310" t="s">
        <v>1659</v>
      </c>
      <c r="U408" s="1310" t="s">
        <v>1552</v>
      </c>
      <c r="V408" s="1310" t="s">
        <v>1586</v>
      </c>
      <c r="W408" s="1310" t="s">
        <v>1446</v>
      </c>
      <c r="X408" s="1310" t="s">
        <v>1586</v>
      </c>
      <c r="Y408" s="1310" t="s">
        <v>1546</v>
      </c>
      <c r="Z408" s="1310" t="s">
        <v>1586</v>
      </c>
      <c r="AA408" s="1310" t="s">
        <v>1551</v>
      </c>
      <c r="AB408" s="1310" t="s">
        <v>1576</v>
      </c>
      <c r="AC408" s="1310" t="s">
        <v>1492</v>
      </c>
      <c r="AD408" s="1310" t="s">
        <v>1576</v>
      </c>
      <c r="AE408" s="1310" t="s">
        <v>1555</v>
      </c>
      <c r="AF408" s="1310" t="s">
        <v>1576</v>
      </c>
    </row>
    <row r="409" spans="1:32" x14ac:dyDescent="0.3">
      <c r="A409" s="1310" t="s">
        <v>1560</v>
      </c>
      <c r="B409" s="1310" t="s">
        <v>1644</v>
      </c>
      <c r="C409" s="1310" t="s">
        <v>1470</v>
      </c>
      <c r="D409" s="1310" t="s">
        <v>1644</v>
      </c>
      <c r="E409" s="1310" t="s">
        <v>1447</v>
      </c>
      <c r="F409" s="1310" t="s">
        <v>1644</v>
      </c>
      <c r="G409" s="1310" t="s">
        <v>1643</v>
      </c>
      <c r="H409" s="1310" t="s">
        <v>1619</v>
      </c>
      <c r="I409" s="1310" t="s">
        <v>1454</v>
      </c>
      <c r="J409" s="1310" t="s">
        <v>1619</v>
      </c>
      <c r="K409" s="1310" t="s">
        <v>1482</v>
      </c>
      <c r="L409" s="1310" t="s">
        <v>1619</v>
      </c>
      <c r="M409" s="1310" t="s">
        <v>1587</v>
      </c>
      <c r="N409" s="1310" t="s">
        <v>1501</v>
      </c>
      <c r="O409" s="1310" t="s">
        <v>1510</v>
      </c>
      <c r="P409" s="1310" t="s">
        <v>1501</v>
      </c>
      <c r="Q409" s="1310" t="s">
        <v>1520</v>
      </c>
      <c r="R409" s="1310" t="s">
        <v>1501</v>
      </c>
      <c r="S409" s="1310" t="s">
        <v>116</v>
      </c>
      <c r="T409" s="1310" t="s">
        <v>1582</v>
      </c>
      <c r="U409" s="1310" t="s">
        <v>266</v>
      </c>
      <c r="V409" s="1310" t="s">
        <v>1582</v>
      </c>
      <c r="W409" s="1310" t="s">
        <v>1488</v>
      </c>
      <c r="X409" s="1310" t="s">
        <v>1582</v>
      </c>
      <c r="Y409" s="1310" t="s">
        <v>1616</v>
      </c>
      <c r="Z409" s="1310" t="s">
        <v>1582</v>
      </c>
      <c r="AA409" s="1310" t="s">
        <v>1468</v>
      </c>
      <c r="AB409" s="1310" t="s">
        <v>1520</v>
      </c>
      <c r="AC409" s="1310" t="s">
        <v>1633</v>
      </c>
      <c r="AD409" s="1310" t="s">
        <v>1520</v>
      </c>
      <c r="AE409" s="1310" t="s">
        <v>111</v>
      </c>
      <c r="AF409" s="1310" t="s">
        <v>1520</v>
      </c>
    </row>
    <row r="410" spans="1:32" x14ac:dyDescent="0.3">
      <c r="A410" s="1310" t="s">
        <v>1552</v>
      </c>
      <c r="B410" s="1310" t="s">
        <v>1455</v>
      </c>
      <c r="C410" s="1310" t="s">
        <v>1573</v>
      </c>
      <c r="D410" s="1310" t="s">
        <v>1455</v>
      </c>
      <c r="E410" s="1310" t="s">
        <v>1629</v>
      </c>
      <c r="F410" s="1310" t="s">
        <v>1455</v>
      </c>
      <c r="G410" s="1310" t="s">
        <v>1531</v>
      </c>
      <c r="H410" s="1310" t="s">
        <v>1532</v>
      </c>
      <c r="I410" s="1310" t="s">
        <v>1502</v>
      </c>
      <c r="J410" s="1310" t="s">
        <v>1532</v>
      </c>
      <c r="K410" s="1310" t="s">
        <v>1565</v>
      </c>
      <c r="L410" s="1310" t="s">
        <v>1532</v>
      </c>
      <c r="M410" s="1310" t="s">
        <v>1626</v>
      </c>
      <c r="N410" s="1310" t="s">
        <v>1473</v>
      </c>
      <c r="O410" s="1310" t="s">
        <v>1497</v>
      </c>
      <c r="P410" s="1310" t="s">
        <v>1473</v>
      </c>
      <c r="Q410" s="1310" t="s">
        <v>1544</v>
      </c>
      <c r="R410" s="1310" t="s">
        <v>1473</v>
      </c>
      <c r="S410" s="1310" t="s">
        <v>1579</v>
      </c>
      <c r="T410" s="1310" t="s">
        <v>1475</v>
      </c>
      <c r="U410" s="1310" t="s">
        <v>1627</v>
      </c>
      <c r="V410" s="1310" t="s">
        <v>1475</v>
      </c>
      <c r="W410" s="1310" t="s">
        <v>1529</v>
      </c>
      <c r="X410" s="1310" t="s">
        <v>1475</v>
      </c>
      <c r="Y410" s="1310" t="s">
        <v>1570</v>
      </c>
      <c r="Z410" s="1310" t="s">
        <v>1449</v>
      </c>
      <c r="AA410" s="1310" t="s">
        <v>1627</v>
      </c>
      <c r="AB410" s="1310" t="s">
        <v>1449</v>
      </c>
      <c r="AC410" s="1310" t="s">
        <v>1529</v>
      </c>
      <c r="AD410" s="1310" t="s">
        <v>1449</v>
      </c>
      <c r="AE410" s="1310" t="s">
        <v>1496</v>
      </c>
      <c r="AF410" s="1310" t="s">
        <v>1564</v>
      </c>
    </row>
    <row r="411" spans="1:32" x14ac:dyDescent="0.3">
      <c r="A411" s="1310" t="s">
        <v>1627</v>
      </c>
      <c r="B411" s="1310" t="s">
        <v>1564</v>
      </c>
      <c r="C411" s="1310" t="s">
        <v>1537</v>
      </c>
      <c r="D411" s="1310" t="s">
        <v>1564</v>
      </c>
      <c r="E411" s="1310" t="s">
        <v>1579</v>
      </c>
      <c r="F411" s="1310" t="s">
        <v>1478</v>
      </c>
      <c r="G411" s="1310" t="s">
        <v>1517</v>
      </c>
      <c r="H411" s="1310" t="s">
        <v>1478</v>
      </c>
      <c r="I411" s="1310" t="s">
        <v>1556</v>
      </c>
      <c r="J411" s="1310" t="s">
        <v>1478</v>
      </c>
      <c r="K411" s="1310" t="s">
        <v>1621</v>
      </c>
      <c r="L411" s="1310" t="s">
        <v>1448</v>
      </c>
      <c r="M411" s="1310" t="s">
        <v>1502</v>
      </c>
      <c r="N411" s="1310" t="s">
        <v>1448</v>
      </c>
      <c r="O411" s="1310" t="s">
        <v>1463</v>
      </c>
      <c r="P411" s="1310" t="s">
        <v>1448</v>
      </c>
      <c r="Q411" s="1310" t="s">
        <v>130</v>
      </c>
      <c r="R411" s="1310" t="s">
        <v>1457</v>
      </c>
      <c r="S411" s="1310" t="s">
        <v>1498</v>
      </c>
      <c r="T411" s="1310" t="s">
        <v>1457</v>
      </c>
      <c r="U411" s="1310" t="s">
        <v>1602</v>
      </c>
      <c r="V411" s="1310" t="s">
        <v>1457</v>
      </c>
      <c r="W411" s="1310" t="s">
        <v>1571</v>
      </c>
      <c r="X411" s="1310" t="s">
        <v>1596</v>
      </c>
      <c r="Y411" s="1310" t="s">
        <v>1633</v>
      </c>
      <c r="Z411" s="1310" t="s">
        <v>1596</v>
      </c>
      <c r="AA411" s="1310" t="s">
        <v>1566</v>
      </c>
      <c r="AB411" s="1310" t="s">
        <v>1596</v>
      </c>
      <c r="AC411" s="1310" t="s">
        <v>1443</v>
      </c>
      <c r="AD411" s="1310" t="s">
        <v>1482</v>
      </c>
      <c r="AE411" s="1310" t="s">
        <v>1488</v>
      </c>
      <c r="AF411" s="1310" t="s">
        <v>1482</v>
      </c>
    </row>
    <row r="412" spans="1:32" x14ac:dyDescent="0.3">
      <c r="A412" s="1310" t="s">
        <v>1583</v>
      </c>
      <c r="B412" s="1310" t="s">
        <v>1483</v>
      </c>
      <c r="C412" s="1310" t="s">
        <v>269</v>
      </c>
      <c r="D412" s="1310" t="s">
        <v>1483</v>
      </c>
      <c r="E412" s="1310" t="s">
        <v>1582</v>
      </c>
      <c r="F412" s="1310" t="s">
        <v>1483</v>
      </c>
      <c r="G412" s="1310" t="s">
        <v>1604</v>
      </c>
      <c r="H412" s="1310" t="s">
        <v>1484</v>
      </c>
      <c r="I412" s="1310" t="s">
        <v>1453</v>
      </c>
      <c r="J412" s="1310" t="s">
        <v>1484</v>
      </c>
      <c r="K412" s="1310" t="s">
        <v>1596</v>
      </c>
      <c r="L412" s="1310" t="s">
        <v>1484</v>
      </c>
      <c r="M412" s="1310" t="s">
        <v>129</v>
      </c>
      <c r="N412" s="1310" t="s">
        <v>1474</v>
      </c>
      <c r="O412" s="1310" t="s">
        <v>1613</v>
      </c>
      <c r="P412" s="1310" t="s">
        <v>1474</v>
      </c>
      <c r="Q412" s="1310" t="s">
        <v>1447</v>
      </c>
      <c r="R412" s="1310" t="s">
        <v>1474</v>
      </c>
      <c r="S412" s="1310" t="s">
        <v>121</v>
      </c>
      <c r="T412" s="1310" t="s">
        <v>1481</v>
      </c>
      <c r="U412" s="1310" t="s">
        <v>1657</v>
      </c>
      <c r="V412" s="1310" t="s">
        <v>1481</v>
      </c>
      <c r="W412" s="1310" t="s">
        <v>1555</v>
      </c>
      <c r="X412" s="1310" t="s">
        <v>1481</v>
      </c>
      <c r="Y412" s="1310" t="s">
        <v>1656</v>
      </c>
      <c r="Z412" s="1310" t="s">
        <v>1521</v>
      </c>
      <c r="AA412" s="1310" t="s">
        <v>1491</v>
      </c>
      <c r="AB412" s="1310" t="s">
        <v>1521</v>
      </c>
      <c r="AC412" s="1310" t="s">
        <v>1546</v>
      </c>
      <c r="AD412" s="1310" t="s">
        <v>1521</v>
      </c>
      <c r="AE412" s="1310" t="s">
        <v>1531</v>
      </c>
      <c r="AF412" s="1310" t="s">
        <v>1460</v>
      </c>
    </row>
    <row r="413" spans="1:32" x14ac:dyDescent="0.3">
      <c r="A413" s="1310" t="s">
        <v>1653</v>
      </c>
      <c r="B413" s="1310" t="s">
        <v>1460</v>
      </c>
      <c r="C413" s="1310" t="s">
        <v>1557</v>
      </c>
      <c r="D413" s="1310" t="s">
        <v>1480</v>
      </c>
      <c r="E413" s="1310" t="s">
        <v>262</v>
      </c>
      <c r="F413" s="1310" t="s">
        <v>1480</v>
      </c>
      <c r="G413" s="1310" t="s">
        <v>1644</v>
      </c>
      <c r="H413" s="1310" t="s">
        <v>1480</v>
      </c>
      <c r="I413" s="1310" t="s">
        <v>1589</v>
      </c>
      <c r="J413" s="1310" t="s">
        <v>1479</v>
      </c>
      <c r="K413" s="1310" t="s">
        <v>1462</v>
      </c>
      <c r="L413" s="1310" t="s">
        <v>1479</v>
      </c>
      <c r="M413" s="1310" t="s">
        <v>1481</v>
      </c>
      <c r="N413" s="1310" t="s">
        <v>1479</v>
      </c>
      <c r="O413" s="1310" t="s">
        <v>1648</v>
      </c>
      <c r="P413" s="1310" t="s">
        <v>1542</v>
      </c>
      <c r="Q413" s="1310" t="s">
        <v>1458</v>
      </c>
      <c r="R413" s="1310" t="s">
        <v>1542</v>
      </c>
      <c r="S413" s="1310" t="s">
        <v>1545</v>
      </c>
      <c r="T413" s="1310" t="s">
        <v>1542</v>
      </c>
      <c r="U413" s="1310" t="s">
        <v>125</v>
      </c>
      <c r="V413" s="1310" t="s">
        <v>1554</v>
      </c>
      <c r="W413" s="1310" t="s">
        <v>1608</v>
      </c>
      <c r="X413" s="1310" t="s">
        <v>1554</v>
      </c>
      <c r="Y413" s="1310" t="s">
        <v>1646</v>
      </c>
      <c r="Z413" s="1310" t="s">
        <v>1554</v>
      </c>
      <c r="AA413" s="1310" t="s">
        <v>1612</v>
      </c>
      <c r="AB413" s="1310" t="s">
        <v>1489</v>
      </c>
      <c r="AC413" s="1310" t="s">
        <v>1553</v>
      </c>
      <c r="AD413" s="1310" t="s">
        <v>1489</v>
      </c>
      <c r="AE413" s="1310" t="s">
        <v>116</v>
      </c>
      <c r="AF413" s="1310" t="s">
        <v>1447</v>
      </c>
    </row>
    <row r="414" spans="1:32" x14ac:dyDescent="0.3">
      <c r="A414" s="1310" t="s">
        <v>1507</v>
      </c>
      <c r="B414" s="1310" t="s">
        <v>1447</v>
      </c>
      <c r="C414" s="1310" t="s">
        <v>1484</v>
      </c>
      <c r="D414" s="1310" t="s">
        <v>1447</v>
      </c>
      <c r="E414" s="1310" t="s">
        <v>1648</v>
      </c>
      <c r="F414" s="1310" t="s">
        <v>1585</v>
      </c>
      <c r="G414" s="1310" t="s">
        <v>1452</v>
      </c>
      <c r="H414" s="1310" t="s">
        <v>1585</v>
      </c>
      <c r="I414" s="1310" t="s">
        <v>1609</v>
      </c>
      <c r="J414" s="1310" t="s">
        <v>1585</v>
      </c>
      <c r="K414" s="1310" t="s">
        <v>1570</v>
      </c>
      <c r="L414" s="1310" t="s">
        <v>1610</v>
      </c>
      <c r="M414" s="1310" t="s">
        <v>1543</v>
      </c>
      <c r="N414" s="1310" t="s">
        <v>1610</v>
      </c>
      <c r="O414" s="1310" t="s">
        <v>1547</v>
      </c>
      <c r="P414" s="1310" t="s">
        <v>1620</v>
      </c>
      <c r="Q414" s="1310" t="s">
        <v>265</v>
      </c>
      <c r="R414" s="1310" t="s">
        <v>1620</v>
      </c>
      <c r="S414" s="1310" t="s">
        <v>1532</v>
      </c>
      <c r="T414" s="1310" t="s">
        <v>1620</v>
      </c>
      <c r="U414" s="1310" t="s">
        <v>119</v>
      </c>
      <c r="V414" s="1310" t="s">
        <v>1605</v>
      </c>
      <c r="W414" s="1310" t="s">
        <v>1518</v>
      </c>
      <c r="X414" s="1310" t="s">
        <v>1605</v>
      </c>
      <c r="Y414" s="1310" t="s">
        <v>1522</v>
      </c>
      <c r="Z414" s="1310" t="s">
        <v>1605</v>
      </c>
      <c r="AA414" s="1310" t="s">
        <v>125</v>
      </c>
      <c r="AB414" s="1310" t="s">
        <v>1623</v>
      </c>
      <c r="AC414" s="1310" t="s">
        <v>1472</v>
      </c>
      <c r="AD414" s="1310" t="s">
        <v>1623</v>
      </c>
      <c r="AE414" s="1310" t="s">
        <v>110</v>
      </c>
      <c r="AF414" s="1310" t="s">
        <v>1647</v>
      </c>
    </row>
    <row r="415" spans="1:32" x14ac:dyDescent="0.3">
      <c r="A415" s="1310" t="s">
        <v>262</v>
      </c>
      <c r="B415" s="1310" t="s">
        <v>1647</v>
      </c>
      <c r="C415" s="1310" t="s">
        <v>1455</v>
      </c>
      <c r="D415" s="1310" t="s">
        <v>1647</v>
      </c>
      <c r="E415" s="1310" t="s">
        <v>119</v>
      </c>
      <c r="F415" s="1310" t="s">
        <v>1580</v>
      </c>
      <c r="G415" s="1310" t="s">
        <v>1525</v>
      </c>
      <c r="H415" s="1310" t="s">
        <v>1580</v>
      </c>
      <c r="I415" s="1310" t="s">
        <v>1506</v>
      </c>
      <c r="J415" s="1310" t="s">
        <v>1580</v>
      </c>
      <c r="K415" s="1310" t="s">
        <v>1551</v>
      </c>
      <c r="L415" s="1310" t="s">
        <v>1469</v>
      </c>
      <c r="M415" s="1310" t="s">
        <v>1563</v>
      </c>
      <c r="N415" s="1310" t="s">
        <v>1469</v>
      </c>
      <c r="O415" s="1310" t="s">
        <v>1628</v>
      </c>
      <c r="P415" s="1310" t="s">
        <v>1522</v>
      </c>
      <c r="Q415" s="1310" t="s">
        <v>1467</v>
      </c>
      <c r="R415" s="1310" t="s">
        <v>1522</v>
      </c>
      <c r="S415" s="1310" t="s">
        <v>1596</v>
      </c>
      <c r="T415" s="1310" t="s">
        <v>1522</v>
      </c>
      <c r="U415" s="1310" t="s">
        <v>1640</v>
      </c>
      <c r="V415" s="1310" t="s">
        <v>1445</v>
      </c>
      <c r="W415" s="1310" t="s">
        <v>1487</v>
      </c>
      <c r="X415" s="1310" t="s">
        <v>1445</v>
      </c>
      <c r="Y415" s="1310" t="s">
        <v>1529</v>
      </c>
      <c r="Z415" s="1310" t="s">
        <v>1445</v>
      </c>
      <c r="AA415" s="1310" t="s">
        <v>133</v>
      </c>
      <c r="AB415" s="1310" t="s">
        <v>1534</v>
      </c>
      <c r="AC415" s="1310" t="s">
        <v>1488</v>
      </c>
      <c r="AD415" s="1310" t="s">
        <v>1534</v>
      </c>
      <c r="AE415" s="1310" t="s">
        <v>1581</v>
      </c>
      <c r="AF415" s="1310" t="s">
        <v>1506</v>
      </c>
    </row>
    <row r="416" spans="1:32" x14ac:dyDescent="0.3">
      <c r="A416" s="1310" t="s">
        <v>1598</v>
      </c>
      <c r="B416" s="1310" t="s">
        <v>1506</v>
      </c>
      <c r="C416" s="1310" t="s">
        <v>1469</v>
      </c>
      <c r="D416" s="1310" t="s">
        <v>1506</v>
      </c>
      <c r="E416" s="1310" t="s">
        <v>127</v>
      </c>
      <c r="F416" s="1310" t="s">
        <v>1545</v>
      </c>
      <c r="G416" s="1310" t="s">
        <v>1563</v>
      </c>
      <c r="H416" s="1310" t="s">
        <v>1545</v>
      </c>
      <c r="I416" s="1310" t="s">
        <v>465</v>
      </c>
      <c r="J416" s="1310" t="s">
        <v>1555</v>
      </c>
      <c r="K416" s="1310" t="s">
        <v>1504</v>
      </c>
      <c r="L416" s="1310" t="s">
        <v>1555</v>
      </c>
      <c r="M416" s="1310" t="s">
        <v>1460</v>
      </c>
      <c r="N416" s="1310" t="s">
        <v>1555</v>
      </c>
      <c r="O416" s="1310" t="s">
        <v>1569</v>
      </c>
      <c r="P416" s="1310" t="s">
        <v>1464</v>
      </c>
      <c r="Q416" s="1310" t="s">
        <v>1618</v>
      </c>
      <c r="R416" s="1310" t="s">
        <v>1464</v>
      </c>
      <c r="S416" s="1310" t="s">
        <v>1602</v>
      </c>
      <c r="T416" s="1310" t="s">
        <v>1593</v>
      </c>
      <c r="U416" s="1310" t="s">
        <v>265</v>
      </c>
      <c r="V416" s="1310" t="s">
        <v>1593</v>
      </c>
      <c r="W416" s="1310" t="s">
        <v>1448</v>
      </c>
      <c r="X416" s="1310" t="s">
        <v>1593</v>
      </c>
      <c r="Y416" s="1310" t="s">
        <v>1601</v>
      </c>
      <c r="Z416" s="1310" t="s">
        <v>1609</v>
      </c>
      <c r="AA416" s="1310" t="s">
        <v>1494</v>
      </c>
      <c r="AB416" s="1310" t="s">
        <v>1609</v>
      </c>
      <c r="AC416" s="1310" t="s">
        <v>1649</v>
      </c>
      <c r="AD416" s="1310" t="s">
        <v>1609</v>
      </c>
      <c r="AE416" s="1310" t="s">
        <v>1636</v>
      </c>
      <c r="AF416" s="1310" t="s">
        <v>1632</v>
      </c>
    </row>
    <row r="417" spans="1:32" x14ac:dyDescent="0.3">
      <c r="A417" s="1310" t="s">
        <v>1473</v>
      </c>
      <c r="B417" s="1310" t="s">
        <v>1632</v>
      </c>
      <c r="C417" s="1310" t="s">
        <v>1615</v>
      </c>
      <c r="D417" s="1310" t="s">
        <v>1584</v>
      </c>
      <c r="E417" s="1310" t="s">
        <v>1487</v>
      </c>
      <c r="F417" s="1310" t="s">
        <v>1584</v>
      </c>
      <c r="G417" s="1310" t="s">
        <v>1556</v>
      </c>
      <c r="H417" s="1310" t="s">
        <v>1584</v>
      </c>
      <c r="I417" s="1310" t="s">
        <v>1468</v>
      </c>
      <c r="J417" s="1310" t="s">
        <v>1642</v>
      </c>
      <c r="K417" s="1310" t="s">
        <v>1532</v>
      </c>
      <c r="L417" s="1310" t="s">
        <v>1642</v>
      </c>
      <c r="M417" s="1310" t="s">
        <v>1615</v>
      </c>
      <c r="N417" s="1310" t="s">
        <v>1595</v>
      </c>
      <c r="O417" s="1310" t="s">
        <v>1459</v>
      </c>
      <c r="P417" s="1310" t="s">
        <v>1595</v>
      </c>
      <c r="Q417" s="1310" t="s">
        <v>1606</v>
      </c>
      <c r="R417" s="1310" t="s">
        <v>1595</v>
      </c>
      <c r="S417" s="1310" t="s">
        <v>1443</v>
      </c>
      <c r="T417" s="1310" t="s">
        <v>1592</v>
      </c>
      <c r="U417" s="1310" t="s">
        <v>1449</v>
      </c>
      <c r="V417" s="1310" t="s">
        <v>1592</v>
      </c>
      <c r="W417" s="1310" t="s">
        <v>1601</v>
      </c>
      <c r="X417" s="1310" t="s">
        <v>1590</v>
      </c>
      <c r="Y417" s="1310" t="s">
        <v>1539</v>
      </c>
      <c r="Z417" s="1310" t="s">
        <v>1590</v>
      </c>
      <c r="AA417" s="1310" t="s">
        <v>1594</v>
      </c>
      <c r="AB417" s="1310" t="s">
        <v>1578</v>
      </c>
      <c r="AC417" s="1310" t="s">
        <v>268</v>
      </c>
      <c r="AD417" s="1310" t="s">
        <v>1578</v>
      </c>
      <c r="AE417" s="1310" t="s">
        <v>1484</v>
      </c>
      <c r="AF417" s="1310" t="s">
        <v>1578</v>
      </c>
    </row>
    <row r="418" spans="1:32" x14ac:dyDescent="0.3">
      <c r="A418" s="1310" t="s">
        <v>1560</v>
      </c>
      <c r="B418" s="1310" t="s">
        <v>1523</v>
      </c>
      <c r="C418" s="1310" t="s">
        <v>1517</v>
      </c>
      <c r="D418" s="1310" t="s">
        <v>1523</v>
      </c>
      <c r="E418" s="1310" t="s">
        <v>1628</v>
      </c>
      <c r="F418" s="1310" t="s">
        <v>1529</v>
      </c>
      <c r="G418" s="1310" t="s">
        <v>1507</v>
      </c>
      <c r="H418" s="1310" t="s">
        <v>1529</v>
      </c>
      <c r="I418" s="1310" t="s">
        <v>1610</v>
      </c>
      <c r="J418" s="1310" t="s">
        <v>1529</v>
      </c>
      <c r="K418" s="1310" t="s">
        <v>127</v>
      </c>
      <c r="L418" s="1310" t="s">
        <v>1537</v>
      </c>
      <c r="M418" s="1310" t="s">
        <v>1451</v>
      </c>
      <c r="N418" s="1310" t="s">
        <v>1537</v>
      </c>
      <c r="O418" s="1310" t="s">
        <v>1558</v>
      </c>
      <c r="P418" s="1310" t="s">
        <v>1544</v>
      </c>
      <c r="Q418" s="1310" t="s">
        <v>1476</v>
      </c>
      <c r="R418" s="1310" t="s">
        <v>1544</v>
      </c>
      <c r="S418" s="1310" t="s">
        <v>1632</v>
      </c>
      <c r="T418" s="1310" t="s">
        <v>1544</v>
      </c>
      <c r="U418" s="1310" t="s">
        <v>133</v>
      </c>
      <c r="V418" s="1310" t="s">
        <v>1546</v>
      </c>
      <c r="W418" s="1310" t="s">
        <v>1501</v>
      </c>
      <c r="X418" s="1310" t="s">
        <v>1546</v>
      </c>
      <c r="Y418" s="1310" t="s">
        <v>1643</v>
      </c>
      <c r="Z418" s="1310" t="s">
        <v>1556</v>
      </c>
      <c r="AA418" s="1310" t="s">
        <v>1493</v>
      </c>
      <c r="AB418" s="1310" t="s">
        <v>1556</v>
      </c>
      <c r="AC418" s="1310" t="s">
        <v>1602</v>
      </c>
      <c r="AD418" s="1310" t="s">
        <v>1565</v>
      </c>
      <c r="AE418" s="1310" t="s">
        <v>1467</v>
      </c>
      <c r="AF418" s="1310" t="s">
        <v>1565</v>
      </c>
    </row>
    <row r="419" spans="1:32" x14ac:dyDescent="0.3">
      <c r="A419" s="1310" t="s">
        <v>1542</v>
      </c>
      <c r="B419" s="1310" t="s">
        <v>1565</v>
      </c>
      <c r="C419" s="1310" t="s">
        <v>1656</v>
      </c>
      <c r="D419" s="1310" t="s">
        <v>1606</v>
      </c>
      <c r="E419" s="1310" t="s">
        <v>1651</v>
      </c>
      <c r="F419" s="1310" t="s">
        <v>1606</v>
      </c>
      <c r="G419" s="1310" t="s">
        <v>1589</v>
      </c>
      <c r="H419" s="1310" t="s">
        <v>1649</v>
      </c>
      <c r="I419" s="1310" t="s">
        <v>1526</v>
      </c>
      <c r="J419" s="1310" t="s">
        <v>1649</v>
      </c>
      <c r="K419" s="1310" t="s">
        <v>1578</v>
      </c>
      <c r="L419" s="1310" t="s">
        <v>1649</v>
      </c>
      <c r="M419" s="1310" t="s">
        <v>1468</v>
      </c>
      <c r="N419" s="1310" t="s">
        <v>1463</v>
      </c>
      <c r="O419" s="1310" t="s">
        <v>1478</v>
      </c>
      <c r="P419" s="1310" t="s">
        <v>1463</v>
      </c>
      <c r="Q419" s="1310" t="s">
        <v>1550</v>
      </c>
      <c r="R419" s="1310" t="s">
        <v>1646</v>
      </c>
      <c r="S419" s="1310" t="s">
        <v>1524</v>
      </c>
      <c r="T419" s="1310" t="s">
        <v>1646</v>
      </c>
      <c r="U419" s="1310" t="s">
        <v>1583</v>
      </c>
      <c r="V419" s="1310" t="s">
        <v>1629</v>
      </c>
      <c r="W419" s="1310" t="s">
        <v>1658</v>
      </c>
      <c r="X419" s="1310" t="s">
        <v>1629</v>
      </c>
      <c r="Y419" s="1310" t="s">
        <v>1609</v>
      </c>
      <c r="Z419" s="1310" t="s">
        <v>1629</v>
      </c>
      <c r="AA419" s="1310" t="s">
        <v>1571</v>
      </c>
      <c r="AB419" s="1310" t="s">
        <v>1630</v>
      </c>
      <c r="AC419" s="1310" t="s">
        <v>1473</v>
      </c>
      <c r="AD419" s="1310" t="s">
        <v>1630</v>
      </c>
      <c r="AE419" s="1310" t="s">
        <v>122</v>
      </c>
      <c r="AF419" s="1310" t="s">
        <v>1594</v>
      </c>
    </row>
    <row r="420" spans="1:32" x14ac:dyDescent="0.3">
      <c r="A420" s="1310" t="s">
        <v>1497</v>
      </c>
      <c r="B420" s="1310" t="s">
        <v>1594</v>
      </c>
      <c r="C420" s="1310" t="s">
        <v>1635</v>
      </c>
      <c r="D420" s="1310" t="s">
        <v>1602</v>
      </c>
      <c r="E420" s="1310" t="s">
        <v>1598</v>
      </c>
      <c r="F420" s="1310" t="s">
        <v>1602</v>
      </c>
      <c r="G420" s="1310" t="s">
        <v>1584</v>
      </c>
      <c r="H420" s="1310" t="s">
        <v>1602</v>
      </c>
      <c r="I420" s="1310" t="s">
        <v>1577</v>
      </c>
      <c r="J420" s="1310" t="s">
        <v>1495</v>
      </c>
      <c r="K420" s="1310" t="s">
        <v>1448</v>
      </c>
      <c r="L420" s="1310" t="s">
        <v>1495</v>
      </c>
      <c r="M420" s="1310" t="s">
        <v>1444</v>
      </c>
      <c r="N420" s="1310" t="s">
        <v>110</v>
      </c>
      <c r="O420" s="1310" t="s">
        <v>1563</v>
      </c>
      <c r="P420" s="1310" t="s">
        <v>110</v>
      </c>
      <c r="Q420" s="1310" t="s">
        <v>1558</v>
      </c>
      <c r="R420" s="1310" t="s">
        <v>111</v>
      </c>
      <c r="S420" s="1310" t="s">
        <v>1535</v>
      </c>
      <c r="T420" s="1310" t="s">
        <v>111</v>
      </c>
      <c r="U420" s="1310" t="s">
        <v>1556</v>
      </c>
      <c r="V420" s="1310" t="s">
        <v>112</v>
      </c>
      <c r="W420" s="1310" t="s">
        <v>268</v>
      </c>
      <c r="X420" s="1310" t="s">
        <v>112</v>
      </c>
      <c r="Y420" s="1310" t="s">
        <v>1554</v>
      </c>
      <c r="Z420" s="1310" t="s">
        <v>112</v>
      </c>
      <c r="AA420" s="1310" t="s">
        <v>1561</v>
      </c>
      <c r="AB420" s="1310" t="s">
        <v>113</v>
      </c>
      <c r="AC420" s="1310" t="s">
        <v>1553</v>
      </c>
      <c r="AD420" s="1310" t="s">
        <v>113</v>
      </c>
      <c r="AE420" s="1310" t="s">
        <v>1568</v>
      </c>
      <c r="AF420" s="1310" t="s">
        <v>1547</v>
      </c>
    </row>
    <row r="421" spans="1:32" x14ac:dyDescent="0.3">
      <c r="A421" s="1310" t="s">
        <v>1574</v>
      </c>
      <c r="B421" s="1310" t="s">
        <v>1547</v>
      </c>
      <c r="C421" s="1310" t="s">
        <v>1591</v>
      </c>
      <c r="D421" s="1310" t="s">
        <v>1557</v>
      </c>
      <c r="E421" s="1310" t="s">
        <v>1454</v>
      </c>
      <c r="F421" s="1310" t="s">
        <v>1557</v>
      </c>
      <c r="G421" s="1310" t="s">
        <v>1584</v>
      </c>
      <c r="H421" s="1310" t="s">
        <v>1557</v>
      </c>
      <c r="I421" s="1310" t="s">
        <v>1639</v>
      </c>
      <c r="J421" s="1310" t="s">
        <v>1566</v>
      </c>
      <c r="K421" s="1310" t="s">
        <v>1484</v>
      </c>
      <c r="L421" s="1310" t="s">
        <v>1566</v>
      </c>
      <c r="M421" s="1310" t="s">
        <v>1656</v>
      </c>
      <c r="N421" s="1310" t="s">
        <v>1628</v>
      </c>
      <c r="O421" s="1310" t="s">
        <v>1527</v>
      </c>
      <c r="P421" s="1310" t="s">
        <v>1628</v>
      </c>
      <c r="Q421" s="1310" t="s">
        <v>129</v>
      </c>
      <c r="R421" s="1310" t="s">
        <v>1591</v>
      </c>
      <c r="S421" s="1310" t="s">
        <v>1485</v>
      </c>
      <c r="T421" s="1310" t="s">
        <v>1591</v>
      </c>
      <c r="U421" s="1310" t="s">
        <v>1591</v>
      </c>
      <c r="V421" s="1310" t="s">
        <v>1616</v>
      </c>
      <c r="W421" s="1310" t="s">
        <v>1658</v>
      </c>
      <c r="X421" s="1310" t="s">
        <v>1616</v>
      </c>
      <c r="Y421" s="1310" t="s">
        <v>1590</v>
      </c>
      <c r="Z421" s="1310" t="s">
        <v>465</v>
      </c>
      <c r="AA421" s="1310" t="s">
        <v>263</v>
      </c>
      <c r="AB421" s="1310" t="s">
        <v>465</v>
      </c>
      <c r="AC421" s="1310" t="s">
        <v>1542</v>
      </c>
      <c r="AD421" s="1310" t="s">
        <v>465</v>
      </c>
      <c r="AE421" s="1310" t="s">
        <v>1579</v>
      </c>
      <c r="AF421" s="1310" t="s">
        <v>1027</v>
      </c>
    </row>
    <row r="422" spans="1:32" x14ac:dyDescent="0.3">
      <c r="A422" s="1310" t="s">
        <v>1576</v>
      </c>
      <c r="B422" s="1310" t="s">
        <v>1027</v>
      </c>
      <c r="C422" s="1310" t="s">
        <v>1634</v>
      </c>
      <c r="D422" s="1310" t="s">
        <v>1611</v>
      </c>
      <c r="E422" s="1310" t="s">
        <v>1536</v>
      </c>
      <c r="F422" s="1310" t="s">
        <v>1611</v>
      </c>
      <c r="G422" s="1310" t="s">
        <v>1589</v>
      </c>
      <c r="H422" s="1310" t="s">
        <v>1635</v>
      </c>
      <c r="I422" s="1310" t="s">
        <v>1654</v>
      </c>
      <c r="J422" s="1310" t="s">
        <v>1635</v>
      </c>
      <c r="K422" s="1310" t="s">
        <v>110</v>
      </c>
      <c r="L422" s="1310" t="s">
        <v>1583</v>
      </c>
      <c r="M422" s="1310" t="s">
        <v>1533</v>
      </c>
      <c r="N422" s="1310" t="s">
        <v>1583</v>
      </c>
      <c r="O422" s="1310" t="s">
        <v>1584</v>
      </c>
      <c r="P422" s="1310" t="s">
        <v>1465</v>
      </c>
      <c r="Q422" s="1310" t="s">
        <v>1450</v>
      </c>
      <c r="R422" s="1310" t="s">
        <v>1465</v>
      </c>
      <c r="S422" s="1310" t="s">
        <v>1542</v>
      </c>
      <c r="T422" s="1310" t="s">
        <v>1465</v>
      </c>
      <c r="U422" s="1310" t="s">
        <v>1638</v>
      </c>
      <c r="V422" s="1310" t="s">
        <v>114</v>
      </c>
      <c r="W422" s="1310" t="s">
        <v>1582</v>
      </c>
      <c r="X422" s="1310" t="s">
        <v>114</v>
      </c>
      <c r="Y422" s="1310" t="s">
        <v>1560</v>
      </c>
      <c r="Z422" s="1310" t="s">
        <v>115</v>
      </c>
      <c r="AA422" s="1310" t="s">
        <v>1653</v>
      </c>
      <c r="AB422" s="1310" t="s">
        <v>115</v>
      </c>
      <c r="AC422" s="1310" t="s">
        <v>119</v>
      </c>
      <c r="AD422" s="1310" t="s">
        <v>116</v>
      </c>
      <c r="AE422" s="1310" t="s">
        <v>1574</v>
      </c>
      <c r="AF422" s="1310" t="s">
        <v>116</v>
      </c>
    </row>
    <row r="423" spans="1:32" x14ac:dyDescent="0.3">
      <c r="A423" s="1310" t="s">
        <v>1635</v>
      </c>
      <c r="B423" s="1310" t="s">
        <v>117</v>
      </c>
      <c r="C423" s="1310" t="s">
        <v>1528</v>
      </c>
      <c r="D423" s="1310" t="s">
        <v>117</v>
      </c>
      <c r="E423" s="1310" t="s">
        <v>1629</v>
      </c>
      <c r="F423" s="1310" t="s">
        <v>1548</v>
      </c>
      <c r="G423" s="1310" t="s">
        <v>1512</v>
      </c>
      <c r="H423" s="1310" t="s">
        <v>1548</v>
      </c>
      <c r="I423" s="1310" t="s">
        <v>1632</v>
      </c>
      <c r="J423" s="1310" t="s">
        <v>1558</v>
      </c>
      <c r="K423" s="1310" t="s">
        <v>262</v>
      </c>
      <c r="L423" s="1310" t="s">
        <v>1558</v>
      </c>
      <c r="M423" s="1310" t="s">
        <v>1585</v>
      </c>
      <c r="N423" s="1310" t="s">
        <v>1558</v>
      </c>
      <c r="O423" s="1310" t="s">
        <v>1531</v>
      </c>
      <c r="P423" s="1310" t="s">
        <v>1567</v>
      </c>
      <c r="Q423" s="1310" t="s">
        <v>1478</v>
      </c>
      <c r="R423" s="1310" t="s">
        <v>1567</v>
      </c>
      <c r="S423" s="1310" t="s">
        <v>1656</v>
      </c>
      <c r="T423" s="1310" t="s">
        <v>1589</v>
      </c>
      <c r="U423" s="1310" t="s">
        <v>1599</v>
      </c>
      <c r="V423" s="1310" t="s">
        <v>1589</v>
      </c>
      <c r="W423" s="1310" t="s">
        <v>121</v>
      </c>
      <c r="X423" s="1310" t="s">
        <v>1604</v>
      </c>
      <c r="Y423" s="1310" t="s">
        <v>1652</v>
      </c>
      <c r="Z423" s="1310" t="s">
        <v>1604</v>
      </c>
      <c r="AA423" s="1310" t="s">
        <v>119</v>
      </c>
      <c r="AB423" s="1310" t="s">
        <v>1581</v>
      </c>
      <c r="AC423" s="1310" t="s">
        <v>1618</v>
      </c>
      <c r="AD423" s="1310" t="s">
        <v>1581</v>
      </c>
      <c r="AE423" s="1310" t="s">
        <v>1548</v>
      </c>
      <c r="AF423" s="1310" t="s">
        <v>1600</v>
      </c>
    </row>
    <row r="424" spans="1:32" x14ac:dyDescent="0.3">
      <c r="A424" s="1310" t="s">
        <v>1486</v>
      </c>
      <c r="B424" s="1310" t="s">
        <v>1600</v>
      </c>
      <c r="C424" s="1310" t="s">
        <v>1566</v>
      </c>
      <c r="D424" s="1310" t="s">
        <v>1655</v>
      </c>
      <c r="E424" s="1310" t="s">
        <v>1518</v>
      </c>
      <c r="F424" s="1310" t="s">
        <v>1655</v>
      </c>
      <c r="G424" s="1310" t="s">
        <v>1646</v>
      </c>
      <c r="H424" s="1310" t="s">
        <v>1587</v>
      </c>
      <c r="I424" s="1310" t="s">
        <v>1509</v>
      </c>
      <c r="J424" s="1310" t="s">
        <v>1587</v>
      </c>
      <c r="K424" s="1310" t="s">
        <v>1590</v>
      </c>
      <c r="L424" s="1310" t="s">
        <v>471</v>
      </c>
      <c r="M424" s="1310" t="s">
        <v>1467</v>
      </c>
      <c r="N424" s="1310" t="s">
        <v>471</v>
      </c>
      <c r="O424" s="1310" t="s">
        <v>1506</v>
      </c>
      <c r="P424" s="1310" t="s">
        <v>471</v>
      </c>
      <c r="Q424" s="1310" t="s">
        <v>1443</v>
      </c>
      <c r="R424" s="1310" t="s">
        <v>1575</v>
      </c>
      <c r="S424" s="1310" t="s">
        <v>1610</v>
      </c>
      <c r="T424" s="1310" t="s">
        <v>1575</v>
      </c>
      <c r="U424" s="1310" t="s">
        <v>1552</v>
      </c>
      <c r="V424" s="1310" t="s">
        <v>1514</v>
      </c>
      <c r="W424" s="1310" t="s">
        <v>1481</v>
      </c>
      <c r="X424" s="1310" t="s">
        <v>1514</v>
      </c>
      <c r="Y424" s="1310" t="s">
        <v>1621</v>
      </c>
      <c r="Z424" s="1310" t="s">
        <v>118</v>
      </c>
      <c r="AA424" s="1310" t="s">
        <v>1564</v>
      </c>
      <c r="AB424" s="1310" t="s">
        <v>118</v>
      </c>
      <c r="AC424" s="1310" t="s">
        <v>127</v>
      </c>
      <c r="AD424" s="1310" t="s">
        <v>119</v>
      </c>
      <c r="AE424" s="1310" t="s">
        <v>1501</v>
      </c>
      <c r="AF424" s="1310" t="s">
        <v>119</v>
      </c>
    </row>
    <row r="425" spans="1:32" x14ac:dyDescent="0.3">
      <c r="A425" s="1310" t="s">
        <v>1505</v>
      </c>
      <c r="B425" s="1310" t="s">
        <v>120</v>
      </c>
      <c r="C425" s="1310" t="s">
        <v>1588</v>
      </c>
      <c r="D425" s="1310" t="s">
        <v>120</v>
      </c>
      <c r="E425" s="1310" t="s">
        <v>124</v>
      </c>
      <c r="F425" s="1310" t="s">
        <v>129</v>
      </c>
      <c r="G425" s="1310" t="s">
        <v>1519</v>
      </c>
      <c r="H425" s="1310" t="s">
        <v>129</v>
      </c>
      <c r="I425" s="1310" t="s">
        <v>1601</v>
      </c>
      <c r="J425" s="1310" t="s">
        <v>1549</v>
      </c>
      <c r="K425" s="1310" t="s">
        <v>1653</v>
      </c>
      <c r="L425" s="1310" t="s">
        <v>1549</v>
      </c>
      <c r="M425" s="1310" t="s">
        <v>1650</v>
      </c>
      <c r="N425" s="1310" t="s">
        <v>1559</v>
      </c>
      <c r="O425" s="1310" t="s">
        <v>1543</v>
      </c>
      <c r="P425" s="1310" t="s">
        <v>1559</v>
      </c>
      <c r="Q425" s="1310" t="s">
        <v>120</v>
      </c>
      <c r="R425" s="1310" t="s">
        <v>1568</v>
      </c>
      <c r="S425" s="1310" t="s">
        <v>1472</v>
      </c>
      <c r="T425" s="1310" t="s">
        <v>1568</v>
      </c>
      <c r="U425" s="1310" t="s">
        <v>1575</v>
      </c>
      <c r="V425" s="1310" t="s">
        <v>1650</v>
      </c>
      <c r="W425" s="1310" t="s">
        <v>1627</v>
      </c>
      <c r="X425" s="1310" t="s">
        <v>1650</v>
      </c>
      <c r="Y425" s="1310" t="s">
        <v>1655</v>
      </c>
      <c r="Z425" s="1310" t="s">
        <v>1643</v>
      </c>
      <c r="AA425" s="1310" t="s">
        <v>1491</v>
      </c>
      <c r="AB425" s="1310" t="s">
        <v>1643</v>
      </c>
      <c r="AC425" s="1310" t="s">
        <v>1604</v>
      </c>
      <c r="AD425" s="1310" t="s">
        <v>1615</v>
      </c>
      <c r="AE425" s="1310" t="s">
        <v>1574</v>
      </c>
      <c r="AF425" s="1310" t="s">
        <v>1615</v>
      </c>
    </row>
    <row r="426" spans="1:32" x14ac:dyDescent="0.3">
      <c r="A426" s="1310" t="s">
        <v>1567</v>
      </c>
      <c r="B426" s="1310" t="s">
        <v>1637</v>
      </c>
      <c r="C426" s="1310" t="s">
        <v>1539</v>
      </c>
      <c r="D426" s="1310" t="s">
        <v>1637</v>
      </c>
      <c r="E426" s="1310" t="s">
        <v>1558</v>
      </c>
      <c r="F426" s="1310" t="s">
        <v>1648</v>
      </c>
      <c r="G426" s="1310" t="s">
        <v>1492</v>
      </c>
      <c r="H426" s="1310" t="s">
        <v>1648</v>
      </c>
      <c r="I426" s="1310" t="s">
        <v>1548</v>
      </c>
      <c r="J426" s="1310" t="s">
        <v>1640</v>
      </c>
      <c r="K426" s="1310" t="s">
        <v>1492</v>
      </c>
      <c r="L426" s="1310" t="s">
        <v>1640</v>
      </c>
      <c r="M426" s="1310" t="s">
        <v>1548</v>
      </c>
      <c r="N426" s="1310" t="s">
        <v>1601</v>
      </c>
      <c r="O426" s="1310" t="s">
        <v>1539</v>
      </c>
      <c r="P426" s="1310" t="s">
        <v>1601</v>
      </c>
      <c r="Q426" s="1310" t="s">
        <v>1558</v>
      </c>
      <c r="R426" s="1310" t="s">
        <v>1607</v>
      </c>
      <c r="S426" s="1310" t="s">
        <v>1485</v>
      </c>
      <c r="T426" s="1310" t="s">
        <v>1607</v>
      </c>
      <c r="U426" s="1310" t="s">
        <v>1589</v>
      </c>
      <c r="V426" s="1310" t="s">
        <v>1634</v>
      </c>
      <c r="W426" s="1310" t="s">
        <v>1631</v>
      </c>
      <c r="X426" s="1310" t="s">
        <v>1634</v>
      </c>
      <c r="Y426" s="1310" t="s">
        <v>1581</v>
      </c>
      <c r="Z426" s="1310" t="s">
        <v>121</v>
      </c>
      <c r="AA426" s="1310" t="s">
        <v>1660</v>
      </c>
      <c r="AB426" s="1310" t="s">
        <v>121</v>
      </c>
      <c r="AC426" s="1310" t="s">
        <v>471</v>
      </c>
      <c r="AD426" s="1310" t="s">
        <v>122</v>
      </c>
      <c r="AE426" s="1310" t="s">
        <v>1517</v>
      </c>
      <c r="AF426" s="1310" t="s">
        <v>122</v>
      </c>
    </row>
    <row r="427" spans="1:32" x14ac:dyDescent="0.3">
      <c r="A427" s="1310" t="s">
        <v>118</v>
      </c>
      <c r="B427" s="1310" t="s">
        <v>123</v>
      </c>
      <c r="C427" s="1310" t="s">
        <v>1536</v>
      </c>
      <c r="D427" s="1310" t="s">
        <v>123</v>
      </c>
      <c r="E427" s="1310" t="s">
        <v>1559</v>
      </c>
      <c r="F427" s="1310" t="s">
        <v>124</v>
      </c>
      <c r="G427" s="1310" t="s">
        <v>1573</v>
      </c>
      <c r="H427" s="1310" t="s">
        <v>124</v>
      </c>
      <c r="I427" s="1310" t="s">
        <v>1637</v>
      </c>
      <c r="J427" s="1310" t="s">
        <v>1550</v>
      </c>
      <c r="K427" s="1310" t="s">
        <v>1624</v>
      </c>
      <c r="L427" s="1310" t="s">
        <v>1550</v>
      </c>
      <c r="M427" s="1310" t="s">
        <v>121</v>
      </c>
      <c r="N427" s="1310" t="s">
        <v>1560</v>
      </c>
      <c r="O427" s="1310" t="s">
        <v>1541</v>
      </c>
      <c r="P427" s="1310" t="s">
        <v>1560</v>
      </c>
      <c r="Q427" s="1310" t="s">
        <v>1444</v>
      </c>
      <c r="R427" s="1310" t="s">
        <v>1569</v>
      </c>
      <c r="S427" s="1310" t="s">
        <v>1576</v>
      </c>
      <c r="T427" s="1310" t="s">
        <v>1569</v>
      </c>
      <c r="U427" s="1310" t="s">
        <v>1656</v>
      </c>
      <c r="V427" s="1310" t="s">
        <v>1444</v>
      </c>
      <c r="W427" s="1310" t="s">
        <v>1473</v>
      </c>
      <c r="X427" s="1310" t="s">
        <v>1444</v>
      </c>
      <c r="Y427" s="1310" t="s">
        <v>1496</v>
      </c>
      <c r="Z427" s="1310" t="s">
        <v>1617</v>
      </c>
      <c r="AA427" s="1310" t="s">
        <v>1482</v>
      </c>
      <c r="AB427" s="1310" t="s">
        <v>1617</v>
      </c>
      <c r="AC427" s="1310" t="s">
        <v>130</v>
      </c>
      <c r="AD427" s="1310" t="s">
        <v>1572</v>
      </c>
      <c r="AE427" s="1310" t="s">
        <v>1554</v>
      </c>
      <c r="AF427" s="1310" t="s">
        <v>1572</v>
      </c>
    </row>
    <row r="428" spans="1:32" x14ac:dyDescent="0.3">
      <c r="A428" s="1310" t="s">
        <v>1641</v>
      </c>
      <c r="B428" s="1310" t="s">
        <v>1505</v>
      </c>
      <c r="C428" s="1310" t="s">
        <v>1469</v>
      </c>
      <c r="D428" s="1310" t="s">
        <v>1466</v>
      </c>
      <c r="E428" s="1310" t="s">
        <v>266</v>
      </c>
      <c r="F428" s="1310" t="s">
        <v>1466</v>
      </c>
      <c r="G428" s="1310" t="s">
        <v>1632</v>
      </c>
      <c r="H428" s="1310" t="s">
        <v>1516</v>
      </c>
      <c r="I428" s="1310" t="s">
        <v>1471</v>
      </c>
      <c r="J428" s="1310" t="s">
        <v>1516</v>
      </c>
      <c r="K428" s="1310" t="s">
        <v>1556</v>
      </c>
      <c r="L428" s="1310" t="s">
        <v>6</v>
      </c>
      <c r="M428" s="1310" t="s">
        <v>1658</v>
      </c>
      <c r="N428" s="1310" t="s">
        <v>6</v>
      </c>
      <c r="O428" s="1310" t="s">
        <v>111</v>
      </c>
      <c r="P428" s="1310" t="s">
        <v>1030</v>
      </c>
      <c r="Q428" s="1310" t="s">
        <v>1490</v>
      </c>
      <c r="R428" s="1310" t="s">
        <v>1030</v>
      </c>
      <c r="S428" s="1310" t="s">
        <v>1583</v>
      </c>
      <c r="T428" s="1310" t="s">
        <v>1656</v>
      </c>
      <c r="U428" s="1310" t="s">
        <v>1539</v>
      </c>
      <c r="V428" s="1310" t="s">
        <v>1656</v>
      </c>
      <c r="W428" s="1310" t="s">
        <v>1587</v>
      </c>
      <c r="X428" s="1310" t="s">
        <v>125</v>
      </c>
      <c r="Y428" s="1310" t="s">
        <v>1536</v>
      </c>
      <c r="Z428" s="1310" t="s">
        <v>125</v>
      </c>
      <c r="AA428" s="1310" t="s">
        <v>1648</v>
      </c>
      <c r="AB428" s="1310" t="s">
        <v>126</v>
      </c>
      <c r="AC428" s="1310" t="s">
        <v>1530</v>
      </c>
      <c r="AD428" s="1310" t="s">
        <v>126</v>
      </c>
      <c r="AE428" s="1310" t="s">
        <v>1505</v>
      </c>
      <c r="AF428" s="1310" t="s">
        <v>127</v>
      </c>
    </row>
    <row r="429" spans="1:32" x14ac:dyDescent="0.3">
      <c r="A429" s="1310" t="s">
        <v>1532</v>
      </c>
      <c r="B429" s="1310" t="s">
        <v>127</v>
      </c>
      <c r="C429" s="1310" t="s">
        <v>1626</v>
      </c>
      <c r="D429" s="1310" t="s">
        <v>128</v>
      </c>
      <c r="E429" s="1310" t="s">
        <v>1480</v>
      </c>
      <c r="F429" s="1310" t="s">
        <v>128</v>
      </c>
      <c r="G429" s="1310" t="s">
        <v>1468</v>
      </c>
      <c r="H429" s="1310" t="s">
        <v>1551</v>
      </c>
      <c r="I429" s="1310" t="s">
        <v>1506</v>
      </c>
      <c r="J429" s="1310" t="s">
        <v>1561</v>
      </c>
      <c r="K429" s="1310" t="s">
        <v>1513</v>
      </c>
      <c r="L429" s="1310" t="s">
        <v>1561</v>
      </c>
      <c r="M429" s="1310" t="s">
        <v>1556</v>
      </c>
      <c r="N429" s="1310" t="s">
        <v>1570</v>
      </c>
      <c r="O429" s="1310" t="s">
        <v>1603</v>
      </c>
      <c r="P429" s="1310" t="s">
        <v>1570</v>
      </c>
      <c r="Q429" s="1310" t="s">
        <v>1591</v>
      </c>
      <c r="R429" s="1310" t="s">
        <v>1496</v>
      </c>
      <c r="S429" s="1310" t="s">
        <v>1461</v>
      </c>
      <c r="T429" s="1310" t="s">
        <v>1496</v>
      </c>
      <c r="U429" s="1310" t="s">
        <v>1655</v>
      </c>
      <c r="V429" s="1310" t="s">
        <v>1579</v>
      </c>
      <c r="W429" s="1310" t="s">
        <v>1543</v>
      </c>
      <c r="X429" s="1310" t="s">
        <v>1579</v>
      </c>
      <c r="Y429" s="1310" t="s">
        <v>1634</v>
      </c>
      <c r="Z429" s="1310" t="s">
        <v>1638</v>
      </c>
      <c r="AA429" s="1310" t="s">
        <v>1586</v>
      </c>
      <c r="AB429" s="1310" t="s">
        <v>1638</v>
      </c>
      <c r="AC429" s="1310" t="s">
        <v>1551</v>
      </c>
      <c r="AD429" s="1310" t="s">
        <v>1626</v>
      </c>
      <c r="AE429" s="1310" t="s">
        <v>1481</v>
      </c>
      <c r="AF429" s="1310" t="s">
        <v>1626</v>
      </c>
    </row>
    <row r="430" spans="1:32" x14ac:dyDescent="0.3">
      <c r="A430" s="1310" t="s">
        <v>1641</v>
      </c>
      <c r="B430" s="1310" t="s">
        <v>1621</v>
      </c>
      <c r="C430" s="1310" t="s">
        <v>1555</v>
      </c>
      <c r="D430" s="1310" t="s">
        <v>1499</v>
      </c>
      <c r="E430" s="1310" t="s">
        <v>1507</v>
      </c>
      <c r="F430" s="1310" t="s">
        <v>1499</v>
      </c>
      <c r="G430" s="1310" t="s">
        <v>1629</v>
      </c>
      <c r="H430" s="1310" t="s">
        <v>1503</v>
      </c>
      <c r="I430" s="1310" t="s">
        <v>1458</v>
      </c>
      <c r="J430" s="1310" t="s">
        <v>1503</v>
      </c>
      <c r="K430" s="1310" t="s">
        <v>117</v>
      </c>
      <c r="L430" s="1310" t="s">
        <v>1614</v>
      </c>
      <c r="M430" s="1310" t="s">
        <v>1497</v>
      </c>
      <c r="N430" s="1310" t="s">
        <v>1614</v>
      </c>
      <c r="O430" s="1310" t="s">
        <v>1648</v>
      </c>
      <c r="P430" s="1310" t="s">
        <v>1531</v>
      </c>
      <c r="Q430" s="1310" t="s">
        <v>1588</v>
      </c>
      <c r="R430" s="1310" t="s">
        <v>1531</v>
      </c>
      <c r="S430" s="1310" t="s">
        <v>1551</v>
      </c>
      <c r="T430" s="1310" t="s">
        <v>130</v>
      </c>
      <c r="U430" s="1310" t="s">
        <v>1460</v>
      </c>
      <c r="V430" s="1310" t="s">
        <v>130</v>
      </c>
      <c r="W430" s="1310" t="s">
        <v>1443</v>
      </c>
      <c r="X430" s="1310" t="s">
        <v>131</v>
      </c>
      <c r="Y430" s="1310" t="s">
        <v>1642</v>
      </c>
      <c r="Z430" s="1310" t="s">
        <v>132</v>
      </c>
      <c r="AA430" s="1310" t="s">
        <v>1597</v>
      </c>
      <c r="AB430" s="1310" t="s">
        <v>132</v>
      </c>
      <c r="AC430" s="1310" t="s">
        <v>1566</v>
      </c>
      <c r="AD430" s="1310" t="s">
        <v>133</v>
      </c>
      <c r="AE430" s="1310" t="s">
        <v>1493</v>
      </c>
      <c r="AF430" s="1310" t="s">
        <v>133</v>
      </c>
    </row>
    <row r="431" spans="1:32" x14ac:dyDescent="0.3">
      <c r="A431" s="1310" t="s">
        <v>119</v>
      </c>
      <c r="B431" s="1310" t="s">
        <v>1552</v>
      </c>
      <c r="C431" s="1310" t="s">
        <v>1477</v>
      </c>
      <c r="D431" s="1310" t="s">
        <v>1552</v>
      </c>
      <c r="E431" s="1310" t="s">
        <v>6</v>
      </c>
      <c r="F431" s="1310" t="s">
        <v>1562</v>
      </c>
      <c r="G431" s="1310" t="s">
        <v>1483</v>
      </c>
      <c r="H431" s="1310" t="s">
        <v>1562</v>
      </c>
      <c r="I431" s="1310" t="s">
        <v>1641</v>
      </c>
      <c r="J431" s="1310" t="s">
        <v>1571</v>
      </c>
      <c r="K431" s="1310" t="s">
        <v>1632</v>
      </c>
      <c r="L431" s="1310" t="s">
        <v>1612</v>
      </c>
      <c r="M431" s="1310" t="s">
        <v>1597</v>
      </c>
      <c r="N431" s="1310" t="s">
        <v>1612</v>
      </c>
      <c r="O431" s="1310" t="s">
        <v>1628</v>
      </c>
      <c r="P431" s="1310" t="s">
        <v>1622</v>
      </c>
      <c r="Q431" s="1310" t="s">
        <v>1574</v>
      </c>
      <c r="R431" s="1310" t="s">
        <v>1622</v>
      </c>
      <c r="S431" s="1310" t="s">
        <v>1568</v>
      </c>
      <c r="T431" s="1310" t="s">
        <v>1577</v>
      </c>
      <c r="U431" s="1310" t="s">
        <v>1488</v>
      </c>
      <c r="V431" s="1310" t="s">
        <v>1577</v>
      </c>
      <c r="W431" s="1310" t="s">
        <v>1570</v>
      </c>
      <c r="X431" s="1310" t="s">
        <v>1641</v>
      </c>
      <c r="Y431" s="1310" t="s">
        <v>1489</v>
      </c>
      <c r="Z431" s="1310" t="s">
        <v>1468</v>
      </c>
      <c r="AA431" s="1310" t="s">
        <v>267</v>
      </c>
      <c r="AB431" s="1310" t="s">
        <v>1468</v>
      </c>
      <c r="AC431" s="1310" t="s">
        <v>1606</v>
      </c>
      <c r="AD431" s="1310" t="s">
        <v>1639</v>
      </c>
      <c r="AE431" s="1310" t="s">
        <v>1490</v>
      </c>
      <c r="AF431" s="1310" t="s">
        <v>1639</v>
      </c>
    </row>
    <row r="432" spans="1:32" x14ac:dyDescent="0.3">
      <c r="A432" s="1310" t="s">
        <v>1581</v>
      </c>
      <c r="B432" s="1310" t="s">
        <v>1636</v>
      </c>
      <c r="C432" s="1310" t="s">
        <v>1653</v>
      </c>
      <c r="D432" s="1310" t="s">
        <v>1636</v>
      </c>
      <c r="E432" s="1310" t="s">
        <v>1466</v>
      </c>
      <c r="F432" s="1310" t="s">
        <v>1443</v>
      </c>
      <c r="G432" s="1310" t="s">
        <v>1483</v>
      </c>
      <c r="H432" s="1310" t="s">
        <v>1443</v>
      </c>
      <c r="I432" s="1310" t="s">
        <v>1443</v>
      </c>
      <c r="J432" s="1310" t="s">
        <v>1443</v>
      </c>
      <c r="K432" s="1310" t="s">
        <v>1503</v>
      </c>
      <c r="L432" s="1310" t="s">
        <v>1450</v>
      </c>
      <c r="M432" s="1310" t="s">
        <v>1504</v>
      </c>
      <c r="N432" s="1310" t="s">
        <v>1472</v>
      </c>
      <c r="O432" s="1310" t="s">
        <v>1473</v>
      </c>
      <c r="P432" s="1310" t="s">
        <v>1474</v>
      </c>
      <c r="Q432" s="1310" t="s">
        <v>1455</v>
      </c>
      <c r="R432" s="1310" t="s">
        <v>1475</v>
      </c>
      <c r="S432" s="1310" t="s">
        <v>1450</v>
      </c>
      <c r="T432" s="1310" t="s">
        <v>1473</v>
      </c>
      <c r="U432" s="1310" t="s">
        <v>1497</v>
      </c>
      <c r="V432" s="1310" t="s">
        <v>1450</v>
      </c>
      <c r="W432" s="1310" t="s">
        <v>1450</v>
      </c>
      <c r="X432" s="1310" t="s">
        <v>1450</v>
      </c>
      <c r="Y432" s="1310" t="s">
        <v>262</v>
      </c>
      <c r="Z432" s="1310" t="s">
        <v>1443</v>
      </c>
      <c r="AA432" s="1310" t="s">
        <v>1505</v>
      </c>
      <c r="AB432" s="1310" t="s">
        <v>1450</v>
      </c>
      <c r="AC432" s="1310" t="s">
        <v>1506</v>
      </c>
      <c r="AD432" s="1310" t="s">
        <v>1450</v>
      </c>
      <c r="AE432" s="1310" t="s">
        <v>265</v>
      </c>
      <c r="AF432" s="1310" t="s">
        <v>264</v>
      </c>
    </row>
    <row r="433" spans="1:32" x14ac:dyDescent="0.3">
      <c r="A433" s="1310" t="s">
        <v>264</v>
      </c>
      <c r="B433" s="1310" t="s">
        <v>264</v>
      </c>
      <c r="C433" s="1310" t="s">
        <v>264</v>
      </c>
      <c r="D433" s="1310" t="s">
        <v>264</v>
      </c>
      <c r="E433" s="1310" t="s">
        <v>265</v>
      </c>
      <c r="F433" s="1310" t="s">
        <v>264</v>
      </c>
      <c r="G433" s="1310" t="s">
        <v>264</v>
      </c>
      <c r="H433" s="1310" t="s">
        <v>265</v>
      </c>
      <c r="I433" s="1310" t="s">
        <v>268</v>
      </c>
      <c r="J433" s="1310" t="s">
        <v>265</v>
      </c>
      <c r="K433" s="1310" t="s">
        <v>264</v>
      </c>
      <c r="L433" s="1310" t="s">
        <v>265</v>
      </c>
      <c r="M433" s="1310" t="s">
        <v>268</v>
      </c>
      <c r="N433" s="1310" t="s">
        <v>267</v>
      </c>
      <c r="O433" s="1310" t="s">
        <v>266</v>
      </c>
      <c r="P433" s="1310" t="s">
        <v>265</v>
      </c>
      <c r="Q433" s="1310" t="s">
        <v>265</v>
      </c>
      <c r="R433" s="1310" t="s">
        <v>266</v>
      </c>
      <c r="S433" s="1310" t="s">
        <v>267</v>
      </c>
      <c r="T433" s="1310" t="s">
        <v>269</v>
      </c>
      <c r="U433" s="1310" t="s">
        <v>268</v>
      </c>
      <c r="V433" s="1310" t="s">
        <v>268</v>
      </c>
      <c r="W433" s="1310" t="s">
        <v>267</v>
      </c>
      <c r="X433" s="1310" t="s">
        <v>268</v>
      </c>
      <c r="Y433" s="1310" t="s">
        <v>268</v>
      </c>
      <c r="Z433" s="1310" t="s">
        <v>269</v>
      </c>
      <c r="AA433" s="1310" t="s">
        <v>1467</v>
      </c>
      <c r="AB433" s="1310" t="s">
        <v>269</v>
      </c>
      <c r="AC433" s="1310" t="s">
        <v>270</v>
      </c>
      <c r="AD433" s="1310" t="s">
        <v>270</v>
      </c>
      <c r="AE433" s="1310" t="s">
        <v>270</v>
      </c>
      <c r="AF433" s="1310" t="s">
        <v>270</v>
      </c>
    </row>
    <row r="434" spans="1:32" x14ac:dyDescent="0.3">
      <c r="A434" s="1310" t="s">
        <v>269</v>
      </c>
      <c r="B434" s="1310" t="s">
        <v>1467</v>
      </c>
      <c r="C434" s="1310" t="s">
        <v>1467</v>
      </c>
      <c r="D434" s="1310" t="s">
        <v>1500</v>
      </c>
      <c r="E434" s="1310" t="s">
        <v>1500</v>
      </c>
      <c r="F434" s="1310" t="s">
        <v>1500</v>
      </c>
      <c r="G434" s="1310" t="s">
        <v>1500</v>
      </c>
      <c r="H434" s="1310" t="s">
        <v>1500</v>
      </c>
      <c r="I434" s="1310" t="s">
        <v>1467</v>
      </c>
      <c r="J434" s="1310" t="s">
        <v>1500</v>
      </c>
      <c r="K434" s="1310" t="s">
        <v>1500</v>
      </c>
      <c r="L434" s="1310" t="s">
        <v>1500</v>
      </c>
      <c r="M434" s="1310" t="s">
        <v>1500</v>
      </c>
      <c r="N434" s="1310" t="s">
        <v>1500</v>
      </c>
      <c r="O434" s="1310" t="s">
        <v>1500</v>
      </c>
      <c r="P434" s="1310" t="s">
        <v>1500</v>
      </c>
      <c r="Q434" s="1310" t="s">
        <v>1500</v>
      </c>
      <c r="R434" s="1310" t="s">
        <v>1500</v>
      </c>
      <c r="S434" s="1310" t="s">
        <v>1500</v>
      </c>
      <c r="T434" s="1310" t="s">
        <v>1500</v>
      </c>
      <c r="U434" s="1310" t="s">
        <v>1500</v>
      </c>
      <c r="V434" s="1310" t="s">
        <v>1500</v>
      </c>
      <c r="W434" s="1310" t="s">
        <v>1500</v>
      </c>
      <c r="X434" s="1310" t="s">
        <v>1500</v>
      </c>
      <c r="Y434" s="1310" t="s">
        <v>1500</v>
      </c>
      <c r="Z434" s="1310" t="s">
        <v>1500</v>
      </c>
      <c r="AA434" s="1310" t="s">
        <v>1500</v>
      </c>
      <c r="AB434" s="1310" t="s">
        <v>1500</v>
      </c>
      <c r="AC434" s="1310" t="s">
        <v>1500</v>
      </c>
      <c r="AD434" s="1310" t="s">
        <v>1500</v>
      </c>
      <c r="AE434" s="1310" t="s">
        <v>262</v>
      </c>
      <c r="AF434" s="1310" t="s">
        <v>265</v>
      </c>
    </row>
    <row r="435" spans="1:32" x14ac:dyDescent="0.3">
      <c r="A435" s="1310" t="s">
        <v>266</v>
      </c>
      <c r="B435" s="1310" t="s">
        <v>266</v>
      </c>
      <c r="C435" s="1310" t="s">
        <v>269</v>
      </c>
      <c r="D435" s="1310" t="s">
        <v>267</v>
      </c>
      <c r="E435" s="1310" t="s">
        <v>269</v>
      </c>
      <c r="F435" s="1310" t="s">
        <v>1510</v>
      </c>
      <c r="G435" s="1310" t="s">
        <v>1467</v>
      </c>
      <c r="H435" s="1310" t="s">
        <v>1467</v>
      </c>
      <c r="I435" s="1310" t="s">
        <v>1510</v>
      </c>
      <c r="J435" s="1310" t="s">
        <v>1462</v>
      </c>
      <c r="K435" s="1310" t="s">
        <v>1504</v>
      </c>
      <c r="L435" s="1310" t="s">
        <v>1504</v>
      </c>
      <c r="M435" s="1310" t="s">
        <v>1504</v>
      </c>
      <c r="N435" s="1310" t="s">
        <v>1462</v>
      </c>
      <c r="O435" s="1310" t="s">
        <v>1462</v>
      </c>
      <c r="P435" s="1310" t="s">
        <v>1504</v>
      </c>
      <c r="Q435" s="1310" t="s">
        <v>1504</v>
      </c>
      <c r="R435" s="1310" t="s">
        <v>1504</v>
      </c>
      <c r="S435" s="1310" t="s">
        <v>1504</v>
      </c>
      <c r="T435" s="1310" t="s">
        <v>1462</v>
      </c>
      <c r="U435" s="1310" t="s">
        <v>1507</v>
      </c>
      <c r="V435" s="1310" t="s">
        <v>1500</v>
      </c>
      <c r="W435" s="1310" t="s">
        <v>1500</v>
      </c>
      <c r="X435" s="1310" t="s">
        <v>1500</v>
      </c>
      <c r="Y435" s="1310" t="s">
        <v>1500</v>
      </c>
      <c r="Z435" s="1310" t="s">
        <v>1500</v>
      </c>
      <c r="AA435" s="1310" t="s">
        <v>1507</v>
      </c>
      <c r="AB435" s="1310" t="s">
        <v>1507</v>
      </c>
      <c r="AC435" s="1310" t="s">
        <v>1500</v>
      </c>
      <c r="AD435" s="1310" t="s">
        <v>1500</v>
      </c>
      <c r="AE435" s="1310" t="s">
        <v>1500</v>
      </c>
      <c r="AF435" s="1310" t="s">
        <v>1500</v>
      </c>
    </row>
    <row r="436" spans="1:32" x14ac:dyDescent="0.3">
      <c r="A436" s="1310" t="s">
        <v>1500</v>
      </c>
      <c r="B436" s="1310" t="s">
        <v>1500</v>
      </c>
      <c r="C436" s="1310" t="s">
        <v>1507</v>
      </c>
      <c r="D436" s="1310" t="s">
        <v>1500</v>
      </c>
      <c r="E436" s="1310" t="s">
        <v>1500</v>
      </c>
      <c r="F436" s="1310" t="s">
        <v>1500</v>
      </c>
      <c r="G436" s="1310" t="s">
        <v>1500</v>
      </c>
      <c r="H436" s="1310" t="s">
        <v>1500</v>
      </c>
      <c r="I436" s="1310" t="s">
        <v>1500</v>
      </c>
      <c r="J436" s="1310" t="s">
        <v>1500</v>
      </c>
      <c r="K436" s="1310" t="s">
        <v>1500</v>
      </c>
      <c r="L436" s="1310" t="s">
        <v>1500</v>
      </c>
      <c r="M436" s="1310" t="s">
        <v>1500</v>
      </c>
      <c r="N436" s="1310" t="s">
        <v>1500</v>
      </c>
      <c r="O436" s="1310" t="s">
        <v>1500</v>
      </c>
      <c r="P436" s="1310" t="s">
        <v>1500</v>
      </c>
      <c r="Q436" s="1310" t="s">
        <v>1500</v>
      </c>
      <c r="R436" s="1310" t="s">
        <v>1500</v>
      </c>
      <c r="S436" s="1310" t="s">
        <v>1500</v>
      </c>
      <c r="T436" s="1310" t="s">
        <v>1500</v>
      </c>
      <c r="U436" s="1310" t="s">
        <v>1500</v>
      </c>
      <c r="V436" s="1310" t="s">
        <v>1500</v>
      </c>
      <c r="W436" s="1310" t="s">
        <v>1500</v>
      </c>
      <c r="X436" s="1310" t="s">
        <v>1500</v>
      </c>
      <c r="Y436" s="1310" t="s">
        <v>1500</v>
      </c>
      <c r="Z436" s="1310" t="s">
        <v>1500</v>
      </c>
      <c r="AA436" s="1310" t="s">
        <v>1500</v>
      </c>
      <c r="AB436" s="1310" t="s">
        <v>1500</v>
      </c>
      <c r="AC436" s="1310" t="s">
        <v>1500</v>
      </c>
      <c r="AD436" s="1310" t="s">
        <v>1500</v>
      </c>
      <c r="AE436" s="1310" t="s">
        <v>1500</v>
      </c>
      <c r="AF436" s="1310" t="s">
        <v>1443</v>
      </c>
    </row>
    <row r="437" spans="1:32" x14ac:dyDescent="0.3">
      <c r="A437" s="1310" t="s">
        <v>1514</v>
      </c>
      <c r="B437" s="1310" t="s">
        <v>1450</v>
      </c>
      <c r="C437" s="1310" t="s">
        <v>1507</v>
      </c>
      <c r="D437" s="1310" t="s">
        <v>269</v>
      </c>
      <c r="E437" s="1310" t="s">
        <v>1450</v>
      </c>
      <c r="F437" s="1310" t="s">
        <v>1495</v>
      </c>
      <c r="G437" s="1310" t="s">
        <v>264</v>
      </c>
      <c r="H437" s="1310" t="s">
        <v>1496</v>
      </c>
      <c r="I437" s="1310" t="s">
        <v>264</v>
      </c>
      <c r="J437" s="1310" t="s">
        <v>262</v>
      </c>
      <c r="K437" s="1310" t="s">
        <v>1507</v>
      </c>
      <c r="L437" s="1310" t="s">
        <v>1450</v>
      </c>
      <c r="M437" s="1310" t="s">
        <v>263</v>
      </c>
      <c r="N437" s="1310" t="s">
        <v>1507</v>
      </c>
      <c r="O437" s="1310" t="s">
        <v>262</v>
      </c>
      <c r="P437" s="1310" t="s">
        <v>264</v>
      </c>
      <c r="Q437" s="1310" t="s">
        <v>1507</v>
      </c>
      <c r="R437" s="1310" t="s">
        <v>262</v>
      </c>
      <c r="S437" s="1310" t="s">
        <v>1443</v>
      </c>
      <c r="T437" s="1310" t="s">
        <v>1516</v>
      </c>
      <c r="U437" s="1310" t="s">
        <v>1450</v>
      </c>
      <c r="V437" s="1310" t="s">
        <v>265</v>
      </c>
      <c r="W437" s="1310" t="s">
        <v>1450</v>
      </c>
      <c r="X437" s="1310" t="s">
        <v>1623</v>
      </c>
      <c r="Y437" s="1310" t="s">
        <v>1443</v>
      </c>
      <c r="Z437" s="1310" t="s">
        <v>129</v>
      </c>
      <c r="AA437" s="1310" t="s">
        <v>262</v>
      </c>
      <c r="AB437" s="1310" t="s">
        <v>111</v>
      </c>
      <c r="AC437" s="1310" t="s">
        <v>1450</v>
      </c>
      <c r="AD437" s="1310" t="s">
        <v>1450</v>
      </c>
      <c r="AE437" s="1310" t="s">
        <v>1450</v>
      </c>
      <c r="AF437" s="1310" t="s">
        <v>267</v>
      </c>
    </row>
    <row r="438" spans="1:32" x14ac:dyDescent="0.3">
      <c r="A438" s="1310" t="s">
        <v>262</v>
      </c>
      <c r="B438" s="1310" t="s">
        <v>262</v>
      </c>
      <c r="C438" s="1310" t="s">
        <v>262</v>
      </c>
      <c r="D438" s="1310" t="s">
        <v>262</v>
      </c>
      <c r="E438" s="1310" t="s">
        <v>262</v>
      </c>
      <c r="F438" s="1310" t="s">
        <v>1450</v>
      </c>
      <c r="G438" s="1310" t="s">
        <v>1450</v>
      </c>
      <c r="H438" s="1310" t="s">
        <v>1450</v>
      </c>
      <c r="I438" s="1310" t="s">
        <v>1450</v>
      </c>
      <c r="J438" s="1310" t="s">
        <v>1450</v>
      </c>
      <c r="K438" s="1310" t="s">
        <v>1450</v>
      </c>
      <c r="L438" s="1310" t="s">
        <v>1450</v>
      </c>
      <c r="M438" s="1310" t="s">
        <v>1450</v>
      </c>
      <c r="N438" s="1310" t="s">
        <v>265</v>
      </c>
      <c r="O438" s="1310" t="s">
        <v>266</v>
      </c>
      <c r="P438" s="1310" t="s">
        <v>264</v>
      </c>
      <c r="Q438" s="1310" t="s">
        <v>263</v>
      </c>
      <c r="R438" s="1310" t="s">
        <v>268</v>
      </c>
      <c r="S438" s="1310" t="s">
        <v>262</v>
      </c>
      <c r="T438" s="1310" t="s">
        <v>1450</v>
      </c>
      <c r="U438" s="1310" t="s">
        <v>267</v>
      </c>
      <c r="V438" s="1310" t="s">
        <v>269</v>
      </c>
      <c r="W438" s="1310" t="s">
        <v>270</v>
      </c>
      <c r="X438" s="1310" t="s">
        <v>1467</v>
      </c>
      <c r="Y438" s="1310" t="s">
        <v>1508</v>
      </c>
      <c r="Z438" s="1310" t="s">
        <v>262</v>
      </c>
      <c r="AA438" s="1310" t="s">
        <v>1450</v>
      </c>
      <c r="AB438" s="1310" t="s">
        <v>263</v>
      </c>
      <c r="AC438" s="1310" t="s">
        <v>263</v>
      </c>
      <c r="AD438" s="1310" t="s">
        <v>264</v>
      </c>
      <c r="AE438" s="1310" t="s">
        <v>262</v>
      </c>
      <c r="AF438" s="1310" t="s">
        <v>262</v>
      </c>
    </row>
    <row r="439" spans="1:32" x14ac:dyDescent="0.3">
      <c r="A439" s="1310" t="s">
        <v>262</v>
      </c>
      <c r="B439" s="1310" t="s">
        <v>262</v>
      </c>
      <c r="C439" s="1310" t="s">
        <v>262</v>
      </c>
      <c r="D439" s="1310" t="s">
        <v>1450</v>
      </c>
      <c r="E439" s="1310" t="s">
        <v>1450</v>
      </c>
      <c r="F439" s="1310" t="s">
        <v>1450</v>
      </c>
      <c r="G439" s="1310" t="s">
        <v>1450</v>
      </c>
      <c r="H439" s="1310" t="s">
        <v>1450</v>
      </c>
      <c r="I439" s="1310" t="s">
        <v>1450</v>
      </c>
      <c r="J439" s="1310" t="s">
        <v>1450</v>
      </c>
      <c r="K439" s="1310" t="s">
        <v>262</v>
      </c>
      <c r="L439" s="1310" t="s">
        <v>1450</v>
      </c>
      <c r="M439" s="1310" t="s">
        <v>263</v>
      </c>
      <c r="N439" s="1310" t="s">
        <v>264</v>
      </c>
      <c r="O439" s="1310" t="s">
        <v>265</v>
      </c>
      <c r="P439" s="1310" t="s">
        <v>266</v>
      </c>
      <c r="Q439" s="1310" t="s">
        <v>268</v>
      </c>
      <c r="R439" s="1310" t="s">
        <v>267</v>
      </c>
      <c r="S439" s="1310" t="s">
        <v>269</v>
      </c>
      <c r="T439" s="1310" t="s">
        <v>270</v>
      </c>
      <c r="U439" s="1310" t="s">
        <v>1467</v>
      </c>
      <c r="V439" s="1310" t="s">
        <v>1508</v>
      </c>
      <c r="W439" s="1310" t="s">
        <v>1471</v>
      </c>
      <c r="X439" s="1310" t="s">
        <v>1450</v>
      </c>
      <c r="Y439" s="1310" t="s">
        <v>263</v>
      </c>
      <c r="Z439" s="1310" t="s">
        <v>262</v>
      </c>
      <c r="AA439" s="1310" t="s">
        <v>264</v>
      </c>
      <c r="AB439" s="1310" t="s">
        <v>264</v>
      </c>
      <c r="AC439" s="1310" t="s">
        <v>263</v>
      </c>
      <c r="AD439" s="1310" t="s">
        <v>265</v>
      </c>
      <c r="AE439" s="1310" t="s">
        <v>263</v>
      </c>
      <c r="AF439" s="1310" t="s">
        <v>268</v>
      </c>
    </row>
    <row r="440" spans="1:32" x14ac:dyDescent="0.3">
      <c r="A440" s="1310" t="s">
        <v>267</v>
      </c>
      <c r="B440" s="1310" t="s">
        <v>264</v>
      </c>
      <c r="C440" s="1310" t="s">
        <v>265</v>
      </c>
      <c r="D440" s="1310" t="s">
        <v>263</v>
      </c>
      <c r="E440" s="1310" t="s">
        <v>268</v>
      </c>
      <c r="F440" s="1310" t="s">
        <v>263</v>
      </c>
      <c r="G440" s="1310" t="s">
        <v>1480</v>
      </c>
      <c r="H440" s="1310" t="s">
        <v>262</v>
      </c>
      <c r="I440" s="1310" t="s">
        <v>263</v>
      </c>
      <c r="J440" s="1310" t="s">
        <v>264</v>
      </c>
      <c r="K440" s="1310" t="s">
        <v>1507</v>
      </c>
      <c r="L440" s="1310" t="s">
        <v>265</v>
      </c>
      <c r="M440" s="1310" t="s">
        <v>1450</v>
      </c>
      <c r="N440" s="1310" t="s">
        <v>266</v>
      </c>
      <c r="O440" s="1310" t="s">
        <v>1518</v>
      </c>
      <c r="P440" s="1310" t="s">
        <v>1453</v>
      </c>
      <c r="Q440" s="1310" t="s">
        <v>1459</v>
      </c>
      <c r="R440" s="1310" t="s">
        <v>1472</v>
      </c>
      <c r="S440" s="1310" t="s">
        <v>1519</v>
      </c>
      <c r="T440" s="1310" t="s">
        <v>268</v>
      </c>
      <c r="U440" s="1310" t="s">
        <v>1512</v>
      </c>
      <c r="V440" s="1310" t="s">
        <v>1520</v>
      </c>
      <c r="W440" s="1310" t="s">
        <v>1515</v>
      </c>
      <c r="X440" s="1310" t="s">
        <v>1521</v>
      </c>
      <c r="Y440" s="1310" t="s">
        <v>1522</v>
      </c>
      <c r="Z440" s="1310" t="s">
        <v>1462</v>
      </c>
      <c r="AA440" s="1310" t="s">
        <v>1461</v>
      </c>
      <c r="AB440" s="1310" t="s">
        <v>1523</v>
      </c>
      <c r="AC440" s="1310" t="s">
        <v>110</v>
      </c>
      <c r="AD440" s="1310" t="s">
        <v>267</v>
      </c>
      <c r="AE440" s="1310" t="s">
        <v>1509</v>
      </c>
      <c r="AF440" s="1310" t="s">
        <v>114</v>
      </c>
    </row>
    <row r="441" spans="1:32" x14ac:dyDescent="0.3">
      <c r="A441" s="1310" t="s">
        <v>1524</v>
      </c>
      <c r="B441" s="1310" t="s">
        <v>1525</v>
      </c>
      <c r="C441" s="1310" t="s">
        <v>118</v>
      </c>
      <c r="D441" s="1310" t="s">
        <v>1527</v>
      </c>
      <c r="E441" s="1310" t="s">
        <v>121</v>
      </c>
      <c r="F441" s="1310" t="s">
        <v>125</v>
      </c>
      <c r="G441" s="1310" t="s">
        <v>1494</v>
      </c>
      <c r="H441" s="1310" t="s">
        <v>1533</v>
      </c>
      <c r="I441" s="1310" t="s">
        <v>1455</v>
      </c>
      <c r="J441" s="1310" t="s">
        <v>1531</v>
      </c>
      <c r="K441" s="1310" t="s">
        <v>1526</v>
      </c>
      <c r="L441" s="1310" t="s">
        <v>1460</v>
      </c>
      <c r="M441" s="1310" t="s">
        <v>1445</v>
      </c>
      <c r="N441" s="1310" t="s">
        <v>130</v>
      </c>
      <c r="O441" s="1310" t="s">
        <v>1528</v>
      </c>
      <c r="P441" s="1310" t="s">
        <v>1502</v>
      </c>
      <c r="Q441" s="1310" t="s">
        <v>1493</v>
      </c>
      <c r="R441" s="1310" t="s">
        <v>1530</v>
      </c>
      <c r="S441" s="1310" t="s">
        <v>1529</v>
      </c>
      <c r="T441" s="1310" t="s">
        <v>111</v>
      </c>
      <c r="U441" s="1310" t="s">
        <v>115</v>
      </c>
      <c r="V441" s="1310" t="s">
        <v>1532</v>
      </c>
      <c r="W441" s="1310" t="s">
        <v>1480</v>
      </c>
      <c r="X441" s="1310" t="s">
        <v>119</v>
      </c>
      <c r="Y441" s="1310" t="s">
        <v>1492</v>
      </c>
      <c r="Z441" s="1310" t="s">
        <v>1536</v>
      </c>
      <c r="AA441" s="1310" t="s">
        <v>1470</v>
      </c>
      <c r="AB441" s="1310" t="s">
        <v>1537</v>
      </c>
      <c r="AC441" s="1310" t="s">
        <v>112</v>
      </c>
      <c r="AD441" s="1310" t="s">
        <v>116</v>
      </c>
      <c r="AE441" s="1310" t="s">
        <v>1539</v>
      </c>
      <c r="AF441" s="1310" t="s">
        <v>1540</v>
      </c>
    </row>
    <row r="442" spans="1:32" x14ac:dyDescent="0.3">
      <c r="A442" s="1310" t="s">
        <v>1538</v>
      </c>
      <c r="B442" s="1310" t="s">
        <v>1473</v>
      </c>
      <c r="C442" s="1310" t="s">
        <v>1479</v>
      </c>
      <c r="D442" s="1310" t="s">
        <v>120</v>
      </c>
      <c r="E442" s="1310" t="s">
        <v>122</v>
      </c>
      <c r="F442" s="1310" t="s">
        <v>126</v>
      </c>
      <c r="G442" s="1310" t="s">
        <v>269</v>
      </c>
      <c r="H442" s="1310" t="s">
        <v>1535</v>
      </c>
      <c r="I442" s="1310" t="s">
        <v>1534</v>
      </c>
      <c r="J442" s="1310" t="s">
        <v>270</v>
      </c>
      <c r="K442" s="1310" t="s">
        <v>1467</v>
      </c>
      <c r="L442" s="1310" t="s">
        <v>1511</v>
      </c>
      <c r="M442" s="1310" t="s">
        <v>1597</v>
      </c>
      <c r="N442" s="1310" t="s">
        <v>1506</v>
      </c>
      <c r="O442" s="1310" t="s">
        <v>1544</v>
      </c>
      <c r="P442" s="1310" t="s">
        <v>1446</v>
      </c>
      <c r="Q442" s="1310" t="s">
        <v>1543</v>
      </c>
      <c r="R442" s="1310" t="s">
        <v>113</v>
      </c>
      <c r="S442" s="1310" t="s">
        <v>117</v>
      </c>
      <c r="T442" s="1310" t="s">
        <v>1553</v>
      </c>
      <c r="U442" s="1310" t="s">
        <v>123</v>
      </c>
      <c r="V442" s="1310" t="s">
        <v>1541</v>
      </c>
      <c r="W442" s="1310" t="s">
        <v>1458</v>
      </c>
      <c r="X442" s="1310" t="s">
        <v>1454</v>
      </c>
      <c r="Y442" s="1310" t="s">
        <v>131</v>
      </c>
      <c r="Z442" s="1310" t="s">
        <v>127</v>
      </c>
      <c r="AA442" s="1310" t="s">
        <v>132</v>
      </c>
      <c r="AB442" s="1310" t="s">
        <v>129</v>
      </c>
      <c r="AC442" s="1310" t="s">
        <v>124</v>
      </c>
      <c r="AD442" s="1310" t="s">
        <v>128</v>
      </c>
      <c r="AE442" s="1310" t="s">
        <v>133</v>
      </c>
      <c r="AF442" s="1310" t="s">
        <v>1475</v>
      </c>
    </row>
    <row r="443" spans="1:32" x14ac:dyDescent="0.3">
      <c r="A443" s="1310" t="s">
        <v>1542</v>
      </c>
      <c r="B443" s="1310" t="s">
        <v>1545</v>
      </c>
      <c r="C443" s="1310" t="s">
        <v>1546</v>
      </c>
      <c r="D443" s="1310" t="s">
        <v>1547</v>
      </c>
      <c r="E443" s="1310" t="s">
        <v>1548</v>
      </c>
      <c r="F443" s="1310" t="s">
        <v>1549</v>
      </c>
      <c r="G443" s="1310" t="s">
        <v>1550</v>
      </c>
      <c r="H443" s="1310" t="s">
        <v>1551</v>
      </c>
      <c r="I443" s="1310" t="s">
        <v>1552</v>
      </c>
      <c r="J443" s="1310" t="s">
        <v>1449</v>
      </c>
      <c r="K443" s="1310" t="s">
        <v>1554</v>
      </c>
      <c r="L443" s="1310" t="s">
        <v>1555</v>
      </c>
      <c r="M443" s="1310" t="s">
        <v>1556</v>
      </c>
      <c r="N443" s="1310" t="s">
        <v>1557</v>
      </c>
      <c r="O443" s="1310" t="s">
        <v>1558</v>
      </c>
      <c r="P443" s="1310" t="s">
        <v>1559</v>
      </c>
      <c r="Q443" s="1310" t="s">
        <v>1560</v>
      </c>
      <c r="R443" s="1310" t="s">
        <v>1561</v>
      </c>
      <c r="S443" s="1310" t="s">
        <v>1562</v>
      </c>
      <c r="T443" s="1310" t="s">
        <v>1485</v>
      </c>
      <c r="U443" s="1310" t="s">
        <v>1563</v>
      </c>
      <c r="V443" s="1310" t="s">
        <v>1488</v>
      </c>
      <c r="W443" s="1310" t="s">
        <v>1564</v>
      </c>
      <c r="X443" s="1310" t="s">
        <v>1489</v>
      </c>
      <c r="Y443" s="1310" t="s">
        <v>1464</v>
      </c>
      <c r="Z443" s="1310" t="s">
        <v>1565</v>
      </c>
      <c r="AA443" s="1310" t="s">
        <v>1566</v>
      </c>
      <c r="AB443" s="1310" t="s">
        <v>1567</v>
      </c>
      <c r="AC443" s="1310" t="s">
        <v>1568</v>
      </c>
      <c r="AD443" s="1310" t="s">
        <v>1569</v>
      </c>
      <c r="AE443" s="1310" t="s">
        <v>1570</v>
      </c>
      <c r="AF443" s="1310" t="s">
        <v>1571</v>
      </c>
    </row>
    <row r="444" spans="1:32" x14ac:dyDescent="0.3">
      <c r="A444" s="1310" t="s">
        <v>1574</v>
      </c>
      <c r="B444" s="1310" t="s">
        <v>1498</v>
      </c>
      <c r="C444" s="1310" t="s">
        <v>1588</v>
      </c>
      <c r="D444" s="1310" t="s">
        <v>1478</v>
      </c>
      <c r="E444" s="1310" t="s">
        <v>1447</v>
      </c>
      <c r="F444" s="1310" t="s">
        <v>1593</v>
      </c>
      <c r="G444" s="1310" t="s">
        <v>1606</v>
      </c>
      <c r="H444" s="1310" t="s">
        <v>1628</v>
      </c>
      <c r="I444" s="1310" t="s">
        <v>1589</v>
      </c>
      <c r="J444" s="1310" t="s">
        <v>1650</v>
      </c>
      <c r="K444" s="1310" t="s">
        <v>1444</v>
      </c>
      <c r="L444" s="1310" t="s">
        <v>1496</v>
      </c>
      <c r="M444" s="1310" t="s">
        <v>1612</v>
      </c>
      <c r="N444" s="1310" t="s">
        <v>1490</v>
      </c>
      <c r="O444" s="1310" t="s">
        <v>1631</v>
      </c>
      <c r="P444" s="1310" t="s">
        <v>1573</v>
      </c>
      <c r="Q444" s="1310" t="s">
        <v>1599</v>
      </c>
      <c r="R444" s="1310" t="s">
        <v>1448</v>
      </c>
      <c r="S444" s="1310" t="s">
        <v>1585</v>
      </c>
      <c r="T444" s="1310" t="s">
        <v>1609</v>
      </c>
      <c r="U444" s="1310" t="s">
        <v>1649</v>
      </c>
      <c r="V444" s="1310" t="s">
        <v>1591</v>
      </c>
      <c r="W444" s="1310" t="s">
        <v>1604</v>
      </c>
      <c r="X444" s="1310" t="s">
        <v>1643</v>
      </c>
      <c r="Y444" s="1310" t="s">
        <v>1617</v>
      </c>
      <c r="Z444" s="1310" t="s">
        <v>1579</v>
      </c>
      <c r="AA444" s="1310" t="s">
        <v>1622</v>
      </c>
      <c r="AB444" s="1310" t="s">
        <v>1452</v>
      </c>
      <c r="AC444" s="1310" t="s">
        <v>1491</v>
      </c>
      <c r="AD444" s="1310" t="s">
        <v>1652</v>
      </c>
      <c r="AE444" s="1310" t="s">
        <v>1659</v>
      </c>
      <c r="AF444" s="1310" t="s">
        <v>1457</v>
      </c>
    </row>
    <row r="445" spans="1:32" x14ac:dyDescent="0.3">
      <c r="A445" s="1310" t="s">
        <v>1610</v>
      </c>
      <c r="B445" s="1310" t="s">
        <v>1632</v>
      </c>
      <c r="C445" s="1310" t="s">
        <v>1463</v>
      </c>
      <c r="D445" s="1310" t="s">
        <v>1616</v>
      </c>
      <c r="E445" s="1310" t="s">
        <v>1581</v>
      </c>
      <c r="F445" s="1310" t="s">
        <v>1615</v>
      </c>
      <c r="G445" s="1310" t="s">
        <v>1572</v>
      </c>
      <c r="H445" s="1310" t="s">
        <v>1638</v>
      </c>
      <c r="I445" s="1310" t="s">
        <v>1577</v>
      </c>
      <c r="J445" s="1310" t="s">
        <v>1507</v>
      </c>
      <c r="K445" s="1310" t="s">
        <v>1450</v>
      </c>
      <c r="L445" s="1310" t="s">
        <v>263</v>
      </c>
      <c r="M445" s="1310" t="s">
        <v>263</v>
      </c>
      <c r="N445" s="1310" t="s">
        <v>262</v>
      </c>
      <c r="O445" s="1310" t="s">
        <v>263</v>
      </c>
      <c r="P445" s="1310" t="s">
        <v>264</v>
      </c>
      <c r="Q445" s="1310" t="s">
        <v>266</v>
      </c>
      <c r="R445" s="1310" t="s">
        <v>266</v>
      </c>
      <c r="S445" s="1310" t="s">
        <v>265</v>
      </c>
      <c r="T445" s="1310" t="s">
        <v>266</v>
      </c>
      <c r="U445" s="1310" t="s">
        <v>268</v>
      </c>
      <c r="V445" s="1310" t="s">
        <v>265</v>
      </c>
      <c r="W445" s="1310" t="s">
        <v>269</v>
      </c>
      <c r="X445" s="1310" t="s">
        <v>264</v>
      </c>
      <c r="Y445" s="1310" t="s">
        <v>264</v>
      </c>
      <c r="Z445" s="1310" t="s">
        <v>1483</v>
      </c>
      <c r="AA445" s="1310" t="s">
        <v>262</v>
      </c>
      <c r="AB445" s="1310" t="s">
        <v>1450</v>
      </c>
      <c r="AC445" s="1310" t="s">
        <v>263</v>
      </c>
      <c r="AD445" s="1310" t="s">
        <v>1507</v>
      </c>
      <c r="AE445" s="1310" t="s">
        <v>264</v>
      </c>
      <c r="AF445" s="1310" t="s">
        <v>265</v>
      </c>
    </row>
    <row r="446" spans="1:32" x14ac:dyDescent="0.3">
      <c r="A446" s="1310" t="s">
        <v>1518</v>
      </c>
      <c r="B446" s="1310" t="s">
        <v>1453</v>
      </c>
      <c r="C446" s="1310" t="s">
        <v>1459</v>
      </c>
      <c r="D446" s="1310" t="s">
        <v>1472</v>
      </c>
      <c r="E446" s="1310" t="s">
        <v>266</v>
      </c>
      <c r="F446" s="1310" t="s">
        <v>1519</v>
      </c>
      <c r="G446" s="1310" t="s">
        <v>1512</v>
      </c>
      <c r="H446" s="1310" t="s">
        <v>1520</v>
      </c>
      <c r="I446" s="1310" t="s">
        <v>1515</v>
      </c>
      <c r="J446" s="1310" t="s">
        <v>268</v>
      </c>
      <c r="K446" s="1310" t="s">
        <v>1521</v>
      </c>
      <c r="L446" s="1310" t="s">
        <v>1522</v>
      </c>
      <c r="M446" s="1310" t="s">
        <v>1523</v>
      </c>
      <c r="N446" s="1310" t="s">
        <v>1461</v>
      </c>
      <c r="O446" s="1310" t="s">
        <v>110</v>
      </c>
      <c r="P446" s="1310" t="s">
        <v>114</v>
      </c>
      <c r="Q446" s="1310" t="s">
        <v>1531</v>
      </c>
      <c r="R446" s="1310" t="s">
        <v>1462</v>
      </c>
      <c r="S446" s="1310" t="s">
        <v>118</v>
      </c>
      <c r="T446" s="1310" t="s">
        <v>121</v>
      </c>
      <c r="U446" s="1310" t="s">
        <v>125</v>
      </c>
      <c r="V446" s="1310" t="s">
        <v>1525</v>
      </c>
      <c r="W446" s="1310" t="s">
        <v>1524</v>
      </c>
      <c r="X446" s="1310" t="s">
        <v>1509</v>
      </c>
      <c r="Y446" s="1310" t="s">
        <v>1527</v>
      </c>
      <c r="Z446" s="1310" t="s">
        <v>1455</v>
      </c>
      <c r="AA446" s="1310" t="s">
        <v>1460</v>
      </c>
      <c r="AB446" s="1310" t="s">
        <v>130</v>
      </c>
      <c r="AC446" s="1310" t="s">
        <v>1494</v>
      </c>
      <c r="AD446" s="1310" t="s">
        <v>1526</v>
      </c>
      <c r="AE446" s="1310" t="s">
        <v>1493</v>
      </c>
      <c r="AF446" s="1310" t="s">
        <v>1502</v>
      </c>
    </row>
    <row r="447" spans="1:32" x14ac:dyDescent="0.3">
      <c r="A447" s="1310" t="s">
        <v>1445</v>
      </c>
      <c r="B447" s="1310" t="s">
        <v>1533</v>
      </c>
      <c r="C447" s="1310" t="s">
        <v>1529</v>
      </c>
      <c r="D447" s="1310" t="s">
        <v>1530</v>
      </c>
      <c r="E447" s="1310" t="s">
        <v>1528</v>
      </c>
      <c r="F447" s="1310" t="s">
        <v>111</v>
      </c>
      <c r="G447" s="1310" t="s">
        <v>1532</v>
      </c>
      <c r="H447" s="1310" t="s">
        <v>115</v>
      </c>
      <c r="I447" s="1310" t="s">
        <v>119</v>
      </c>
      <c r="J447" s="1310" t="s">
        <v>267</v>
      </c>
      <c r="K447" s="1310" t="s">
        <v>1480</v>
      </c>
      <c r="L447" s="1310" t="s">
        <v>122</v>
      </c>
      <c r="M447" s="1310" t="s">
        <v>1492</v>
      </c>
      <c r="N447" s="1310" t="s">
        <v>126</v>
      </c>
      <c r="O447" s="1310" t="s">
        <v>1536</v>
      </c>
      <c r="P447" s="1310" t="s">
        <v>1534</v>
      </c>
      <c r="Q447" s="1310" t="s">
        <v>1540</v>
      </c>
      <c r="R447" s="1310" t="s">
        <v>1538</v>
      </c>
      <c r="S447" s="1310" t="s">
        <v>1537</v>
      </c>
      <c r="T447" s="1310" t="s">
        <v>269</v>
      </c>
      <c r="U447" s="1310" t="s">
        <v>270</v>
      </c>
      <c r="V447" s="1310" t="s">
        <v>1467</v>
      </c>
      <c r="W447" s="1310" t="s">
        <v>1511</v>
      </c>
      <c r="X447" s="1310" t="s">
        <v>1597</v>
      </c>
      <c r="Y447" s="1310" t="s">
        <v>1535</v>
      </c>
      <c r="Z447" s="1310" t="s">
        <v>1539</v>
      </c>
      <c r="AA447" s="1310" t="s">
        <v>1446</v>
      </c>
      <c r="AB447" s="1310" t="s">
        <v>1454</v>
      </c>
      <c r="AC447" s="1310" t="s">
        <v>1470</v>
      </c>
      <c r="AD447" s="1310" t="s">
        <v>1473</v>
      </c>
      <c r="AE447" s="1310" t="s">
        <v>1479</v>
      </c>
      <c r="AF447" s="1310" t="s">
        <v>1541</v>
      </c>
    </row>
    <row r="448" spans="1:32" x14ac:dyDescent="0.3">
      <c r="A448" s="1310" t="s">
        <v>1485</v>
      </c>
      <c r="B448" s="1310" t="s">
        <v>131</v>
      </c>
      <c r="C448" s="1310" t="s">
        <v>112</v>
      </c>
      <c r="D448" s="1310" t="s">
        <v>116</v>
      </c>
      <c r="E448" s="1310" t="s">
        <v>120</v>
      </c>
      <c r="F448" s="1310" t="s">
        <v>1458</v>
      </c>
      <c r="G448" s="1310" t="s">
        <v>1490</v>
      </c>
      <c r="H448" s="1310" t="s">
        <v>123</v>
      </c>
      <c r="I448" s="1310" t="s">
        <v>127</v>
      </c>
      <c r="J448" s="1310" t="s">
        <v>132</v>
      </c>
      <c r="K448" s="1310" t="s">
        <v>1506</v>
      </c>
      <c r="L448" s="1310" t="s">
        <v>1544</v>
      </c>
      <c r="M448" s="1310" t="s">
        <v>113</v>
      </c>
      <c r="N448" s="1310" t="s">
        <v>117</v>
      </c>
      <c r="O448" s="1310" t="s">
        <v>129</v>
      </c>
      <c r="P448" s="1310" t="s">
        <v>124</v>
      </c>
      <c r="Q448" s="1310" t="s">
        <v>128</v>
      </c>
      <c r="R448" s="1310" t="s">
        <v>133</v>
      </c>
      <c r="S448" s="1310" t="s">
        <v>1475</v>
      </c>
      <c r="T448" s="1310" t="s">
        <v>1542</v>
      </c>
      <c r="U448" s="1310" t="s">
        <v>1545</v>
      </c>
      <c r="V448" s="1310" t="s">
        <v>1546</v>
      </c>
      <c r="W448" s="1310" t="s">
        <v>1547</v>
      </c>
      <c r="X448" s="1310" t="s">
        <v>1548</v>
      </c>
      <c r="Y448" s="1310" t="s">
        <v>1549</v>
      </c>
      <c r="Z448" s="1310" t="s">
        <v>1550</v>
      </c>
      <c r="AA448" s="1310" t="s">
        <v>1551</v>
      </c>
      <c r="AB448" s="1310" t="s">
        <v>1552</v>
      </c>
      <c r="AC448" s="1310" t="s">
        <v>1543</v>
      </c>
      <c r="AD448" s="1310" t="s">
        <v>1553</v>
      </c>
      <c r="AE448" s="1310" t="s">
        <v>1449</v>
      </c>
      <c r="AF448" s="1310" t="s">
        <v>1554</v>
      </c>
    </row>
    <row r="449" spans="1:32" x14ac:dyDescent="0.3">
      <c r="A449" s="1310" t="s">
        <v>1555</v>
      </c>
      <c r="B449" s="1310" t="s">
        <v>1556</v>
      </c>
      <c r="C449" s="1310" t="s">
        <v>1557</v>
      </c>
      <c r="D449" s="1310" t="s">
        <v>1558</v>
      </c>
      <c r="E449" s="1310" t="s">
        <v>1559</v>
      </c>
      <c r="F449" s="1310" t="s">
        <v>1560</v>
      </c>
      <c r="G449" s="1310" t="s">
        <v>1561</v>
      </c>
      <c r="H449" s="1310" t="s">
        <v>1562</v>
      </c>
      <c r="I449" s="1310" t="s">
        <v>1563</v>
      </c>
      <c r="J449" s="1310" t="s">
        <v>1488</v>
      </c>
      <c r="K449" s="1310" t="s">
        <v>1564</v>
      </c>
      <c r="L449" s="1310" t="s">
        <v>1489</v>
      </c>
      <c r="M449" s="1310" t="s">
        <v>1464</v>
      </c>
      <c r="N449" s="1310" t="s">
        <v>1565</v>
      </c>
      <c r="O449" s="1310" t="s">
        <v>1566</v>
      </c>
      <c r="P449" s="1310" t="s">
        <v>1567</v>
      </c>
      <c r="Q449" s="1310" t="s">
        <v>1568</v>
      </c>
      <c r="R449" s="1310" t="s">
        <v>1569</v>
      </c>
      <c r="S449" s="1310" t="s">
        <v>1570</v>
      </c>
      <c r="T449" s="1310" t="s">
        <v>1571</v>
      </c>
      <c r="U449" s="1310" t="s">
        <v>1574</v>
      </c>
      <c r="V449" s="1310" t="s">
        <v>1498</v>
      </c>
      <c r="W449" s="1310" t="s">
        <v>1588</v>
      </c>
      <c r="X449" s="1310" t="s">
        <v>1478</v>
      </c>
      <c r="Y449" s="1310" t="s">
        <v>1447</v>
      </c>
      <c r="Z449" s="1310" t="s">
        <v>1593</v>
      </c>
      <c r="AA449" s="1310" t="s">
        <v>1606</v>
      </c>
      <c r="AB449" s="1310" t="s">
        <v>1628</v>
      </c>
      <c r="AC449" s="1310" t="s">
        <v>1589</v>
      </c>
      <c r="AD449" s="1310" t="s">
        <v>1650</v>
      </c>
      <c r="AE449" s="1310" t="s">
        <v>1444</v>
      </c>
      <c r="AF449" s="1310" t="s">
        <v>1496</v>
      </c>
    </row>
    <row r="450" spans="1:32" x14ac:dyDescent="0.3">
      <c r="A450" s="1310" t="s">
        <v>1612</v>
      </c>
      <c r="B450" s="1310" t="s">
        <v>1631</v>
      </c>
      <c r="C450" s="1310" t="s">
        <v>1573</v>
      </c>
      <c r="D450" s="1310" t="s">
        <v>1599</v>
      </c>
      <c r="E450" s="1310" t="s">
        <v>1448</v>
      </c>
      <c r="F450" s="1310" t="s">
        <v>1585</v>
      </c>
      <c r="G450" s="1310" t="s">
        <v>1609</v>
      </c>
      <c r="H450" s="1310" t="s">
        <v>1649</v>
      </c>
      <c r="I450" s="1310" t="s">
        <v>1591</v>
      </c>
      <c r="J450" s="1310" t="s">
        <v>1604</v>
      </c>
      <c r="K450" s="1310" t="s">
        <v>1643</v>
      </c>
      <c r="L450" s="1310" t="s">
        <v>1617</v>
      </c>
      <c r="M450" s="1310" t="s">
        <v>1579</v>
      </c>
      <c r="N450" s="1310" t="s">
        <v>1622</v>
      </c>
      <c r="O450" s="1310" t="s">
        <v>1452</v>
      </c>
      <c r="P450" s="1310" t="s">
        <v>1491</v>
      </c>
      <c r="Q450" s="1310" t="s">
        <v>1652</v>
      </c>
      <c r="R450" s="1310" t="s">
        <v>1659</v>
      </c>
      <c r="S450" s="1310" t="s">
        <v>1457</v>
      </c>
      <c r="T450" s="1310" t="s">
        <v>1610</v>
      </c>
      <c r="U450" s="1310" t="s">
        <v>1632</v>
      </c>
      <c r="V450" s="1310" t="s">
        <v>1463</v>
      </c>
      <c r="W450" s="1310" t="s">
        <v>1616</v>
      </c>
      <c r="X450" s="1310" t="s">
        <v>1581</v>
      </c>
      <c r="Y450" s="1310" t="s">
        <v>1615</v>
      </c>
      <c r="Z450" s="1310" t="s">
        <v>1572</v>
      </c>
      <c r="AA450" s="1310" t="s">
        <v>1638</v>
      </c>
      <c r="AB450" s="1310" t="s">
        <v>1577</v>
      </c>
      <c r="AC450" s="1310" t="s">
        <v>1443</v>
      </c>
      <c r="AD450" s="1310" t="s">
        <v>1572</v>
      </c>
      <c r="AE450" s="1310" t="s">
        <v>1450</v>
      </c>
      <c r="AF450" s="1310" t="s">
        <v>1500</v>
      </c>
    </row>
    <row r="451" spans="1:32" x14ac:dyDescent="0.3">
      <c r="A451" s="1310" t="s">
        <v>264</v>
      </c>
      <c r="B451" s="1310" t="s">
        <v>262</v>
      </c>
      <c r="C451" s="1310" t="s">
        <v>1450</v>
      </c>
      <c r="D451" s="1310" t="s">
        <v>263</v>
      </c>
      <c r="E451" s="1310" t="s">
        <v>1507</v>
      </c>
      <c r="F451" s="1310" t="s">
        <v>264</v>
      </c>
      <c r="G451" s="1310" t="s">
        <v>1507</v>
      </c>
      <c r="H451" s="1310" t="s">
        <v>1450</v>
      </c>
      <c r="I451" s="1310" t="s">
        <v>1517</v>
      </c>
      <c r="J451" s="1310" t="s">
        <v>1450</v>
      </c>
      <c r="K451" s="1310" t="s">
        <v>1571</v>
      </c>
      <c r="L451" s="1310" t="s">
        <v>1562</v>
      </c>
      <c r="M451" s="1310" t="s">
        <v>1452</v>
      </c>
      <c r="N451" s="1310" t="s">
        <v>1621</v>
      </c>
      <c r="O451" s="1310" t="s">
        <v>1541</v>
      </c>
      <c r="P451" s="1310" t="s">
        <v>1444</v>
      </c>
      <c r="Q451" s="1310" t="s">
        <v>465</v>
      </c>
      <c r="R451" s="1310" t="s">
        <v>114</v>
      </c>
      <c r="S451" s="1310" t="s">
        <v>1488</v>
      </c>
      <c r="T451" s="1310" t="s">
        <v>1455</v>
      </c>
      <c r="U451" s="1310" t="s">
        <v>1635</v>
      </c>
      <c r="V451" s="1310" t="s">
        <v>1549</v>
      </c>
      <c r="W451" s="1310" t="s">
        <v>1644</v>
      </c>
      <c r="X451" s="1310" t="s">
        <v>1632</v>
      </c>
      <c r="Y451" s="1310" t="s">
        <v>1600</v>
      </c>
      <c r="Z451" s="1310" t="s">
        <v>1509</v>
      </c>
      <c r="AA451" s="1310" t="s">
        <v>1554</v>
      </c>
      <c r="AB451" s="1310" t="s">
        <v>1452</v>
      </c>
      <c r="AC451" s="1310" t="s">
        <v>1621</v>
      </c>
      <c r="AD451" s="1310" t="s">
        <v>1541</v>
      </c>
      <c r="AE451" s="1310" t="s">
        <v>1444</v>
      </c>
      <c r="AF451" s="1310" t="s">
        <v>465</v>
      </c>
    </row>
    <row r="452" spans="1:32" x14ac:dyDescent="0.3">
      <c r="A452" s="1310" t="s">
        <v>114</v>
      </c>
      <c r="B452" s="1310" t="s">
        <v>1488</v>
      </c>
      <c r="C452" s="1310" t="s">
        <v>1455</v>
      </c>
      <c r="D452" s="1310" t="s">
        <v>1635</v>
      </c>
      <c r="E452" s="1310" t="s">
        <v>1549</v>
      </c>
      <c r="F452" s="1310" t="s">
        <v>1644</v>
      </c>
      <c r="G452" s="1310" t="s">
        <v>1632</v>
      </c>
      <c r="H452" s="1310" t="s">
        <v>1600</v>
      </c>
      <c r="I452" s="1310" t="s">
        <v>1509</v>
      </c>
      <c r="J452" s="1310" t="s">
        <v>1554</v>
      </c>
      <c r="K452" s="1310" t="s">
        <v>1452</v>
      </c>
      <c r="L452" s="1310" t="s">
        <v>1621</v>
      </c>
      <c r="M452" s="1310" t="s">
        <v>1541</v>
      </c>
      <c r="N452" s="1310" t="s">
        <v>1622</v>
      </c>
      <c r="O452" s="1310" t="s">
        <v>1575</v>
      </c>
      <c r="P452" s="1310" t="s">
        <v>1443</v>
      </c>
      <c r="Q452" s="1310" t="s">
        <v>1450</v>
      </c>
      <c r="R452" s="1310" t="s">
        <v>1517</v>
      </c>
      <c r="S452" s="1310" t="s">
        <v>268</v>
      </c>
      <c r="T452" s="1310" t="s">
        <v>132</v>
      </c>
      <c r="U452" s="1310" t="s">
        <v>1511</v>
      </c>
      <c r="V452" s="1310" t="s">
        <v>1575</v>
      </c>
      <c r="W452" s="1310" t="s">
        <v>1468</v>
      </c>
      <c r="X452" s="1310" t="s">
        <v>120</v>
      </c>
      <c r="Y452" s="1310" t="s">
        <v>1634</v>
      </c>
      <c r="Z452" s="1310" t="s">
        <v>1605</v>
      </c>
      <c r="AA452" s="1310" t="s">
        <v>1575</v>
      </c>
      <c r="AB452" s="1310" t="s">
        <v>1508</v>
      </c>
      <c r="AC452" s="1310" t="s">
        <v>131</v>
      </c>
      <c r="AD452" s="1310" t="s">
        <v>1555</v>
      </c>
      <c r="AE452" s="1310" t="s">
        <v>119</v>
      </c>
      <c r="AF452" s="1310" t="s">
        <v>120</v>
      </c>
    </row>
    <row r="453" spans="1:32" x14ac:dyDescent="0.3">
      <c r="A453" s="1310" t="s">
        <v>1550</v>
      </c>
      <c r="B453" s="1310" t="s">
        <v>1649</v>
      </c>
      <c r="C453" s="1310" t="s">
        <v>1596</v>
      </c>
      <c r="D453" s="1310" t="s">
        <v>1562</v>
      </c>
      <c r="E453" s="1310" t="s">
        <v>1449</v>
      </c>
      <c r="F453" s="1310" t="s">
        <v>1448</v>
      </c>
      <c r="G453" s="1310" t="s">
        <v>1473</v>
      </c>
      <c r="H453" s="1310" t="s">
        <v>1603</v>
      </c>
      <c r="I453" s="1310" t="s">
        <v>130</v>
      </c>
      <c r="J453" s="1310" t="s">
        <v>1453</v>
      </c>
      <c r="K453" s="1310" t="s">
        <v>1461</v>
      </c>
      <c r="L453" s="1310" t="s">
        <v>1453</v>
      </c>
      <c r="M453" s="1310" t="s">
        <v>1653</v>
      </c>
      <c r="N453" s="1310" t="s">
        <v>1551</v>
      </c>
      <c r="O453" s="1310" t="s">
        <v>1587</v>
      </c>
      <c r="P453" s="1310" t="s">
        <v>1490</v>
      </c>
      <c r="Q453" s="1310" t="s">
        <v>1608</v>
      </c>
      <c r="R453" s="1310" t="s">
        <v>1528</v>
      </c>
      <c r="S453" s="1310" t="s">
        <v>1640</v>
      </c>
      <c r="T453" s="1310" t="s">
        <v>1449</v>
      </c>
      <c r="U453" s="1310" t="s">
        <v>1460</v>
      </c>
      <c r="V453" s="1310" t="s">
        <v>1617</v>
      </c>
      <c r="W453" s="1310" t="s">
        <v>1540</v>
      </c>
      <c r="X453" s="1310" t="s">
        <v>113</v>
      </c>
      <c r="Y453" s="1310" t="s">
        <v>1622</v>
      </c>
      <c r="Z453" s="1310" t="s">
        <v>1460</v>
      </c>
      <c r="AA453" s="1310" t="s">
        <v>1452</v>
      </c>
      <c r="AB453" s="1310" t="s">
        <v>115</v>
      </c>
      <c r="AC453" s="1310" t="s">
        <v>1564</v>
      </c>
      <c r="AD453" s="1310" t="s">
        <v>1657</v>
      </c>
      <c r="AE453" s="1310" t="s">
        <v>1027</v>
      </c>
      <c r="AF453" s="1310" t="s">
        <v>1537</v>
      </c>
    </row>
    <row r="454" spans="1:32" x14ac:dyDescent="0.3">
      <c r="A454" s="1310" t="s">
        <v>1546</v>
      </c>
      <c r="B454" s="1310" t="s">
        <v>267</v>
      </c>
      <c r="C454" s="1310" t="s">
        <v>1548</v>
      </c>
      <c r="D454" s="1310" t="s">
        <v>1585</v>
      </c>
      <c r="E454" s="1310" t="s">
        <v>1624</v>
      </c>
      <c r="F454" s="1310" t="s">
        <v>1645</v>
      </c>
      <c r="G454" s="1310" t="s">
        <v>114</v>
      </c>
      <c r="H454" s="1310" t="s">
        <v>133</v>
      </c>
      <c r="I454" s="1310" t="s">
        <v>1564</v>
      </c>
      <c r="J454" s="1310" t="s">
        <v>262</v>
      </c>
      <c r="K454" s="1310" t="s">
        <v>1572</v>
      </c>
      <c r="L454" s="1310" t="s">
        <v>1453</v>
      </c>
      <c r="M454" s="1310" t="s">
        <v>1480</v>
      </c>
      <c r="N454" s="1310" t="s">
        <v>114</v>
      </c>
      <c r="O454" s="1310" t="s">
        <v>1587</v>
      </c>
      <c r="P454" s="1310" t="s">
        <v>1534</v>
      </c>
      <c r="Q454" s="1310" t="s">
        <v>1446</v>
      </c>
      <c r="R454" s="1310" t="s">
        <v>1592</v>
      </c>
      <c r="S454" s="1310" t="s">
        <v>1593</v>
      </c>
      <c r="T454" s="1310" t="s">
        <v>1604</v>
      </c>
      <c r="U454" s="1310" t="s">
        <v>119</v>
      </c>
      <c r="V454" s="1310" t="s">
        <v>1638</v>
      </c>
      <c r="W454" s="1310" t="s">
        <v>1624</v>
      </c>
      <c r="X454" s="1310" t="s">
        <v>1503</v>
      </c>
      <c r="Y454" s="1310" t="s">
        <v>1482</v>
      </c>
      <c r="Z454" s="1310" t="s">
        <v>1530</v>
      </c>
      <c r="AA454" s="1310" t="s">
        <v>1570</v>
      </c>
      <c r="AB454" s="1310" t="s">
        <v>1659</v>
      </c>
      <c r="AC454" s="1310" t="s">
        <v>1535</v>
      </c>
      <c r="AD454" s="1310" t="s">
        <v>1596</v>
      </c>
      <c r="AE454" s="1310" t="s">
        <v>1472</v>
      </c>
      <c r="AF454" s="1310" t="s">
        <v>1516</v>
      </c>
    </row>
    <row r="455" spans="1:32" x14ac:dyDescent="0.3">
      <c r="A455" s="1310" t="s">
        <v>1548</v>
      </c>
      <c r="B455" s="1310" t="s">
        <v>1593</v>
      </c>
      <c r="C455" s="1310" t="s">
        <v>1626</v>
      </c>
      <c r="D455" s="1310" t="s">
        <v>1443</v>
      </c>
      <c r="E455" s="1310" t="s">
        <v>1450</v>
      </c>
      <c r="F455" s="1310" t="s">
        <v>1520</v>
      </c>
      <c r="G455" s="1310" t="s">
        <v>116</v>
      </c>
      <c r="H455" s="1310" t="s">
        <v>1585</v>
      </c>
      <c r="I455" s="1310" t="s">
        <v>113</v>
      </c>
      <c r="J455" s="1310" t="s">
        <v>1561</v>
      </c>
      <c r="K455" s="1310" t="s">
        <v>121</v>
      </c>
      <c r="L455" s="1310" t="s">
        <v>1485</v>
      </c>
      <c r="M455" s="1310" t="s">
        <v>1584</v>
      </c>
      <c r="N455" s="1310" t="s">
        <v>1622</v>
      </c>
      <c r="O455" s="1310" t="s">
        <v>116</v>
      </c>
      <c r="P455" s="1310" t="s">
        <v>465</v>
      </c>
      <c r="Q455" s="1310" t="s">
        <v>1639</v>
      </c>
      <c r="R455" s="1310" t="s">
        <v>1631</v>
      </c>
      <c r="S455" s="1310" t="s">
        <v>1030</v>
      </c>
      <c r="T455" s="1310" t="s">
        <v>1562</v>
      </c>
      <c r="U455" s="1310" t="s">
        <v>1620</v>
      </c>
      <c r="V455" s="1310" t="s">
        <v>1534</v>
      </c>
      <c r="W455" s="1310" t="s">
        <v>1523</v>
      </c>
      <c r="X455" s="1310" t="s">
        <v>127</v>
      </c>
      <c r="Y455" s="1310" t="s">
        <v>1581</v>
      </c>
      <c r="Z455" s="1310" t="s">
        <v>1443</v>
      </c>
      <c r="AA455" s="1310" t="s">
        <v>1450</v>
      </c>
      <c r="AB455" s="1310" t="s">
        <v>1572</v>
      </c>
      <c r="AC455" s="1310" t="s">
        <v>1482</v>
      </c>
      <c r="AD455" s="1310" t="s">
        <v>1503</v>
      </c>
      <c r="AE455" s="1310" t="s">
        <v>133</v>
      </c>
      <c r="AF455" s="1310" t="s">
        <v>1592</v>
      </c>
    </row>
    <row r="456" spans="1:32" x14ac:dyDescent="0.3">
      <c r="A456" s="1310" t="s">
        <v>1500</v>
      </c>
      <c r="B456" s="1310" t="s">
        <v>1444</v>
      </c>
      <c r="C456" s="1310" t="s">
        <v>1504</v>
      </c>
      <c r="D456" s="1310" t="s">
        <v>110</v>
      </c>
      <c r="E456" s="1310" t="s">
        <v>1562</v>
      </c>
      <c r="F456" s="1310" t="s">
        <v>1592</v>
      </c>
      <c r="G456" s="1310" t="s">
        <v>1479</v>
      </c>
      <c r="H456" s="1310" t="s">
        <v>1589</v>
      </c>
      <c r="I456" s="1310" t="s">
        <v>1576</v>
      </c>
      <c r="J456" s="1310" t="s">
        <v>1460</v>
      </c>
      <c r="K456" s="1310" t="s">
        <v>1546</v>
      </c>
      <c r="L456" s="1310" t="s">
        <v>1527</v>
      </c>
      <c r="M456" s="1310" t="s">
        <v>1027</v>
      </c>
      <c r="N456" s="1310" t="s">
        <v>1480</v>
      </c>
      <c r="O456" s="1310" t="s">
        <v>1574</v>
      </c>
      <c r="P456" s="1310" t="s">
        <v>1487</v>
      </c>
      <c r="Q456" s="1310" t="s">
        <v>1536</v>
      </c>
      <c r="R456" s="1310" t="s">
        <v>1446</v>
      </c>
      <c r="S456" s="1310" t="s">
        <v>1509</v>
      </c>
      <c r="T456" s="1310" t="s">
        <v>1624</v>
      </c>
      <c r="U456" s="1310" t="s">
        <v>1462</v>
      </c>
      <c r="V456" s="1310" t="s">
        <v>1535</v>
      </c>
      <c r="W456" s="1310" t="s">
        <v>1553</v>
      </c>
      <c r="X456" s="1310" t="s">
        <v>1562</v>
      </c>
      <c r="Y456" s="1310" t="s">
        <v>1545</v>
      </c>
      <c r="Z456" s="1310" t="s">
        <v>1591</v>
      </c>
      <c r="AA456" s="1310" t="s">
        <v>1558</v>
      </c>
      <c r="AB456" s="1310" t="s">
        <v>1452</v>
      </c>
      <c r="AC456" s="1310" t="s">
        <v>1629</v>
      </c>
      <c r="AD456" s="1310" t="s">
        <v>1505</v>
      </c>
      <c r="AE456" s="1310" t="s">
        <v>1448</v>
      </c>
      <c r="AF456" s="1310" t="s">
        <v>1475</v>
      </c>
    </row>
    <row r="457" spans="1:32" x14ac:dyDescent="0.3">
      <c r="A457" s="1310" t="s">
        <v>1591</v>
      </c>
      <c r="B457" s="1310" t="s">
        <v>1531</v>
      </c>
      <c r="C457" s="1310" t="s">
        <v>126</v>
      </c>
      <c r="D457" s="1310" t="s">
        <v>1591</v>
      </c>
      <c r="E457" s="1310" t="s">
        <v>1445</v>
      </c>
      <c r="F457" s="1310" t="s">
        <v>1478</v>
      </c>
      <c r="G457" s="1310" t="s">
        <v>1648</v>
      </c>
      <c r="H457" s="1310" t="s">
        <v>1563</v>
      </c>
      <c r="I457" s="1310" t="s">
        <v>1617</v>
      </c>
      <c r="J457" s="1310" t="s">
        <v>1549</v>
      </c>
      <c r="K457" s="1310" t="s">
        <v>1659</v>
      </c>
      <c r="L457" s="1310" t="s">
        <v>1537</v>
      </c>
      <c r="M457" s="1310" t="s">
        <v>1543</v>
      </c>
      <c r="N457" s="1310" t="s">
        <v>1582</v>
      </c>
      <c r="O457" s="1310" t="s">
        <v>1608</v>
      </c>
      <c r="P457" s="1310" t="s">
        <v>1601</v>
      </c>
      <c r="Q457" s="1310" t="s">
        <v>1452</v>
      </c>
      <c r="R457" s="1310" t="s">
        <v>1556</v>
      </c>
      <c r="S457" s="1310" t="s">
        <v>1466</v>
      </c>
      <c r="T457" s="1310" t="s">
        <v>1579</v>
      </c>
      <c r="U457" s="1310" t="s">
        <v>1475</v>
      </c>
      <c r="V457" s="1310" t="s">
        <v>1596</v>
      </c>
      <c r="W457" s="1310" t="s">
        <v>1531</v>
      </c>
      <c r="X457" s="1310" t="s">
        <v>126</v>
      </c>
      <c r="Y457" s="1310" t="s">
        <v>1591</v>
      </c>
      <c r="Z457" s="1310" t="s">
        <v>1627</v>
      </c>
      <c r="AA457" s="1310" t="s">
        <v>1549</v>
      </c>
      <c r="AB457" s="1310" t="s">
        <v>110</v>
      </c>
      <c r="AC457" s="1310" t="s">
        <v>1659</v>
      </c>
      <c r="AD457" s="1310" t="s">
        <v>1499</v>
      </c>
      <c r="AE457" s="1310" t="s">
        <v>1632</v>
      </c>
      <c r="AF457" s="1310" t="s">
        <v>1547</v>
      </c>
    </row>
    <row r="458" spans="1:32" x14ac:dyDescent="0.3">
      <c r="A458" s="1310" t="s">
        <v>122</v>
      </c>
      <c r="B458" s="1310" t="s">
        <v>1568</v>
      </c>
      <c r="C458" s="1310" t="s">
        <v>1568</v>
      </c>
      <c r="D458" s="1310" t="s">
        <v>1509</v>
      </c>
      <c r="E458" s="1310" t="s">
        <v>1502</v>
      </c>
      <c r="F458" s="1310" t="s">
        <v>1523</v>
      </c>
      <c r="G458" s="1310" t="s">
        <v>1502</v>
      </c>
      <c r="H458" s="1310" t="s">
        <v>1632</v>
      </c>
      <c r="I458" s="1310" t="s">
        <v>1548</v>
      </c>
      <c r="J458" s="1310" t="s">
        <v>1632</v>
      </c>
      <c r="K458" s="1310" t="s">
        <v>465</v>
      </c>
      <c r="L458" s="1310" t="s">
        <v>1586</v>
      </c>
      <c r="M458" s="1310" t="s">
        <v>1639</v>
      </c>
      <c r="N458" s="1310" t="s">
        <v>110</v>
      </c>
      <c r="O458" s="1310" t="s">
        <v>1546</v>
      </c>
      <c r="P458" s="1310" t="s">
        <v>1640</v>
      </c>
      <c r="Q458" s="1310" t="s">
        <v>1518</v>
      </c>
      <c r="R458" s="1310" t="s">
        <v>1537</v>
      </c>
      <c r="S458" s="1310" t="s">
        <v>1579</v>
      </c>
      <c r="T458" s="1310" t="s">
        <v>1517</v>
      </c>
      <c r="U458" s="1310" t="s">
        <v>1448</v>
      </c>
      <c r="V458" s="1310" t="s">
        <v>1480</v>
      </c>
      <c r="W458" s="1310" t="s">
        <v>1586</v>
      </c>
      <c r="X458" s="1310" t="s">
        <v>1544</v>
      </c>
      <c r="Y458" s="1310" t="s">
        <v>1539</v>
      </c>
      <c r="Z458" s="1310" t="s">
        <v>267</v>
      </c>
      <c r="AA458" s="1310" t="s">
        <v>112</v>
      </c>
      <c r="AB458" s="1310" t="s">
        <v>1478</v>
      </c>
      <c r="AC458" s="1310" t="s">
        <v>1451</v>
      </c>
      <c r="AD458" s="1310" t="s">
        <v>1524</v>
      </c>
      <c r="AE458" s="1310" t="s">
        <v>1604</v>
      </c>
      <c r="AF458" s="1310" t="s">
        <v>1616</v>
      </c>
    </row>
    <row r="459" spans="1:32" x14ac:dyDescent="0.3">
      <c r="A459" s="1310" t="s">
        <v>1637</v>
      </c>
      <c r="B459" s="1310" t="s">
        <v>1462</v>
      </c>
      <c r="C459" s="1310" t="s">
        <v>1453</v>
      </c>
      <c r="D459" s="1310" t="s">
        <v>133</v>
      </c>
      <c r="E459" s="1310" t="s">
        <v>1516</v>
      </c>
      <c r="F459" s="1310" t="s">
        <v>1533</v>
      </c>
      <c r="G459" s="1310" t="s">
        <v>1652</v>
      </c>
      <c r="H459" s="1310" t="s">
        <v>1515</v>
      </c>
      <c r="I459" s="1310" t="s">
        <v>1561</v>
      </c>
      <c r="J459" s="1310" t="s">
        <v>115</v>
      </c>
      <c r="K459" s="1310" t="s">
        <v>1519</v>
      </c>
      <c r="L459" s="1310" t="s">
        <v>1516</v>
      </c>
      <c r="M459" s="1310" t="s">
        <v>120</v>
      </c>
      <c r="N459" s="1310" t="s">
        <v>1643</v>
      </c>
      <c r="O459" s="1310" t="s">
        <v>1535</v>
      </c>
      <c r="P459" s="1310" t="s">
        <v>1543</v>
      </c>
      <c r="Q459" s="1310" t="s">
        <v>1535</v>
      </c>
      <c r="R459" s="1310" t="s">
        <v>1612</v>
      </c>
      <c r="S459" s="1310" t="s">
        <v>1491</v>
      </c>
      <c r="T459" s="1310" t="s">
        <v>1551</v>
      </c>
      <c r="U459" s="1310" t="s">
        <v>1589</v>
      </c>
      <c r="V459" s="1310" t="s">
        <v>126</v>
      </c>
      <c r="W459" s="1310" t="s">
        <v>1496</v>
      </c>
      <c r="X459" s="1310" t="s">
        <v>1552</v>
      </c>
      <c r="Y459" s="1310" t="s">
        <v>1453</v>
      </c>
      <c r="Z459" s="1310" t="s">
        <v>1653</v>
      </c>
      <c r="AA459" s="1310" t="s">
        <v>1645</v>
      </c>
      <c r="AB459" s="1310" t="s">
        <v>1449</v>
      </c>
      <c r="AC459" s="1310" t="s">
        <v>1628</v>
      </c>
      <c r="AD459" s="1310" t="s">
        <v>1631</v>
      </c>
      <c r="AE459" s="1310" t="s">
        <v>114</v>
      </c>
      <c r="AF459" s="1310" t="s">
        <v>1568</v>
      </c>
    </row>
    <row r="460" spans="1:32" x14ac:dyDescent="0.3">
      <c r="A460" s="1310" t="s">
        <v>1540</v>
      </c>
      <c r="B460" s="1310" t="s">
        <v>1629</v>
      </c>
      <c r="C460" s="1310" t="s">
        <v>1607</v>
      </c>
      <c r="D460" s="1310" t="s">
        <v>1535</v>
      </c>
      <c r="E460" s="1310" t="s">
        <v>1459</v>
      </c>
      <c r="F460" s="1310" t="s">
        <v>1628</v>
      </c>
      <c r="G460" s="1310" t="s">
        <v>1573</v>
      </c>
      <c r="H460" s="1310" t="s">
        <v>1659</v>
      </c>
      <c r="I460" s="1310" t="s">
        <v>1561</v>
      </c>
      <c r="J460" s="1310" t="s">
        <v>1568</v>
      </c>
      <c r="K460" s="1310" t="s">
        <v>1511</v>
      </c>
      <c r="L460" s="1310" t="s">
        <v>1479</v>
      </c>
      <c r="M460" s="1310" t="s">
        <v>1649</v>
      </c>
      <c r="N460" s="1310" t="s">
        <v>1653</v>
      </c>
      <c r="O460" s="1310" t="s">
        <v>1603</v>
      </c>
      <c r="P460" s="1310" t="s">
        <v>1629</v>
      </c>
      <c r="Q460" s="1310" t="s">
        <v>124</v>
      </c>
      <c r="R460" s="1310" t="s">
        <v>1629</v>
      </c>
      <c r="S460" s="1310" t="s">
        <v>1643</v>
      </c>
      <c r="T460" s="1310" t="s">
        <v>1481</v>
      </c>
      <c r="U460" s="1310" t="s">
        <v>1473</v>
      </c>
      <c r="V460" s="1310" t="s">
        <v>112</v>
      </c>
      <c r="W460" s="1310" t="s">
        <v>1584</v>
      </c>
      <c r="X460" s="1310" t="s">
        <v>267</v>
      </c>
      <c r="Y460" s="1310" t="s">
        <v>1455</v>
      </c>
      <c r="Z460" s="1310" t="s">
        <v>1635</v>
      </c>
      <c r="AA460" s="1310" t="s">
        <v>1549</v>
      </c>
      <c r="AB460" s="1310" t="s">
        <v>1644</v>
      </c>
      <c r="AC460" s="1310" t="s">
        <v>1632</v>
      </c>
      <c r="AD460" s="1310" t="s">
        <v>1600</v>
      </c>
      <c r="AE460" s="1310" t="s">
        <v>1509</v>
      </c>
      <c r="AF460" s="1310" t="s">
        <v>1576</v>
      </c>
    </row>
    <row r="461" spans="1:32" x14ac:dyDescent="0.3">
      <c r="A461" s="1310" t="s">
        <v>1462</v>
      </c>
      <c r="B461" s="1310" t="s">
        <v>1629</v>
      </c>
      <c r="C461" s="1310" t="s">
        <v>1530</v>
      </c>
      <c r="D461" s="1310" t="s">
        <v>1652</v>
      </c>
      <c r="E461" s="1310" t="s">
        <v>1584</v>
      </c>
      <c r="F461" s="1310" t="s">
        <v>1597</v>
      </c>
      <c r="G461" s="1310" t="s">
        <v>1549</v>
      </c>
      <c r="H461" s="1310" t="s">
        <v>1578</v>
      </c>
      <c r="I461" s="1310" t="s">
        <v>1467</v>
      </c>
      <c r="J461" s="1310" t="s">
        <v>465</v>
      </c>
      <c r="K461" s="1310" t="s">
        <v>1533</v>
      </c>
      <c r="L461" s="1310" t="s">
        <v>1654</v>
      </c>
      <c r="M461" s="1310" t="s">
        <v>1445</v>
      </c>
      <c r="N461" s="1310" t="s">
        <v>1452</v>
      </c>
      <c r="O461" s="1310" t="s">
        <v>1637</v>
      </c>
      <c r="P461" s="1310" t="s">
        <v>1533</v>
      </c>
      <c r="Q461" s="1310" t="s">
        <v>1533</v>
      </c>
      <c r="R461" s="1310" t="s">
        <v>1496</v>
      </c>
      <c r="S461" s="1310" t="s">
        <v>118</v>
      </c>
      <c r="T461" s="1310" t="s">
        <v>1452</v>
      </c>
      <c r="U461" s="1310" t="s">
        <v>1560</v>
      </c>
      <c r="V461" s="1310" t="s">
        <v>1660</v>
      </c>
      <c r="W461" s="1310" t="s">
        <v>121</v>
      </c>
      <c r="X461" s="1310" t="s">
        <v>111</v>
      </c>
      <c r="Y461" s="1310" t="s">
        <v>1622</v>
      </c>
      <c r="Z461" s="1310" t="s">
        <v>1647</v>
      </c>
      <c r="AA461" s="1310" t="s">
        <v>1638</v>
      </c>
      <c r="AB461" s="1310" t="s">
        <v>6</v>
      </c>
      <c r="AC461" s="1310" t="s">
        <v>123</v>
      </c>
      <c r="AD461" s="1310" t="s">
        <v>1530</v>
      </c>
      <c r="AE461" s="1310" t="s">
        <v>1606</v>
      </c>
      <c r="AF461" s="1310" t="s">
        <v>1559</v>
      </c>
    </row>
    <row r="462" spans="1:32" x14ac:dyDescent="0.3">
      <c r="A462" s="1310" t="s">
        <v>1571</v>
      </c>
      <c r="B462" s="1310" t="s">
        <v>1467</v>
      </c>
      <c r="C462" s="1310" t="s">
        <v>122</v>
      </c>
      <c r="D462" s="1310" t="s">
        <v>268</v>
      </c>
      <c r="E462" s="1310" t="s">
        <v>1541</v>
      </c>
      <c r="F462" s="1310" t="s">
        <v>1486</v>
      </c>
      <c r="G462" s="1310" t="s">
        <v>1507</v>
      </c>
      <c r="H462" s="1310" t="s">
        <v>1538</v>
      </c>
      <c r="I462" s="1310" t="s">
        <v>1469</v>
      </c>
      <c r="J462" s="1310" t="s">
        <v>1508</v>
      </c>
      <c r="K462" s="1310" t="s">
        <v>1545</v>
      </c>
      <c r="L462" s="1310" t="s">
        <v>465</v>
      </c>
      <c r="M462" s="1310" t="s">
        <v>1504</v>
      </c>
      <c r="N462" s="1310" t="s">
        <v>1543</v>
      </c>
      <c r="O462" s="1310" t="s">
        <v>110</v>
      </c>
      <c r="P462" s="1310" t="s">
        <v>1478</v>
      </c>
      <c r="Q462" s="1310" t="s">
        <v>1566</v>
      </c>
      <c r="R462" s="1310" t="s">
        <v>1621</v>
      </c>
      <c r="S462" s="1310" t="s">
        <v>1629</v>
      </c>
      <c r="T462" s="1310" t="s">
        <v>1606</v>
      </c>
      <c r="U462" s="1310" t="s">
        <v>1609</v>
      </c>
      <c r="V462" s="1310" t="s">
        <v>1486</v>
      </c>
      <c r="W462" s="1310" t="s">
        <v>1030</v>
      </c>
      <c r="X462" s="1310" t="s">
        <v>1653</v>
      </c>
      <c r="Y462" s="1310" t="s">
        <v>1617</v>
      </c>
      <c r="Z462" s="1310" t="s">
        <v>1604</v>
      </c>
      <c r="AA462" s="1310" t="s">
        <v>1480</v>
      </c>
      <c r="AB462" s="1310" t="s">
        <v>129</v>
      </c>
      <c r="AC462" s="1310" t="s">
        <v>1615</v>
      </c>
      <c r="AD462" s="1310" t="s">
        <v>264</v>
      </c>
      <c r="AE462" s="1310" t="s">
        <v>1565</v>
      </c>
      <c r="AF462" s="1310" t="s">
        <v>127</v>
      </c>
    </row>
    <row r="463" spans="1:32" x14ac:dyDescent="0.3">
      <c r="A463" s="1310" t="s">
        <v>1466</v>
      </c>
      <c r="B463" s="1310" t="s">
        <v>465</v>
      </c>
      <c r="C463" s="1310" t="s">
        <v>1475</v>
      </c>
      <c r="D463" s="1310" t="s">
        <v>1561</v>
      </c>
      <c r="E463" s="1310" t="s">
        <v>1575</v>
      </c>
      <c r="F463" s="1310" t="s">
        <v>1654</v>
      </c>
      <c r="G463" s="1310" t="s">
        <v>1619</v>
      </c>
      <c r="H463" s="1310" t="s">
        <v>111</v>
      </c>
      <c r="I463" s="1310" t="s">
        <v>1587</v>
      </c>
      <c r="J463" s="1310" t="s">
        <v>471</v>
      </c>
      <c r="K463" s="1310" t="s">
        <v>1591</v>
      </c>
      <c r="L463" s="1310" t="s">
        <v>1474</v>
      </c>
      <c r="M463" s="1310" t="s">
        <v>130</v>
      </c>
      <c r="N463" s="1310" t="s">
        <v>1485</v>
      </c>
      <c r="O463" s="1310" t="s">
        <v>1509</v>
      </c>
      <c r="P463" s="1310" t="s">
        <v>1573</v>
      </c>
      <c r="Q463" s="1310" t="s">
        <v>1526</v>
      </c>
      <c r="R463" s="1310" t="s">
        <v>1471</v>
      </c>
      <c r="S463" s="1310" t="s">
        <v>1604</v>
      </c>
      <c r="T463" s="1310" t="s">
        <v>1627</v>
      </c>
      <c r="U463" s="1310" t="s">
        <v>1608</v>
      </c>
      <c r="V463" s="1310" t="s">
        <v>129</v>
      </c>
      <c r="W463" s="1310" t="s">
        <v>1629</v>
      </c>
      <c r="X463" s="1310" t="s">
        <v>1586</v>
      </c>
      <c r="Y463" s="1310" t="s">
        <v>1531</v>
      </c>
      <c r="Z463" s="1310" t="s">
        <v>120</v>
      </c>
      <c r="AA463" s="1310" t="s">
        <v>119</v>
      </c>
      <c r="AB463" s="1310" t="s">
        <v>1576</v>
      </c>
      <c r="AC463" s="1310" t="s">
        <v>1534</v>
      </c>
      <c r="AD463" s="1310" t="s">
        <v>1617</v>
      </c>
      <c r="AE463" s="1310" t="s">
        <v>1604</v>
      </c>
      <c r="AF463" s="1310" t="s">
        <v>1656</v>
      </c>
    </row>
    <row r="464" spans="1:32" x14ac:dyDescent="0.3">
      <c r="A464" s="1310" t="s">
        <v>1478</v>
      </c>
      <c r="B464" s="1310" t="s">
        <v>1514</v>
      </c>
      <c r="C464" s="1310" t="s">
        <v>1639</v>
      </c>
      <c r="D464" s="1310" t="s">
        <v>1443</v>
      </c>
      <c r="E464" s="1310" t="s">
        <v>1450</v>
      </c>
      <c r="F464" s="1310" t="s">
        <v>1478</v>
      </c>
      <c r="G464" s="1310" t="s">
        <v>1473</v>
      </c>
      <c r="H464" s="1310" t="s">
        <v>1507</v>
      </c>
      <c r="I464" s="1310" t="s">
        <v>1624</v>
      </c>
      <c r="J464" s="1310" t="s">
        <v>111</v>
      </c>
      <c r="K464" s="1310" t="s">
        <v>1506</v>
      </c>
      <c r="L464" s="1310" t="s">
        <v>1454</v>
      </c>
      <c r="M464" s="1310" t="s">
        <v>1592</v>
      </c>
      <c r="N464" s="1310" t="s">
        <v>1568</v>
      </c>
      <c r="O464" s="1310" t="s">
        <v>269</v>
      </c>
      <c r="P464" s="1310" t="s">
        <v>1513</v>
      </c>
      <c r="Q464" s="1310" t="s">
        <v>1606</v>
      </c>
      <c r="R464" s="1310" t="s">
        <v>1531</v>
      </c>
      <c r="S464" s="1310" t="s">
        <v>1557</v>
      </c>
      <c r="T464" s="1310" t="s">
        <v>1560</v>
      </c>
      <c r="U464" s="1310" t="s">
        <v>1567</v>
      </c>
      <c r="V464" s="1310" t="s">
        <v>118</v>
      </c>
      <c r="W464" s="1310" t="s">
        <v>1448</v>
      </c>
      <c r="X464" s="1310" t="s">
        <v>471</v>
      </c>
      <c r="Y464" s="1310" t="s">
        <v>1652</v>
      </c>
      <c r="Z464" s="1310" t="s">
        <v>1630</v>
      </c>
      <c r="AA464" s="1310" t="s">
        <v>1556</v>
      </c>
      <c r="AB464" s="1310" t="s">
        <v>1660</v>
      </c>
      <c r="AC464" s="1310" t="s">
        <v>1573</v>
      </c>
      <c r="AD464" s="1310" t="s">
        <v>1640</v>
      </c>
      <c r="AE464" s="1310" t="s">
        <v>471</v>
      </c>
      <c r="AF464" s="1310" t="s">
        <v>1628</v>
      </c>
    </row>
    <row r="465" spans="1:32" x14ac:dyDescent="0.3">
      <c r="A465" s="1310" t="s">
        <v>1450</v>
      </c>
      <c r="B465" s="1310" t="s">
        <v>1456</v>
      </c>
      <c r="C465" s="1310" t="s">
        <v>128</v>
      </c>
      <c r="D465" s="1310" t="s">
        <v>1629</v>
      </c>
      <c r="E465" s="1310" t="s">
        <v>114</v>
      </c>
      <c r="F465" s="1310" t="s">
        <v>265</v>
      </c>
      <c r="G465" s="1310" t="s">
        <v>1460</v>
      </c>
      <c r="H465" s="1310" t="s">
        <v>1638</v>
      </c>
      <c r="I465" s="1310" t="s">
        <v>1542</v>
      </c>
      <c r="J465" s="1310" t="s">
        <v>1598</v>
      </c>
      <c r="K465" s="1310" t="s">
        <v>1481</v>
      </c>
      <c r="L465" s="1310" t="s">
        <v>1492</v>
      </c>
      <c r="M465" s="1310" t="s">
        <v>1651</v>
      </c>
      <c r="N465" s="1310" t="s">
        <v>1476</v>
      </c>
      <c r="O465" s="1310" t="s">
        <v>1583</v>
      </c>
      <c r="P465" s="1310" t="s">
        <v>1645</v>
      </c>
      <c r="Q465" s="1310" t="s">
        <v>1631</v>
      </c>
      <c r="R465" s="1310" t="s">
        <v>264</v>
      </c>
      <c r="S465" s="1310" t="s">
        <v>471</v>
      </c>
      <c r="T465" s="1310" t="s">
        <v>1497</v>
      </c>
      <c r="U465" s="1310" t="s">
        <v>1581</v>
      </c>
      <c r="V465" s="1310" t="s">
        <v>1027</v>
      </c>
      <c r="W465" s="1310" t="s">
        <v>1648</v>
      </c>
      <c r="X465" s="1310" t="s">
        <v>1647</v>
      </c>
      <c r="Y465" s="1310" t="s">
        <v>1503</v>
      </c>
      <c r="Z465" s="1310" t="s">
        <v>1624</v>
      </c>
      <c r="AA465" s="1310" t="s">
        <v>1536</v>
      </c>
      <c r="AB465" s="1310" t="s">
        <v>128</v>
      </c>
      <c r="AC465" s="1310" t="s">
        <v>1508</v>
      </c>
      <c r="AD465" s="1310" t="s">
        <v>1557</v>
      </c>
      <c r="AE465" s="1310" t="s">
        <v>1615</v>
      </c>
      <c r="AF465" s="1310" t="s">
        <v>1556</v>
      </c>
    </row>
    <row r="466" spans="1:32" x14ac:dyDescent="0.3">
      <c r="A466" s="1310" t="s">
        <v>471</v>
      </c>
      <c r="B466" s="1310" t="s">
        <v>267</v>
      </c>
      <c r="C466" s="1310" t="s">
        <v>1453</v>
      </c>
      <c r="D466" s="1310" t="s">
        <v>1544</v>
      </c>
      <c r="E466" s="1310" t="s">
        <v>1633</v>
      </c>
      <c r="F466" s="1310" t="s">
        <v>1576</v>
      </c>
      <c r="G466" s="1310" t="s">
        <v>1518</v>
      </c>
      <c r="H466" s="1310" t="s">
        <v>1615</v>
      </c>
      <c r="I466" s="1310" t="s">
        <v>129</v>
      </c>
      <c r="J466" s="1310" t="s">
        <v>1462</v>
      </c>
      <c r="K466" s="1310" t="s">
        <v>128</v>
      </c>
      <c r="L466" s="1310" t="s">
        <v>1618</v>
      </c>
      <c r="M466" s="1310" t="s">
        <v>1473</v>
      </c>
      <c r="N466" s="1310" t="s">
        <v>120</v>
      </c>
      <c r="O466" s="1310" t="s">
        <v>1581</v>
      </c>
      <c r="P466" s="1310" t="s">
        <v>118</v>
      </c>
      <c r="Q466" s="1310" t="s">
        <v>1533</v>
      </c>
      <c r="R466" s="1310" t="s">
        <v>1654</v>
      </c>
      <c r="S466" s="1310" t="s">
        <v>1027</v>
      </c>
      <c r="T466" s="1310" t="s">
        <v>1626</v>
      </c>
      <c r="U466" s="1310" t="s">
        <v>1659</v>
      </c>
      <c r="V466" s="1310" t="s">
        <v>1541</v>
      </c>
      <c r="W466" s="1310" t="s">
        <v>1591</v>
      </c>
      <c r="X466" s="1310" t="s">
        <v>1523</v>
      </c>
      <c r="Y466" s="1310" t="s">
        <v>1486</v>
      </c>
      <c r="Z466" s="1310" t="s">
        <v>1645</v>
      </c>
      <c r="AA466" s="1310" t="s">
        <v>1520</v>
      </c>
      <c r="AB466" s="1310" t="s">
        <v>1573</v>
      </c>
      <c r="AC466" s="1310" t="s">
        <v>1525</v>
      </c>
      <c r="AD466" s="1310" t="s">
        <v>1509</v>
      </c>
      <c r="AE466" s="1310" t="s">
        <v>1447</v>
      </c>
      <c r="AF466" s="1310" t="s">
        <v>1642</v>
      </c>
    </row>
    <row r="467" spans="1:32" x14ac:dyDescent="0.3">
      <c r="A467" s="1310" t="s">
        <v>1632</v>
      </c>
      <c r="B467" s="1310" t="s">
        <v>1473</v>
      </c>
      <c r="C467" s="1310" t="s">
        <v>1603</v>
      </c>
      <c r="D467" s="1310" t="s">
        <v>1621</v>
      </c>
      <c r="E467" s="1310" t="s">
        <v>262</v>
      </c>
      <c r="F467" s="1310" t="s">
        <v>1551</v>
      </c>
      <c r="G467" s="1310" t="s">
        <v>1612</v>
      </c>
      <c r="H467" s="1310" t="s">
        <v>1475</v>
      </c>
      <c r="I467" s="1310" t="s">
        <v>1469</v>
      </c>
      <c r="J467" s="1310" t="s">
        <v>1627</v>
      </c>
      <c r="K467" s="1310" t="s">
        <v>1533</v>
      </c>
      <c r="L467" s="1310" t="s">
        <v>1500</v>
      </c>
      <c r="M467" s="1310" t="s">
        <v>1527</v>
      </c>
      <c r="N467" s="1310" t="s">
        <v>1627</v>
      </c>
      <c r="O467" s="1310" t="s">
        <v>1511</v>
      </c>
      <c r="P467" s="1310" t="s">
        <v>1581</v>
      </c>
      <c r="Q467" s="1310" t="s">
        <v>1585</v>
      </c>
      <c r="R467" s="1310" t="s">
        <v>1590</v>
      </c>
      <c r="S467" s="1310" t="s">
        <v>1573</v>
      </c>
      <c r="T467" s="1310" t="s">
        <v>1581</v>
      </c>
      <c r="U467" s="1310" t="s">
        <v>1587</v>
      </c>
      <c r="V467" s="1310" t="s">
        <v>1632</v>
      </c>
      <c r="W467" s="1310" t="s">
        <v>122</v>
      </c>
      <c r="X467" s="1310" t="s">
        <v>6</v>
      </c>
      <c r="Y467" s="1310" t="s">
        <v>1530</v>
      </c>
      <c r="Z467" s="1310" t="s">
        <v>1525</v>
      </c>
      <c r="AA467" s="1310" t="s">
        <v>1651</v>
      </c>
      <c r="AB467" s="1310" t="s">
        <v>1498</v>
      </c>
      <c r="AC467" s="1310" t="s">
        <v>1599</v>
      </c>
      <c r="AD467" s="1310" t="s">
        <v>1574</v>
      </c>
      <c r="AE467" s="1310" t="s">
        <v>1544</v>
      </c>
      <c r="AF467" s="1310" t="s">
        <v>1497</v>
      </c>
    </row>
    <row r="468" spans="1:32" x14ac:dyDescent="0.3">
      <c r="A468" s="1310" t="s">
        <v>1516</v>
      </c>
      <c r="B468" s="1310" t="s">
        <v>1522</v>
      </c>
      <c r="C468" s="1310" t="s">
        <v>1570</v>
      </c>
      <c r="D468" s="1310" t="s">
        <v>129</v>
      </c>
      <c r="E468" s="1310" t="s">
        <v>124</v>
      </c>
      <c r="F468" s="1310" t="s">
        <v>133</v>
      </c>
      <c r="G468" s="1310" t="s">
        <v>1462</v>
      </c>
      <c r="H468" s="1310" t="s">
        <v>1511</v>
      </c>
      <c r="I468" s="1310" t="s">
        <v>1528</v>
      </c>
      <c r="J468" s="1310" t="s">
        <v>1598</v>
      </c>
      <c r="K468" s="1310" t="s">
        <v>1630</v>
      </c>
      <c r="L468" s="1310" t="s">
        <v>113</v>
      </c>
      <c r="M468" s="1310" t="s">
        <v>1476</v>
      </c>
      <c r="N468" s="1310" t="s">
        <v>1497</v>
      </c>
      <c r="O468" s="1310" t="s">
        <v>1516</v>
      </c>
      <c r="P468" s="1310" t="s">
        <v>1578</v>
      </c>
      <c r="Q468" s="1310" t="s">
        <v>1572</v>
      </c>
      <c r="R468" s="1310" t="s">
        <v>1563</v>
      </c>
      <c r="S468" s="1310" t="s">
        <v>130</v>
      </c>
      <c r="T468" s="1310" t="s">
        <v>1500</v>
      </c>
      <c r="U468" s="1310" t="s">
        <v>1514</v>
      </c>
      <c r="V468" s="1310" t="s">
        <v>1643</v>
      </c>
      <c r="W468" s="1310" t="s">
        <v>1533</v>
      </c>
      <c r="X468" s="1310" t="s">
        <v>1503</v>
      </c>
      <c r="Y468" s="1310" t="s">
        <v>1535</v>
      </c>
      <c r="Z468" s="1310" t="s">
        <v>1501</v>
      </c>
      <c r="AA468" s="1310" t="s">
        <v>112</v>
      </c>
      <c r="AB468" s="1310" t="s">
        <v>1592</v>
      </c>
      <c r="AC468" s="1310" t="s">
        <v>1528</v>
      </c>
      <c r="AD468" s="1310" t="s">
        <v>1480</v>
      </c>
      <c r="AE468" s="1310" t="s">
        <v>1644</v>
      </c>
      <c r="AF468" s="1310" t="s">
        <v>1529</v>
      </c>
    </row>
    <row r="469" spans="1:32" x14ac:dyDescent="0.3">
      <c r="A469" s="1310" t="s">
        <v>1513</v>
      </c>
      <c r="B469" s="1310" t="s">
        <v>1494</v>
      </c>
      <c r="C469" s="1310" t="s">
        <v>1650</v>
      </c>
      <c r="D469" s="1310" t="s">
        <v>1601</v>
      </c>
      <c r="E469" s="1310" t="s">
        <v>1027</v>
      </c>
      <c r="F469" s="1310" t="s">
        <v>1470</v>
      </c>
      <c r="G469" s="1310" t="s">
        <v>126</v>
      </c>
      <c r="H469" s="1310" t="s">
        <v>1534</v>
      </c>
      <c r="I469" s="1310" t="s">
        <v>1605</v>
      </c>
      <c r="J469" s="1310" t="s">
        <v>120</v>
      </c>
      <c r="K469" s="1310" t="s">
        <v>1574</v>
      </c>
      <c r="L469" s="1310" t="s">
        <v>1630</v>
      </c>
      <c r="M469" s="1310" t="s">
        <v>1554</v>
      </c>
      <c r="N469" s="1310" t="s">
        <v>1576</v>
      </c>
      <c r="O469" s="1310" t="s">
        <v>1628</v>
      </c>
      <c r="P469" s="1310" t="s">
        <v>1571</v>
      </c>
      <c r="Q469" s="1310" t="s">
        <v>1600</v>
      </c>
      <c r="R469" s="1310" t="s">
        <v>1612</v>
      </c>
      <c r="S469" s="1310" t="s">
        <v>1610</v>
      </c>
      <c r="T469" s="1310" t="s">
        <v>1551</v>
      </c>
      <c r="U469" s="1310" t="s">
        <v>1634</v>
      </c>
      <c r="V469" s="1310" t="s">
        <v>1559</v>
      </c>
      <c r="W469" s="1310" t="s">
        <v>1579</v>
      </c>
      <c r="X469" s="1310" t="s">
        <v>1494</v>
      </c>
      <c r="Y469" s="1310" t="s">
        <v>128</v>
      </c>
      <c r="Z469" s="1310" t="s">
        <v>1652</v>
      </c>
      <c r="AA469" s="1310" t="s">
        <v>1635</v>
      </c>
      <c r="AB469" s="1310" t="s">
        <v>1570</v>
      </c>
      <c r="AC469" s="1310" t="s">
        <v>1551</v>
      </c>
      <c r="AD469" s="1310" t="s">
        <v>1576</v>
      </c>
      <c r="AE469" s="1310" t="s">
        <v>1648</v>
      </c>
      <c r="AF469" s="1310" t="s">
        <v>1506</v>
      </c>
    </row>
    <row r="470" spans="1:32" x14ac:dyDescent="0.3">
      <c r="A470" s="1310" t="s">
        <v>1644</v>
      </c>
      <c r="B470" s="1310" t="s">
        <v>1486</v>
      </c>
      <c r="C470" s="1310" t="s">
        <v>1599</v>
      </c>
      <c r="D470" s="1310" t="s">
        <v>1659</v>
      </c>
      <c r="E470" s="1310" t="s">
        <v>1653</v>
      </c>
      <c r="F470" s="1310" t="s">
        <v>1481</v>
      </c>
      <c r="G470" s="1310" t="s">
        <v>1545</v>
      </c>
      <c r="H470" s="1310" t="s">
        <v>1643</v>
      </c>
      <c r="I470" s="1310" t="s">
        <v>1648</v>
      </c>
      <c r="J470" s="1310" t="s">
        <v>1628</v>
      </c>
      <c r="K470" s="1310" t="s">
        <v>1565</v>
      </c>
      <c r="L470" s="1310" t="s">
        <v>1501</v>
      </c>
      <c r="M470" s="1310" t="s">
        <v>1518</v>
      </c>
      <c r="N470" s="1310" t="s">
        <v>1478</v>
      </c>
      <c r="O470" s="1310" t="s">
        <v>1535</v>
      </c>
      <c r="P470" s="1310" t="s">
        <v>117</v>
      </c>
      <c r="Q470" s="1310" t="s">
        <v>1625</v>
      </c>
      <c r="R470" s="1310" t="s">
        <v>1610</v>
      </c>
      <c r="S470" s="1310" t="s">
        <v>1473</v>
      </c>
      <c r="T470" s="1310" t="s">
        <v>1589</v>
      </c>
      <c r="U470" s="1310" t="s">
        <v>1463</v>
      </c>
      <c r="V470" s="1310" t="s">
        <v>1589</v>
      </c>
      <c r="W470" s="1310" t="s">
        <v>1454</v>
      </c>
      <c r="X470" s="1310" t="s">
        <v>1577</v>
      </c>
      <c r="Y470" s="1310" t="s">
        <v>1523</v>
      </c>
      <c r="Z470" s="1310" t="s">
        <v>1531</v>
      </c>
      <c r="AA470" s="1310" t="s">
        <v>1568</v>
      </c>
      <c r="AB470" s="1310" t="s">
        <v>1609</v>
      </c>
      <c r="AC470" s="1310" t="s">
        <v>1658</v>
      </c>
      <c r="AD470" s="1310" t="s">
        <v>1467</v>
      </c>
      <c r="AE470" s="1310" t="s">
        <v>1461</v>
      </c>
      <c r="AF470" s="1310" t="s">
        <v>1659</v>
      </c>
    </row>
    <row r="471" spans="1:32" x14ac:dyDescent="0.3">
      <c r="A471" s="1310" t="s">
        <v>1523</v>
      </c>
      <c r="B471" s="1310" t="s">
        <v>1505</v>
      </c>
      <c r="C471" s="1310" t="s">
        <v>1513</v>
      </c>
      <c r="D471" s="1310" t="s">
        <v>114</v>
      </c>
      <c r="E471" s="1310" t="s">
        <v>1487</v>
      </c>
      <c r="F471" s="1310" t="s">
        <v>1472</v>
      </c>
      <c r="G471" s="1310" t="s">
        <v>1637</v>
      </c>
      <c r="H471" s="1310" t="s">
        <v>1509</v>
      </c>
      <c r="I471" s="1310" t="s">
        <v>1461</v>
      </c>
      <c r="J471" s="1310" t="s">
        <v>1553</v>
      </c>
      <c r="K471" s="1310" t="s">
        <v>124</v>
      </c>
      <c r="L471" s="1310" t="s">
        <v>1524</v>
      </c>
      <c r="M471" s="1310" t="s">
        <v>1509</v>
      </c>
      <c r="N471" s="1310" t="s">
        <v>1560</v>
      </c>
      <c r="O471" s="1310" t="s">
        <v>1649</v>
      </c>
      <c r="P471" s="1310" t="s">
        <v>1535</v>
      </c>
      <c r="Q471" s="1310" t="s">
        <v>115</v>
      </c>
      <c r="R471" s="1310" t="s">
        <v>1566</v>
      </c>
      <c r="S471" s="1310" t="s">
        <v>1632</v>
      </c>
      <c r="T471" s="1310" t="s">
        <v>1507</v>
      </c>
      <c r="U471" s="1310" t="s">
        <v>1471</v>
      </c>
      <c r="V471" s="1310" t="s">
        <v>1635</v>
      </c>
      <c r="W471" s="1310" t="s">
        <v>1612</v>
      </c>
      <c r="X471" s="1310" t="s">
        <v>116</v>
      </c>
      <c r="Y471" s="1310" t="s">
        <v>1593</v>
      </c>
      <c r="Z471" s="1310" t="s">
        <v>1563</v>
      </c>
      <c r="AA471" s="1310" t="s">
        <v>1543</v>
      </c>
      <c r="AB471" s="1310" t="s">
        <v>1539</v>
      </c>
      <c r="AC471" s="1310" t="s">
        <v>1643</v>
      </c>
      <c r="AD471" s="1310" t="s">
        <v>267</v>
      </c>
      <c r="AE471" s="1310" t="s">
        <v>1618</v>
      </c>
      <c r="AF471" s="1310" t="s">
        <v>1511</v>
      </c>
    </row>
    <row r="472" spans="1:32" x14ac:dyDescent="0.3">
      <c r="A472" s="1310" t="s">
        <v>1576</v>
      </c>
      <c r="B472" s="1310" t="s">
        <v>1505</v>
      </c>
      <c r="C472" s="1310" t="s">
        <v>1500</v>
      </c>
      <c r="D472" s="1310" t="s">
        <v>1606</v>
      </c>
      <c r="E472" s="1310" t="s">
        <v>1489</v>
      </c>
      <c r="F472" s="1310" t="s">
        <v>1511</v>
      </c>
      <c r="G472" s="1310" t="s">
        <v>1455</v>
      </c>
      <c r="H472" s="1310" t="s">
        <v>1546</v>
      </c>
      <c r="I472" s="1310" t="s">
        <v>1501</v>
      </c>
      <c r="J472" s="1310" t="s">
        <v>1573</v>
      </c>
      <c r="K472" s="1310" t="s">
        <v>1446</v>
      </c>
      <c r="L472" s="1310" t="s">
        <v>1631</v>
      </c>
      <c r="M472" s="1310" t="s">
        <v>1487</v>
      </c>
      <c r="N472" s="1310" t="s">
        <v>1614</v>
      </c>
      <c r="O472" s="1310" t="s">
        <v>1465</v>
      </c>
      <c r="P472" s="1310" t="s">
        <v>1446</v>
      </c>
      <c r="Q472" s="1310" t="s">
        <v>1464</v>
      </c>
      <c r="R472" s="1310" t="s">
        <v>1457</v>
      </c>
      <c r="S472" s="1310" t="s">
        <v>1474</v>
      </c>
      <c r="T472" s="1310" t="s">
        <v>1527</v>
      </c>
      <c r="U472" s="1310" t="s">
        <v>1460</v>
      </c>
      <c r="V472" s="1310" t="s">
        <v>1514</v>
      </c>
      <c r="W472" s="1310" t="s">
        <v>1503</v>
      </c>
      <c r="X472" s="1310" t="s">
        <v>1521</v>
      </c>
      <c r="Y472" s="1310" t="s">
        <v>1555</v>
      </c>
      <c r="Z472" s="1310" t="s">
        <v>1657</v>
      </c>
      <c r="AA472" s="1310" t="s">
        <v>1585</v>
      </c>
      <c r="AB472" s="1310" t="s">
        <v>1604</v>
      </c>
      <c r="AC472" s="1310" t="s">
        <v>1574</v>
      </c>
      <c r="AD472" s="1310" t="s">
        <v>1576</v>
      </c>
      <c r="AE472" s="1310" t="s">
        <v>1444</v>
      </c>
      <c r="AF472" s="1310" t="s">
        <v>1547</v>
      </c>
    </row>
    <row r="473" spans="1:32" x14ac:dyDescent="0.3">
      <c r="A473" s="1310" t="s">
        <v>1557</v>
      </c>
      <c r="B473" s="1310" t="s">
        <v>263</v>
      </c>
      <c r="C473" s="1310" t="s">
        <v>1640</v>
      </c>
      <c r="D473" s="1310" t="s">
        <v>123</v>
      </c>
      <c r="E473" s="1310" t="s">
        <v>1508</v>
      </c>
      <c r="F473" s="1310" t="s">
        <v>1618</v>
      </c>
      <c r="G473" s="1310" t="s">
        <v>1651</v>
      </c>
      <c r="H473" s="1310" t="s">
        <v>1482</v>
      </c>
      <c r="I473" s="1310" t="s">
        <v>1027</v>
      </c>
      <c r="J473" s="1310" t="s">
        <v>1609</v>
      </c>
      <c r="K473" s="1310" t="s">
        <v>1525</v>
      </c>
      <c r="L473" s="1310" t="s">
        <v>1482</v>
      </c>
      <c r="M473" s="1310" t="s">
        <v>1513</v>
      </c>
      <c r="N473" s="1310" t="s">
        <v>1460</v>
      </c>
      <c r="O473" s="1310" t="s">
        <v>1537</v>
      </c>
      <c r="P473" s="1310" t="s">
        <v>1625</v>
      </c>
      <c r="Q473" s="1310" t="s">
        <v>123</v>
      </c>
      <c r="R473" s="1310" t="s">
        <v>1482</v>
      </c>
      <c r="S473" s="1310" t="s">
        <v>1591</v>
      </c>
      <c r="T473" s="1310" t="s">
        <v>1451</v>
      </c>
      <c r="U473" s="1310" t="s">
        <v>1465</v>
      </c>
      <c r="V473" s="1310" t="s">
        <v>1574</v>
      </c>
      <c r="W473" s="1310" t="s">
        <v>123</v>
      </c>
      <c r="X473" s="1310" t="s">
        <v>1646</v>
      </c>
      <c r="Y473" s="1310" t="s">
        <v>1654</v>
      </c>
      <c r="Z473" s="1310" t="s">
        <v>123</v>
      </c>
      <c r="AA473" s="1310" t="s">
        <v>1499</v>
      </c>
      <c r="AB473" s="1310" t="s">
        <v>1612</v>
      </c>
      <c r="AC473" s="1310" t="s">
        <v>123</v>
      </c>
      <c r="AD473" s="1310" t="s">
        <v>1482</v>
      </c>
      <c r="AE473" s="1310" t="s">
        <v>1609</v>
      </c>
      <c r="AF473" s="1310" t="s">
        <v>1486</v>
      </c>
    </row>
    <row r="474" spans="1:32" x14ac:dyDescent="0.3">
      <c r="A474" s="1310" t="s">
        <v>1567</v>
      </c>
      <c r="B474" s="1310" t="s">
        <v>1486</v>
      </c>
      <c r="C474" s="1310" t="s">
        <v>1543</v>
      </c>
      <c r="D474" s="1310" t="s">
        <v>1563</v>
      </c>
      <c r="E474" s="1310" t="s">
        <v>1483</v>
      </c>
      <c r="F474" s="1310" t="s">
        <v>1531</v>
      </c>
      <c r="G474" s="1310" t="s">
        <v>1628</v>
      </c>
      <c r="H474" s="1310" t="s">
        <v>1650</v>
      </c>
      <c r="I474" s="1310" t="s">
        <v>1453</v>
      </c>
      <c r="J474" s="1310" t="s">
        <v>1638</v>
      </c>
      <c r="K474" s="1310" t="s">
        <v>1494</v>
      </c>
      <c r="L474" s="1310" t="s">
        <v>1473</v>
      </c>
      <c r="M474" s="1310" t="s">
        <v>1541</v>
      </c>
      <c r="N474" s="1310" t="s">
        <v>1529</v>
      </c>
      <c r="O474" s="1310" t="s">
        <v>1644</v>
      </c>
      <c r="P474" s="1310" t="s">
        <v>115</v>
      </c>
      <c r="Q474" s="1310" t="s">
        <v>1504</v>
      </c>
      <c r="R474" s="1310" t="s">
        <v>1646</v>
      </c>
      <c r="S474" s="1310" t="s">
        <v>1625</v>
      </c>
      <c r="T474" s="1310" t="s">
        <v>1634</v>
      </c>
      <c r="U474" s="1310" t="s">
        <v>1512</v>
      </c>
      <c r="V474" s="1310" t="s">
        <v>1573</v>
      </c>
      <c r="W474" s="1310" t="s">
        <v>1523</v>
      </c>
      <c r="X474" s="1310" t="s">
        <v>1542</v>
      </c>
      <c r="Y474" s="1310" t="s">
        <v>1480</v>
      </c>
      <c r="Z474" s="1310" t="s">
        <v>1529</v>
      </c>
      <c r="AA474" s="1310" t="s">
        <v>1501</v>
      </c>
      <c r="AB474" s="1310" t="s">
        <v>1494</v>
      </c>
      <c r="AC474" s="1310" t="s">
        <v>1488</v>
      </c>
      <c r="AD474" s="1310" t="s">
        <v>1515</v>
      </c>
      <c r="AE474" s="1310" t="s">
        <v>126</v>
      </c>
      <c r="AF474" s="1310" t="s">
        <v>1650</v>
      </c>
    </row>
    <row r="475" spans="1:32" x14ac:dyDescent="0.3">
      <c r="A475" s="1310" t="s">
        <v>110</v>
      </c>
      <c r="B475" s="1310" t="s">
        <v>114</v>
      </c>
      <c r="C475" s="1310" t="s">
        <v>1596</v>
      </c>
      <c r="D475" s="1310" t="s">
        <v>1554</v>
      </c>
      <c r="E475" s="1310" t="s">
        <v>1452</v>
      </c>
      <c r="F475" s="1310" t="s">
        <v>1621</v>
      </c>
      <c r="G475" s="1310" t="s">
        <v>1541</v>
      </c>
      <c r="H475" s="1310" t="s">
        <v>1519</v>
      </c>
      <c r="I475" s="1310" t="s">
        <v>1453</v>
      </c>
      <c r="J475" s="1310" t="s">
        <v>1589</v>
      </c>
      <c r="K475" s="1310" t="s">
        <v>1597</v>
      </c>
      <c r="L475" s="1310" t="s">
        <v>1450</v>
      </c>
      <c r="M475" s="1310" t="s">
        <v>1606</v>
      </c>
      <c r="N475" s="1310" t="s">
        <v>1572</v>
      </c>
      <c r="O475" s="1310" t="s">
        <v>1497</v>
      </c>
      <c r="P475" s="1310" t="s">
        <v>1573</v>
      </c>
      <c r="Q475" s="1310" t="s">
        <v>1456</v>
      </c>
      <c r="R475" s="1310" t="s">
        <v>1475</v>
      </c>
      <c r="S475" s="1310" t="s">
        <v>1460</v>
      </c>
      <c r="T475" s="1310" t="s">
        <v>1654</v>
      </c>
      <c r="U475" s="1310" t="s">
        <v>1531</v>
      </c>
      <c r="V475" s="1310" t="s">
        <v>1584</v>
      </c>
      <c r="W475" s="1310" t="s">
        <v>1452</v>
      </c>
      <c r="X475" s="1310" t="s">
        <v>122</v>
      </c>
      <c r="Y475" s="1310" t="s">
        <v>1499</v>
      </c>
      <c r="Z475" s="1310" t="s">
        <v>270</v>
      </c>
      <c r="AA475" s="1310" t="s">
        <v>1657</v>
      </c>
      <c r="AB475" s="1310" t="s">
        <v>1558</v>
      </c>
      <c r="AC475" s="1310" t="s">
        <v>1582</v>
      </c>
      <c r="AD475" s="1310" t="s">
        <v>1449</v>
      </c>
      <c r="AE475" s="1310" t="s">
        <v>1630</v>
      </c>
      <c r="AF475" s="1310" t="s">
        <v>1618</v>
      </c>
    </row>
    <row r="476" spans="1:32" x14ac:dyDescent="0.3">
      <c r="A476" s="1310" t="s">
        <v>1651</v>
      </c>
      <c r="B476" s="1310" t="s">
        <v>1487</v>
      </c>
      <c r="C476" s="1310" t="s">
        <v>1564</v>
      </c>
      <c r="D476" s="1310" t="s">
        <v>1581</v>
      </c>
      <c r="E476" s="1310" t="s">
        <v>1492</v>
      </c>
      <c r="F476" s="1310" t="s">
        <v>1649</v>
      </c>
      <c r="G476" s="1310" t="s">
        <v>1612</v>
      </c>
      <c r="H476" s="1310" t="s">
        <v>1554</v>
      </c>
      <c r="I476" s="1310" t="s">
        <v>1601</v>
      </c>
      <c r="J476" s="1310" t="s">
        <v>1480</v>
      </c>
      <c r="K476" s="1310" t="s">
        <v>1541</v>
      </c>
      <c r="L476" s="1310" t="s">
        <v>1546</v>
      </c>
      <c r="M476" s="1310" t="s">
        <v>1496</v>
      </c>
      <c r="N476" s="1310" t="s">
        <v>1479</v>
      </c>
      <c r="O476" s="1310" t="s">
        <v>1444</v>
      </c>
      <c r="P476" s="1310" t="s">
        <v>1617</v>
      </c>
      <c r="Q476" s="1310" t="s">
        <v>1547</v>
      </c>
      <c r="R476" s="1310" t="s">
        <v>1547</v>
      </c>
      <c r="S476" s="1310" t="s">
        <v>1611</v>
      </c>
      <c r="T476" s="1310" t="s">
        <v>1471</v>
      </c>
      <c r="U476" s="1310" t="s">
        <v>1483</v>
      </c>
      <c r="V476" s="1310" t="s">
        <v>1629</v>
      </c>
      <c r="W476" s="1310" t="s">
        <v>1635</v>
      </c>
      <c r="X476" s="1310" t="s">
        <v>1566</v>
      </c>
      <c r="Y476" s="1310" t="s">
        <v>1494</v>
      </c>
      <c r="Z476" s="1310" t="s">
        <v>123</v>
      </c>
      <c r="AA476" s="1310" t="s">
        <v>1579</v>
      </c>
      <c r="AB476" s="1310" t="s">
        <v>130</v>
      </c>
      <c r="AC476" s="1310" t="s">
        <v>1027</v>
      </c>
      <c r="AD476" s="1310" t="s">
        <v>471</v>
      </c>
      <c r="AE476" s="1310" t="s">
        <v>1445</v>
      </c>
      <c r="AF476" s="1310" t="s">
        <v>1593</v>
      </c>
    </row>
    <row r="477" spans="1:32" x14ac:dyDescent="0.3">
      <c r="A477" s="1310" t="s">
        <v>1554</v>
      </c>
      <c r="B477" s="1310" t="s">
        <v>1640</v>
      </c>
      <c r="C477" s="1310" t="s">
        <v>1493</v>
      </c>
      <c r="D477" s="1310" t="s">
        <v>115</v>
      </c>
      <c r="E477" s="1310" t="s">
        <v>1503</v>
      </c>
      <c r="F477" s="1310" t="s">
        <v>1614</v>
      </c>
      <c r="G477" s="1310" t="s">
        <v>1459</v>
      </c>
      <c r="H477" s="1310" t="s">
        <v>118</v>
      </c>
      <c r="I477" s="1310" t="s">
        <v>1570</v>
      </c>
      <c r="J477" s="1310" t="s">
        <v>1594</v>
      </c>
      <c r="K477" s="1310" t="s">
        <v>1473</v>
      </c>
      <c r="L477" s="1310" t="s">
        <v>1464</v>
      </c>
      <c r="M477" s="1310" t="s">
        <v>125</v>
      </c>
      <c r="N477" s="1310" t="s">
        <v>1605</v>
      </c>
      <c r="O477" s="1310" t="s">
        <v>1601</v>
      </c>
      <c r="P477" s="1310" t="s">
        <v>123</v>
      </c>
      <c r="Q477" s="1310" t="s">
        <v>128</v>
      </c>
      <c r="R477" s="1310" t="s">
        <v>1516</v>
      </c>
      <c r="S477" s="1310" t="s">
        <v>1615</v>
      </c>
      <c r="T477" s="1310" t="s">
        <v>1566</v>
      </c>
      <c r="U477" s="1310" t="s">
        <v>1584</v>
      </c>
      <c r="V477" s="1310" t="s">
        <v>1585</v>
      </c>
      <c r="W477" s="1310" t="s">
        <v>1594</v>
      </c>
      <c r="X477" s="1310" t="s">
        <v>1627</v>
      </c>
      <c r="Y477" s="1310" t="s">
        <v>1030</v>
      </c>
      <c r="Z477" s="1310" t="s">
        <v>1579</v>
      </c>
      <c r="AA477" s="1310" t="s">
        <v>1601</v>
      </c>
      <c r="AB477" s="1310" t="s">
        <v>1600</v>
      </c>
      <c r="AC477" s="1310" t="s">
        <v>1573</v>
      </c>
      <c r="AD477" s="1310" t="s">
        <v>1535</v>
      </c>
      <c r="AE477" s="1310" t="s">
        <v>1609</v>
      </c>
      <c r="AF477" s="1310" t="s">
        <v>267</v>
      </c>
    </row>
    <row r="478" spans="1:32" x14ac:dyDescent="0.3">
      <c r="A478" s="1310" t="s">
        <v>1546</v>
      </c>
      <c r="B478" s="1310" t="s">
        <v>1596</v>
      </c>
      <c r="C478" s="1310" t="s">
        <v>1490</v>
      </c>
      <c r="D478" s="1310" t="s">
        <v>130</v>
      </c>
      <c r="E478" s="1310" t="s">
        <v>1539</v>
      </c>
      <c r="F478" s="1310" t="s">
        <v>1542</v>
      </c>
      <c r="G478" s="1310" t="s">
        <v>1581</v>
      </c>
      <c r="H478" s="1310" t="s">
        <v>1455</v>
      </c>
      <c r="I478" s="1310" t="s">
        <v>126</v>
      </c>
      <c r="J478" s="1310" t="s">
        <v>1643</v>
      </c>
      <c r="K478" s="1310" t="s">
        <v>1586</v>
      </c>
      <c r="L478" s="1310" t="s">
        <v>131</v>
      </c>
      <c r="M478" s="1310" t="s">
        <v>1566</v>
      </c>
      <c r="N478" s="1310" t="s">
        <v>1586</v>
      </c>
      <c r="O478" s="1310" t="s">
        <v>1443</v>
      </c>
      <c r="P478" s="1310" t="s">
        <v>1450</v>
      </c>
      <c r="Q478" s="1310" t="s">
        <v>1500</v>
      </c>
      <c r="R478" s="1310" t="s">
        <v>1636</v>
      </c>
      <c r="S478" s="1310" t="s">
        <v>1448</v>
      </c>
      <c r="T478" s="1310" t="s">
        <v>1622</v>
      </c>
      <c r="U478" s="1310" t="s">
        <v>1530</v>
      </c>
      <c r="V478" s="1310" t="s">
        <v>1644</v>
      </c>
      <c r="W478" s="1310" t="s">
        <v>1449</v>
      </c>
      <c r="X478" s="1310" t="s">
        <v>127</v>
      </c>
      <c r="Y478" s="1310" t="s">
        <v>1598</v>
      </c>
      <c r="Z478" s="1310" t="s">
        <v>1592</v>
      </c>
      <c r="AA478" s="1310" t="s">
        <v>1566</v>
      </c>
      <c r="AB478" s="1310" t="s">
        <v>1483</v>
      </c>
      <c r="AC478" s="1310" t="s">
        <v>1493</v>
      </c>
      <c r="AD478" s="1310" t="s">
        <v>1464</v>
      </c>
      <c r="AE478" s="1310" t="s">
        <v>1495</v>
      </c>
      <c r="AF478" s="1310" t="s">
        <v>1458</v>
      </c>
    </row>
    <row r="479" spans="1:32" x14ac:dyDescent="0.3">
      <c r="A479" s="1310" t="s">
        <v>1529</v>
      </c>
      <c r="B479" s="1310" t="s">
        <v>263</v>
      </c>
      <c r="C479" s="1310" t="s">
        <v>1472</v>
      </c>
      <c r="D479" s="1310" t="s">
        <v>1640</v>
      </c>
      <c r="E479" s="1310" t="s">
        <v>1560</v>
      </c>
      <c r="F479" s="1310" t="s">
        <v>1539</v>
      </c>
      <c r="G479" s="1310" t="s">
        <v>1529</v>
      </c>
      <c r="H479" s="1310" t="s">
        <v>1639</v>
      </c>
      <c r="I479" s="1310" t="s">
        <v>1547</v>
      </c>
      <c r="J479" s="1310" t="s">
        <v>116</v>
      </c>
      <c r="K479" s="1310" t="s">
        <v>1629</v>
      </c>
      <c r="L479" s="1310" t="s">
        <v>1644</v>
      </c>
      <c r="M479" s="1310" t="s">
        <v>1659</v>
      </c>
      <c r="N479" s="1310" t="s">
        <v>1472</v>
      </c>
      <c r="O479" s="1310" t="s">
        <v>1460</v>
      </c>
      <c r="P479" s="1310" t="s">
        <v>1587</v>
      </c>
      <c r="Q479" s="1310" t="s">
        <v>1535</v>
      </c>
      <c r="R479" s="1310" t="s">
        <v>1595</v>
      </c>
      <c r="S479" s="1310" t="s">
        <v>1526</v>
      </c>
      <c r="T479" s="1310" t="s">
        <v>1603</v>
      </c>
      <c r="U479" s="1310" t="s">
        <v>1470</v>
      </c>
      <c r="V479" s="1310" t="s">
        <v>1477</v>
      </c>
      <c r="W479" s="1310" t="s">
        <v>1580</v>
      </c>
      <c r="X479" s="1310" t="s">
        <v>1592</v>
      </c>
      <c r="Y479" s="1310" t="s">
        <v>1576</v>
      </c>
      <c r="Z479" s="1310" t="s">
        <v>1545</v>
      </c>
      <c r="AA479" s="1310" t="s">
        <v>1482</v>
      </c>
      <c r="AB479" s="1310" t="s">
        <v>1541</v>
      </c>
      <c r="AC479" s="1310" t="s">
        <v>1444</v>
      </c>
      <c r="AD479" s="1310" t="s">
        <v>465</v>
      </c>
      <c r="AE479" s="1310" t="s">
        <v>114</v>
      </c>
      <c r="AF479" s="1310" t="s">
        <v>1488</v>
      </c>
    </row>
    <row r="480" spans="1:32" x14ac:dyDescent="0.3">
      <c r="A480" s="1310" t="s">
        <v>1455</v>
      </c>
      <c r="B480" s="1310" t="s">
        <v>1635</v>
      </c>
      <c r="C480" s="1310" t="s">
        <v>1549</v>
      </c>
      <c r="D480" s="1310" t="s">
        <v>1644</v>
      </c>
      <c r="E480" s="1310" t="s">
        <v>1632</v>
      </c>
      <c r="F480" s="1310" t="s">
        <v>1600</v>
      </c>
      <c r="G480" s="1310" t="s">
        <v>1509</v>
      </c>
      <c r="H480" s="1310" t="s">
        <v>1554</v>
      </c>
      <c r="I480" s="1310" t="s">
        <v>1452</v>
      </c>
      <c r="J480" s="1310" t="s">
        <v>1621</v>
      </c>
      <c r="K480" s="1310" t="s">
        <v>1541</v>
      </c>
      <c r="L480" s="1310" t="s">
        <v>1444</v>
      </c>
      <c r="M480" s="1310" t="s">
        <v>465</v>
      </c>
      <c r="N480" s="1310" t="s">
        <v>114</v>
      </c>
      <c r="O480" s="1310" t="s">
        <v>1488</v>
      </c>
      <c r="P480" s="1310" t="s">
        <v>1455</v>
      </c>
      <c r="Q480" s="1310" t="s">
        <v>1635</v>
      </c>
      <c r="R480" s="1310" t="s">
        <v>1549</v>
      </c>
      <c r="S480" s="1310" t="s">
        <v>1644</v>
      </c>
      <c r="T480" s="1310" t="s">
        <v>1632</v>
      </c>
      <c r="U480" s="1310" t="s">
        <v>1600</v>
      </c>
      <c r="V480" s="1310" t="s">
        <v>1509</v>
      </c>
      <c r="W480" s="1310" t="s">
        <v>1554</v>
      </c>
      <c r="X480" s="1310" t="s">
        <v>1452</v>
      </c>
      <c r="Y480" s="1310" t="s">
        <v>1443</v>
      </c>
      <c r="Z480" s="1310" t="s">
        <v>1450</v>
      </c>
      <c r="AA480" s="1310" t="s">
        <v>1443</v>
      </c>
      <c r="AB480" s="1310" t="s">
        <v>1634</v>
      </c>
      <c r="AC480" s="1310" t="s">
        <v>1571</v>
      </c>
      <c r="AD480" s="1310" t="s">
        <v>1562</v>
      </c>
      <c r="AE480" s="1310" t="s">
        <v>1452</v>
      </c>
      <c r="AF480" s="1310" t="s">
        <v>1621</v>
      </c>
    </row>
    <row r="481" spans="1:32" x14ac:dyDescent="0.3">
      <c r="A481" s="1310" t="s">
        <v>1541</v>
      </c>
      <c r="B481" s="1310" t="s">
        <v>1444</v>
      </c>
      <c r="C481" s="1310" t="s">
        <v>465</v>
      </c>
      <c r="D481" s="1310" t="s">
        <v>114</v>
      </c>
      <c r="E481" s="1310" t="s">
        <v>1488</v>
      </c>
      <c r="F481" s="1310" t="s">
        <v>1455</v>
      </c>
      <c r="G481" s="1310" t="s">
        <v>1635</v>
      </c>
      <c r="H481" s="1310" t="s">
        <v>1549</v>
      </c>
      <c r="I481" s="1310" t="s">
        <v>1644</v>
      </c>
      <c r="J481" s="1310" t="s">
        <v>1632</v>
      </c>
      <c r="K481" s="1310" t="s">
        <v>1600</v>
      </c>
      <c r="L481" s="1310" t="s">
        <v>1509</v>
      </c>
      <c r="M481" s="1310" t="s">
        <v>1554</v>
      </c>
      <c r="N481" s="1310" t="s">
        <v>1452</v>
      </c>
      <c r="O481" s="1310" t="s">
        <v>1621</v>
      </c>
      <c r="P481" s="1310" t="s">
        <v>1541</v>
      </c>
      <c r="Q481" s="1310" t="s">
        <v>1444</v>
      </c>
      <c r="R481" s="1310" t="s">
        <v>465</v>
      </c>
      <c r="S481" s="1310" t="s">
        <v>114</v>
      </c>
      <c r="T481" s="1310" t="s">
        <v>1488</v>
      </c>
      <c r="U481" s="1310" t="s">
        <v>1455</v>
      </c>
      <c r="V481" s="1310" t="s">
        <v>1635</v>
      </c>
      <c r="W481" s="1310" t="s">
        <v>1549</v>
      </c>
      <c r="X481" s="1310" t="s">
        <v>1644</v>
      </c>
      <c r="Y481" s="1310" t="s">
        <v>1632</v>
      </c>
      <c r="Z481" s="1310" t="s">
        <v>1600</v>
      </c>
      <c r="AA481" s="1310" t="s">
        <v>1509</v>
      </c>
      <c r="AB481" s="1310" t="s">
        <v>1554</v>
      </c>
      <c r="AC481" s="1310" t="s">
        <v>1452</v>
      </c>
      <c r="AD481" s="1310" t="s">
        <v>1621</v>
      </c>
      <c r="AE481" s="1310" t="s">
        <v>1541</v>
      </c>
      <c r="AF481" s="1310" t="s">
        <v>1612</v>
      </c>
    </row>
    <row r="482" spans="1:32" x14ac:dyDescent="0.3">
      <c r="A482" s="1310" t="s">
        <v>1552</v>
      </c>
      <c r="B482" s="1310" t="s">
        <v>1443</v>
      </c>
      <c r="C482" s="1310" t="s">
        <v>1450</v>
      </c>
      <c r="D482" s="1310" t="s">
        <v>1631</v>
      </c>
      <c r="E482" s="1310" t="s">
        <v>1459</v>
      </c>
      <c r="F482" s="1310" t="s">
        <v>1561</v>
      </c>
      <c r="G482" s="1310" t="s">
        <v>1532</v>
      </c>
      <c r="H482" s="1310" t="s">
        <v>1561</v>
      </c>
      <c r="I482" s="1310" t="s">
        <v>1607</v>
      </c>
      <c r="J482" s="1310" t="s">
        <v>1607</v>
      </c>
      <c r="K482" s="1310" t="s">
        <v>1510</v>
      </c>
      <c r="L482" s="1310" t="s">
        <v>1492</v>
      </c>
      <c r="M482" s="1310" t="s">
        <v>1619</v>
      </c>
      <c r="N482" s="1310" t="s">
        <v>112</v>
      </c>
      <c r="O482" s="1310" t="s">
        <v>132</v>
      </c>
      <c r="P482" s="1310" t="s">
        <v>116</v>
      </c>
      <c r="Q482" s="1310" t="s">
        <v>1555</v>
      </c>
      <c r="R482" s="1310" t="s">
        <v>1496</v>
      </c>
      <c r="S482" s="1310" t="s">
        <v>1472</v>
      </c>
      <c r="T482" s="1310" t="s">
        <v>1596</v>
      </c>
      <c r="U482" s="1310" t="s">
        <v>1587</v>
      </c>
      <c r="V482" s="1310" t="s">
        <v>1497</v>
      </c>
      <c r="W482" s="1310" t="s">
        <v>1536</v>
      </c>
      <c r="X482" s="1310" t="s">
        <v>1595</v>
      </c>
      <c r="Y482" s="1310" t="s">
        <v>1452</v>
      </c>
      <c r="Z482" s="1310" t="s">
        <v>1517</v>
      </c>
      <c r="AA482" s="1310" t="s">
        <v>1656</v>
      </c>
      <c r="AB482" s="1310" t="s">
        <v>465</v>
      </c>
      <c r="AC482" s="1310" t="s">
        <v>1546</v>
      </c>
      <c r="AD482" s="1310" t="s">
        <v>1651</v>
      </c>
      <c r="AE482" s="1310" t="s">
        <v>113</v>
      </c>
      <c r="AF482" s="1310" t="s">
        <v>1487</v>
      </c>
    </row>
    <row r="483" spans="1:32" x14ac:dyDescent="0.3">
      <c r="A483" s="1310" t="s">
        <v>1611</v>
      </c>
      <c r="B483" s="1310" t="s">
        <v>1515</v>
      </c>
      <c r="C483" s="1310" t="s">
        <v>1491</v>
      </c>
      <c r="D483" s="1310" t="s">
        <v>115</v>
      </c>
      <c r="E483" s="1310" t="s">
        <v>1561</v>
      </c>
      <c r="F483" s="1310" t="s">
        <v>1566</v>
      </c>
      <c r="G483" s="1310" t="s">
        <v>1477</v>
      </c>
      <c r="H483" s="1310" t="s">
        <v>1554</v>
      </c>
      <c r="I483" s="1310" t="s">
        <v>1483</v>
      </c>
      <c r="J483" s="1310" t="s">
        <v>1584</v>
      </c>
      <c r="K483" s="1310" t="s">
        <v>123</v>
      </c>
      <c r="L483" s="1310" t="s">
        <v>1655</v>
      </c>
      <c r="M483" s="1310" t="s">
        <v>1548</v>
      </c>
      <c r="N483" s="1310" t="s">
        <v>266</v>
      </c>
      <c r="O483" s="1310" t="s">
        <v>1599</v>
      </c>
      <c r="P483" s="1310" t="s">
        <v>1539</v>
      </c>
      <c r="Q483" s="1310" t="s">
        <v>1601</v>
      </c>
      <c r="R483" s="1310" t="s">
        <v>1563</v>
      </c>
      <c r="S483" s="1310" t="s">
        <v>1586</v>
      </c>
      <c r="T483" s="1310" t="s">
        <v>1470</v>
      </c>
      <c r="U483" s="1310" t="s">
        <v>1486</v>
      </c>
      <c r="V483" s="1310" t="s">
        <v>262</v>
      </c>
      <c r="W483" s="1310" t="s">
        <v>1499</v>
      </c>
      <c r="X483" s="1310" t="s">
        <v>1594</v>
      </c>
      <c r="Y483" s="1310" t="s">
        <v>1541</v>
      </c>
      <c r="Z483" s="1310" t="s">
        <v>1534</v>
      </c>
      <c r="AA483" s="1310" t="s">
        <v>1473</v>
      </c>
      <c r="AB483" s="1310" t="s">
        <v>1505</v>
      </c>
      <c r="AC483" s="1310" t="s">
        <v>120</v>
      </c>
      <c r="AD483" s="1310" t="s">
        <v>1660</v>
      </c>
      <c r="AE483" s="1310" t="s">
        <v>1443</v>
      </c>
      <c r="AF483" s="1310" t="s">
        <v>1450</v>
      </c>
    </row>
    <row r="484" spans="1:32" x14ac:dyDescent="0.3">
      <c r="A484" s="1310" t="s">
        <v>1501</v>
      </c>
      <c r="B484" s="1310" t="s">
        <v>1485</v>
      </c>
      <c r="C484" s="1310" t="s">
        <v>1618</v>
      </c>
      <c r="D484" s="1310" t="s">
        <v>1511</v>
      </c>
      <c r="E484" s="1310" t="s">
        <v>1610</v>
      </c>
      <c r="F484" s="1310" t="s">
        <v>6</v>
      </c>
      <c r="G484" s="1310" t="s">
        <v>1523</v>
      </c>
      <c r="H484" s="1310" t="s">
        <v>1509</v>
      </c>
      <c r="I484" s="1310" t="s">
        <v>1525</v>
      </c>
      <c r="J484" s="1310" t="s">
        <v>1576</v>
      </c>
      <c r="K484" s="1310" t="s">
        <v>126</v>
      </c>
      <c r="L484" s="1310" t="s">
        <v>1492</v>
      </c>
      <c r="M484" s="1310" t="s">
        <v>1461</v>
      </c>
      <c r="N484" s="1310" t="s">
        <v>1516</v>
      </c>
      <c r="O484" s="1310" t="s">
        <v>1640</v>
      </c>
      <c r="P484" s="1310" t="s">
        <v>1632</v>
      </c>
      <c r="Q484" s="1310" t="s">
        <v>1521</v>
      </c>
      <c r="R484" s="1310" t="s">
        <v>1452</v>
      </c>
      <c r="S484" s="1310" t="s">
        <v>121</v>
      </c>
      <c r="T484" s="1310" t="s">
        <v>1494</v>
      </c>
      <c r="U484" s="1310" t="s">
        <v>263</v>
      </c>
      <c r="V484" s="1310" t="s">
        <v>1470</v>
      </c>
      <c r="W484" s="1310" t="s">
        <v>1554</v>
      </c>
      <c r="X484" s="1310" t="s">
        <v>1482</v>
      </c>
      <c r="Y484" s="1310" t="s">
        <v>1494</v>
      </c>
      <c r="Z484" s="1310" t="s">
        <v>1648</v>
      </c>
      <c r="AA484" s="1310" t="s">
        <v>1603</v>
      </c>
      <c r="AB484" s="1310" t="s">
        <v>1520</v>
      </c>
      <c r="AC484" s="1310" t="s">
        <v>116</v>
      </c>
      <c r="AD484" s="1310" t="s">
        <v>1580</v>
      </c>
      <c r="AE484" s="1310" t="s">
        <v>112</v>
      </c>
      <c r="AF484" s="1310" t="s">
        <v>1561</v>
      </c>
    </row>
    <row r="485" spans="1:32" x14ac:dyDescent="0.3">
      <c r="A485" s="1310" t="s">
        <v>121</v>
      </c>
      <c r="B485" s="1310" t="s">
        <v>1485</v>
      </c>
      <c r="C485" s="1310" t="s">
        <v>1584</v>
      </c>
      <c r="D485" s="1310" t="s">
        <v>1585</v>
      </c>
      <c r="E485" s="1310" t="s">
        <v>116</v>
      </c>
      <c r="F485" s="1310" t="s">
        <v>465</v>
      </c>
      <c r="G485" s="1310" t="s">
        <v>1639</v>
      </c>
      <c r="H485" s="1310" t="s">
        <v>1631</v>
      </c>
      <c r="I485" s="1310" t="s">
        <v>1496</v>
      </c>
      <c r="J485" s="1310" t="s">
        <v>1598</v>
      </c>
      <c r="K485" s="1310" t="s">
        <v>1602</v>
      </c>
      <c r="L485" s="1310" t="s">
        <v>121</v>
      </c>
      <c r="M485" s="1310" t="s">
        <v>1514</v>
      </c>
      <c r="N485" s="1310" t="s">
        <v>1650</v>
      </c>
      <c r="O485" s="1310" t="s">
        <v>130</v>
      </c>
      <c r="P485" s="1310" t="s">
        <v>1516</v>
      </c>
      <c r="Q485" s="1310" t="s">
        <v>1580</v>
      </c>
      <c r="R485" s="1310" t="s">
        <v>1499</v>
      </c>
      <c r="S485" s="1310" t="s">
        <v>1539</v>
      </c>
      <c r="T485" s="1310" t="s">
        <v>1489</v>
      </c>
      <c r="U485" s="1310" t="s">
        <v>1610</v>
      </c>
      <c r="V485" s="1310" t="s">
        <v>1563</v>
      </c>
      <c r="W485" s="1310" t="s">
        <v>1467</v>
      </c>
      <c r="X485" s="1310" t="s">
        <v>1651</v>
      </c>
      <c r="Y485" s="1310" t="s">
        <v>267</v>
      </c>
      <c r="Z485" s="1310" t="s">
        <v>1477</v>
      </c>
      <c r="AA485" s="1310" t="s">
        <v>1638</v>
      </c>
      <c r="AB485" s="1310" t="s">
        <v>1480</v>
      </c>
      <c r="AC485" s="1310" t="s">
        <v>1547</v>
      </c>
      <c r="AD485" s="1310" t="s">
        <v>119</v>
      </c>
      <c r="AE485" s="1310" t="s">
        <v>127</v>
      </c>
      <c r="AF485" s="1310" t="s">
        <v>1544</v>
      </c>
    </row>
    <row r="486" spans="1:32" x14ac:dyDescent="0.3">
      <c r="A486" s="1310" t="s">
        <v>114</v>
      </c>
      <c r="B486" s="1310" t="s">
        <v>1446</v>
      </c>
      <c r="C486" s="1310" t="s">
        <v>1586</v>
      </c>
      <c r="D486" s="1310" t="s">
        <v>1494</v>
      </c>
      <c r="E486" s="1310" t="s">
        <v>1534</v>
      </c>
      <c r="F486" s="1310" t="s">
        <v>1659</v>
      </c>
      <c r="G486" s="1310" t="s">
        <v>1564</v>
      </c>
      <c r="H486" s="1310" t="s">
        <v>1448</v>
      </c>
      <c r="I486" s="1310" t="s">
        <v>1540</v>
      </c>
      <c r="J486" s="1310" t="s">
        <v>1515</v>
      </c>
      <c r="K486" s="1310" t="s">
        <v>1487</v>
      </c>
      <c r="L486" s="1310" t="s">
        <v>465</v>
      </c>
      <c r="M486" s="1310" t="s">
        <v>1535</v>
      </c>
      <c r="N486" s="1310" t="s">
        <v>123</v>
      </c>
      <c r="O486" s="1310" t="s">
        <v>1482</v>
      </c>
      <c r="P486" s="1310" t="s">
        <v>1585</v>
      </c>
      <c r="Q486" s="1310" t="s">
        <v>1523</v>
      </c>
      <c r="R486" s="1310" t="s">
        <v>1558</v>
      </c>
      <c r="S486" s="1310" t="s">
        <v>1452</v>
      </c>
      <c r="T486" s="1310" t="s">
        <v>1640</v>
      </c>
      <c r="U486" s="1310" t="s">
        <v>1493</v>
      </c>
      <c r="V486" s="1310" t="s">
        <v>1640</v>
      </c>
      <c r="W486" s="1310" t="s">
        <v>1462</v>
      </c>
      <c r="X486" s="1310" t="s">
        <v>1589</v>
      </c>
      <c r="Y486" s="1310" t="s">
        <v>1603</v>
      </c>
      <c r="Z486" s="1310" t="s">
        <v>1504</v>
      </c>
      <c r="AA486" s="1310" t="s">
        <v>1452</v>
      </c>
      <c r="AB486" s="1310" t="s">
        <v>1650</v>
      </c>
      <c r="AC486" s="1310" t="s">
        <v>1656</v>
      </c>
      <c r="AD486" s="1310" t="s">
        <v>131</v>
      </c>
      <c r="AE486" s="1310" t="s">
        <v>1579</v>
      </c>
      <c r="AF486" s="1310" t="s">
        <v>1452</v>
      </c>
    </row>
    <row r="487" spans="1:32" x14ac:dyDescent="0.3">
      <c r="A487" s="1310" t="s">
        <v>1608</v>
      </c>
      <c r="B487" s="1310" t="s">
        <v>1500</v>
      </c>
      <c r="C487" s="1310" t="s">
        <v>1541</v>
      </c>
      <c r="D487" s="1310" t="s">
        <v>1604</v>
      </c>
      <c r="E487" s="1310" t="s">
        <v>1655</v>
      </c>
      <c r="F487" s="1310" t="s">
        <v>1589</v>
      </c>
      <c r="G487" s="1310" t="s">
        <v>1524</v>
      </c>
      <c r="H487" s="1310" t="s">
        <v>1639</v>
      </c>
      <c r="I487" s="1310" t="s">
        <v>1642</v>
      </c>
      <c r="J487" s="1310" t="s">
        <v>1541</v>
      </c>
      <c r="K487" s="1310" t="s">
        <v>1592</v>
      </c>
      <c r="L487" s="1310" t="s">
        <v>1457</v>
      </c>
      <c r="M487" s="1310" t="s">
        <v>1610</v>
      </c>
      <c r="N487" s="1310" t="s">
        <v>1597</v>
      </c>
      <c r="O487" s="1310" t="s">
        <v>1497</v>
      </c>
      <c r="P487" s="1310" t="s">
        <v>1647</v>
      </c>
      <c r="Q487" s="1310" t="s">
        <v>1658</v>
      </c>
      <c r="R487" s="1310" t="s">
        <v>1541</v>
      </c>
      <c r="S487" s="1310" t="s">
        <v>1555</v>
      </c>
      <c r="T487" s="1310" t="s">
        <v>1457</v>
      </c>
      <c r="U487" s="1310" t="s">
        <v>1659</v>
      </c>
      <c r="V487" s="1310" t="s">
        <v>1580</v>
      </c>
      <c r="W487" s="1310" t="s">
        <v>263</v>
      </c>
      <c r="X487" s="1310" t="s">
        <v>1505</v>
      </c>
      <c r="Y487" s="1310" t="s">
        <v>1455</v>
      </c>
      <c r="Z487" s="1310" t="s">
        <v>1027</v>
      </c>
      <c r="AA487" s="1310" t="s">
        <v>1455</v>
      </c>
      <c r="AB487" s="1310" t="s">
        <v>1503</v>
      </c>
      <c r="AC487" s="1310" t="s">
        <v>1504</v>
      </c>
      <c r="AD487" s="1310" t="s">
        <v>1526</v>
      </c>
      <c r="AE487" s="1310" t="s">
        <v>126</v>
      </c>
      <c r="AF487" s="1310" t="s">
        <v>1591</v>
      </c>
    </row>
    <row r="488" spans="1:32" x14ac:dyDescent="0.3">
      <c r="A488" s="1310" t="s">
        <v>1538</v>
      </c>
      <c r="B488" s="1310" t="s">
        <v>1445</v>
      </c>
      <c r="C488" s="1310" t="s">
        <v>1464</v>
      </c>
      <c r="D488" s="1310" t="s">
        <v>1509</v>
      </c>
      <c r="E488" s="1310" t="s">
        <v>1599</v>
      </c>
      <c r="F488" s="1310" t="s">
        <v>1632</v>
      </c>
      <c r="G488" s="1310" t="s">
        <v>465</v>
      </c>
      <c r="H488" s="1310" t="s">
        <v>1586</v>
      </c>
      <c r="I488" s="1310" t="s">
        <v>1639</v>
      </c>
      <c r="J488" s="1310" t="s">
        <v>110</v>
      </c>
      <c r="K488" s="1310" t="s">
        <v>1546</v>
      </c>
      <c r="L488" s="1310" t="s">
        <v>1640</v>
      </c>
      <c r="M488" s="1310" t="s">
        <v>1518</v>
      </c>
      <c r="N488" s="1310" t="s">
        <v>1537</v>
      </c>
      <c r="O488" s="1310" t="s">
        <v>1579</v>
      </c>
      <c r="P488" s="1310" t="s">
        <v>1644</v>
      </c>
      <c r="Q488" s="1310" t="s">
        <v>1543</v>
      </c>
      <c r="R488" s="1310" t="s">
        <v>1582</v>
      </c>
      <c r="S488" s="1310" t="s">
        <v>128</v>
      </c>
      <c r="T488" s="1310" t="s">
        <v>1500</v>
      </c>
      <c r="U488" s="1310" t="s">
        <v>1594</v>
      </c>
      <c r="V488" s="1310" t="s">
        <v>1522</v>
      </c>
      <c r="W488" s="1310" t="s">
        <v>111</v>
      </c>
      <c r="X488" s="1310" t="s">
        <v>1492</v>
      </c>
      <c r="Y488" s="1310" t="s">
        <v>1467</v>
      </c>
      <c r="Z488" s="1310" t="s">
        <v>1561</v>
      </c>
      <c r="AA488" s="1310" t="s">
        <v>1567</v>
      </c>
      <c r="AB488" s="1310" t="s">
        <v>1526</v>
      </c>
      <c r="AC488" s="1310" t="s">
        <v>1588</v>
      </c>
      <c r="AD488" s="1310" t="s">
        <v>1498</v>
      </c>
      <c r="AE488" s="1310" t="s">
        <v>1587</v>
      </c>
      <c r="AF488" s="1310" t="s">
        <v>1525</v>
      </c>
    </row>
    <row r="489" spans="1:32" x14ac:dyDescent="0.3">
      <c r="A489" s="1310" t="s">
        <v>1498</v>
      </c>
      <c r="B489" s="1310" t="s">
        <v>1556</v>
      </c>
      <c r="C489" s="1310" t="s">
        <v>1593</v>
      </c>
      <c r="D489" s="1310" t="s">
        <v>1604</v>
      </c>
      <c r="E489" s="1310" t="s">
        <v>1522</v>
      </c>
      <c r="F489" s="1310" t="s">
        <v>1458</v>
      </c>
      <c r="G489" s="1310" t="s">
        <v>1484</v>
      </c>
      <c r="H489" s="1310" t="s">
        <v>1626</v>
      </c>
      <c r="I489" s="1310" t="s">
        <v>131</v>
      </c>
      <c r="J489" s="1310" t="s">
        <v>1643</v>
      </c>
      <c r="K489" s="1310" t="s">
        <v>1627</v>
      </c>
      <c r="L489" s="1310" t="s">
        <v>1494</v>
      </c>
      <c r="M489" s="1310" t="s">
        <v>1468</v>
      </c>
      <c r="N489" s="1310" t="s">
        <v>1627</v>
      </c>
      <c r="O489" s="1310" t="s">
        <v>1460</v>
      </c>
      <c r="P489" s="1310" t="s">
        <v>1444</v>
      </c>
      <c r="Q489" s="1310" t="s">
        <v>1472</v>
      </c>
      <c r="R489" s="1310" t="s">
        <v>1634</v>
      </c>
      <c r="S489" s="1310" t="s">
        <v>1638</v>
      </c>
      <c r="T489" s="1310" t="s">
        <v>1526</v>
      </c>
      <c r="U489" s="1310" t="s">
        <v>1565</v>
      </c>
      <c r="V489" s="1310" t="s">
        <v>1644</v>
      </c>
      <c r="W489" s="1310" t="s">
        <v>1640</v>
      </c>
      <c r="X489" s="1310" t="s">
        <v>1477</v>
      </c>
      <c r="Y489" s="1310" t="s">
        <v>1480</v>
      </c>
      <c r="Z489" s="1310" t="s">
        <v>1539</v>
      </c>
      <c r="AA489" s="1310" t="s">
        <v>1507</v>
      </c>
      <c r="AB489" s="1310" t="s">
        <v>1585</v>
      </c>
      <c r="AC489" s="1310" t="s">
        <v>1621</v>
      </c>
      <c r="AD489" s="1310" t="s">
        <v>131</v>
      </c>
      <c r="AE489" s="1310" t="s">
        <v>1532</v>
      </c>
      <c r="AF489" s="1310" t="s">
        <v>1567</v>
      </c>
    </row>
    <row r="490" spans="1:32" x14ac:dyDescent="0.3">
      <c r="A490" s="1310" t="s">
        <v>1607</v>
      </c>
      <c r="B490" s="1310" t="s">
        <v>1659</v>
      </c>
      <c r="C490" s="1310" t="s">
        <v>1561</v>
      </c>
      <c r="D490" s="1310" t="s">
        <v>1482</v>
      </c>
      <c r="E490" s="1310" t="s">
        <v>264</v>
      </c>
      <c r="F490" s="1310" t="s">
        <v>1628</v>
      </c>
      <c r="G490" s="1310" t="s">
        <v>1650</v>
      </c>
      <c r="H490" s="1310" t="s">
        <v>1527</v>
      </c>
      <c r="I490" s="1310" t="s">
        <v>1448</v>
      </c>
      <c r="J490" s="1310" t="s">
        <v>1513</v>
      </c>
      <c r="K490" s="1310" t="s">
        <v>1624</v>
      </c>
      <c r="L490" s="1310" t="s">
        <v>1576</v>
      </c>
      <c r="M490" s="1310" t="s">
        <v>126</v>
      </c>
      <c r="N490" s="1310" t="s">
        <v>1509</v>
      </c>
      <c r="O490" s="1310" t="s">
        <v>1606</v>
      </c>
      <c r="P490" s="1310" t="s">
        <v>114</v>
      </c>
      <c r="Q490" s="1310" t="s">
        <v>1554</v>
      </c>
      <c r="R490" s="1310" t="s">
        <v>1452</v>
      </c>
      <c r="S490" s="1310" t="s">
        <v>1621</v>
      </c>
      <c r="T490" s="1310" t="s">
        <v>1541</v>
      </c>
      <c r="U490" s="1310" t="s">
        <v>1481</v>
      </c>
      <c r="V490" s="1310" t="s">
        <v>1524</v>
      </c>
      <c r="W490" s="1310" t="s">
        <v>1521</v>
      </c>
      <c r="X490" s="1310" t="s">
        <v>1451</v>
      </c>
      <c r="Y490" s="1310" t="s">
        <v>1657</v>
      </c>
      <c r="Z490" s="1310" t="s">
        <v>1526</v>
      </c>
      <c r="AA490" s="1310" t="s">
        <v>1526</v>
      </c>
      <c r="AB490" s="1310" t="s">
        <v>1656</v>
      </c>
      <c r="AC490" s="1310" t="s">
        <v>1558</v>
      </c>
      <c r="AD490" s="1310" t="s">
        <v>1582</v>
      </c>
      <c r="AE490" s="1310" t="s">
        <v>1515</v>
      </c>
      <c r="AF490" s="1310" t="s">
        <v>1453</v>
      </c>
    </row>
    <row r="491" spans="1:32" x14ac:dyDescent="0.3">
      <c r="A491" s="1310" t="s">
        <v>1444</v>
      </c>
      <c r="B491" s="1310" t="s">
        <v>1594</v>
      </c>
      <c r="C491" s="1310" t="s">
        <v>1444</v>
      </c>
      <c r="D491" s="1310" t="s">
        <v>1654</v>
      </c>
      <c r="E491" s="1310" t="s">
        <v>1465</v>
      </c>
      <c r="F491" s="1310" t="s">
        <v>1472</v>
      </c>
      <c r="G491" s="1310" t="s">
        <v>1453</v>
      </c>
      <c r="H491" s="1310" t="s">
        <v>1556</v>
      </c>
      <c r="I491" s="1310" t="s">
        <v>1566</v>
      </c>
      <c r="J491" s="1310" t="s">
        <v>120</v>
      </c>
      <c r="K491" s="1310" t="s">
        <v>267</v>
      </c>
      <c r="L491" s="1310" t="s">
        <v>1512</v>
      </c>
      <c r="M491" s="1310" t="s">
        <v>1479</v>
      </c>
      <c r="N491" s="1310" t="s">
        <v>1521</v>
      </c>
      <c r="O491" s="1310" t="s">
        <v>1616</v>
      </c>
      <c r="P491" s="1310" t="s">
        <v>1584</v>
      </c>
      <c r="Q491" s="1310" t="s">
        <v>1457</v>
      </c>
      <c r="R491" s="1310" t="s">
        <v>1554</v>
      </c>
      <c r="S491" s="1310" t="s">
        <v>119</v>
      </c>
      <c r="T491" s="1310" t="s">
        <v>1526</v>
      </c>
      <c r="U491" s="1310" t="s">
        <v>128</v>
      </c>
      <c r="V491" s="1310" t="s">
        <v>1568</v>
      </c>
      <c r="W491" s="1310" t="s">
        <v>1453</v>
      </c>
      <c r="X491" s="1310" t="s">
        <v>1630</v>
      </c>
      <c r="Y491" s="1310" t="s">
        <v>120</v>
      </c>
      <c r="Z491" s="1310" t="s">
        <v>1502</v>
      </c>
      <c r="AA491" s="1310" t="s">
        <v>1448</v>
      </c>
      <c r="AB491" s="1310" t="s">
        <v>265</v>
      </c>
      <c r="AC491" s="1310" t="s">
        <v>1565</v>
      </c>
      <c r="AD491" s="1310" t="s">
        <v>1540</v>
      </c>
      <c r="AE491" s="1310" t="s">
        <v>1500</v>
      </c>
      <c r="AF491" s="1310" t="s">
        <v>1525</v>
      </c>
    </row>
    <row r="492" spans="1:32" x14ac:dyDescent="0.3">
      <c r="A492" s="1310" t="s">
        <v>1445</v>
      </c>
      <c r="B492" s="1310" t="s">
        <v>1509</v>
      </c>
      <c r="C492" s="1310" t="s">
        <v>1448</v>
      </c>
      <c r="D492" s="1310" t="s">
        <v>1528</v>
      </c>
      <c r="E492" s="1310" t="s">
        <v>1554</v>
      </c>
      <c r="F492" s="1310" t="s">
        <v>1496</v>
      </c>
      <c r="G492" s="1310" t="s">
        <v>1628</v>
      </c>
      <c r="H492" s="1310" t="s">
        <v>1445</v>
      </c>
      <c r="I492" s="1310" t="s">
        <v>113</v>
      </c>
      <c r="J492" s="1310" t="s">
        <v>1602</v>
      </c>
      <c r="K492" s="1310" t="s">
        <v>1578</v>
      </c>
      <c r="L492" s="1310" t="s">
        <v>1597</v>
      </c>
      <c r="M492" s="1310" t="s">
        <v>1487</v>
      </c>
      <c r="N492" s="1310" t="s">
        <v>1561</v>
      </c>
      <c r="O492" s="1310" t="s">
        <v>1532</v>
      </c>
      <c r="P492" s="1310" t="s">
        <v>123</v>
      </c>
      <c r="Q492" s="1310" t="s">
        <v>1649</v>
      </c>
      <c r="R492" s="1310" t="s">
        <v>1471</v>
      </c>
      <c r="S492" s="1310" t="s">
        <v>267</v>
      </c>
      <c r="T492" s="1310" t="s">
        <v>1461</v>
      </c>
      <c r="U492" s="1310" t="s">
        <v>1531</v>
      </c>
      <c r="V492" s="1310" t="s">
        <v>1630</v>
      </c>
      <c r="W492" s="1310" t="s">
        <v>1610</v>
      </c>
      <c r="X492" s="1310" t="s">
        <v>1598</v>
      </c>
      <c r="Y492" s="1310" t="s">
        <v>1532</v>
      </c>
      <c r="Z492" s="1310" t="s">
        <v>1648</v>
      </c>
      <c r="AA492" s="1310" t="s">
        <v>1556</v>
      </c>
      <c r="AB492" s="1310" t="s">
        <v>1581</v>
      </c>
      <c r="AC492" s="1310" t="s">
        <v>1602</v>
      </c>
      <c r="AD492" s="1310" t="s">
        <v>1594</v>
      </c>
      <c r="AE492" s="1310" t="s">
        <v>1572</v>
      </c>
      <c r="AF492" s="1310" t="s">
        <v>1461</v>
      </c>
    </row>
    <row r="493" spans="1:32" x14ac:dyDescent="0.3">
      <c r="A493" s="1310" t="s">
        <v>1581</v>
      </c>
      <c r="B493" s="1310" t="s">
        <v>1658</v>
      </c>
      <c r="C493" s="1310" t="s">
        <v>1540</v>
      </c>
      <c r="D493" s="1310" t="s">
        <v>1562</v>
      </c>
      <c r="E493" s="1310" t="s">
        <v>1577</v>
      </c>
      <c r="F493" s="1310" t="s">
        <v>1576</v>
      </c>
      <c r="G493" s="1310" t="s">
        <v>1482</v>
      </c>
      <c r="H493" s="1310" t="s">
        <v>128</v>
      </c>
      <c r="I493" s="1310" t="s">
        <v>1592</v>
      </c>
      <c r="J493" s="1310" t="s">
        <v>1645</v>
      </c>
      <c r="K493" s="1310" t="s">
        <v>1480</v>
      </c>
      <c r="L493" s="1310" t="s">
        <v>1462</v>
      </c>
      <c r="M493" s="1310" t="s">
        <v>131</v>
      </c>
      <c r="N493" s="1310" t="s">
        <v>1549</v>
      </c>
      <c r="O493" s="1310" t="s">
        <v>1454</v>
      </c>
      <c r="P493" s="1310" t="s">
        <v>1513</v>
      </c>
      <c r="Q493" s="1310" t="s">
        <v>118</v>
      </c>
      <c r="R493" s="1310" t="s">
        <v>126</v>
      </c>
      <c r="S493" s="1310" t="s">
        <v>1556</v>
      </c>
      <c r="T493" s="1310" t="s">
        <v>1621</v>
      </c>
      <c r="U493" s="1310" t="s">
        <v>122</v>
      </c>
      <c r="V493" s="1310" t="s">
        <v>1521</v>
      </c>
      <c r="W493" s="1310" t="s">
        <v>1517</v>
      </c>
      <c r="X493" s="1310" t="s">
        <v>1508</v>
      </c>
      <c r="Y493" s="1310" t="s">
        <v>1461</v>
      </c>
      <c r="Z493" s="1310" t="s">
        <v>1602</v>
      </c>
      <c r="AA493" s="1310" t="s">
        <v>1571</v>
      </c>
      <c r="AB493" s="1310" t="s">
        <v>1449</v>
      </c>
      <c r="AC493" s="1310" t="s">
        <v>1517</v>
      </c>
      <c r="AD493" s="1310" t="s">
        <v>1463</v>
      </c>
      <c r="AE493" s="1310" t="s">
        <v>1568</v>
      </c>
      <c r="AF493" s="1310" t="s">
        <v>1658</v>
      </c>
    </row>
    <row r="494" spans="1:32" x14ac:dyDescent="0.3">
      <c r="A494" s="1310" t="s">
        <v>130</v>
      </c>
      <c r="B494" s="1310" t="s">
        <v>123</v>
      </c>
      <c r="C494" s="1310" t="s">
        <v>1030</v>
      </c>
      <c r="D494" s="1310" t="s">
        <v>1635</v>
      </c>
      <c r="E494" s="1310" t="s">
        <v>1519</v>
      </c>
      <c r="F494" s="1310" t="s">
        <v>1556</v>
      </c>
      <c r="G494" s="1310" t="s">
        <v>1652</v>
      </c>
      <c r="H494" s="1310" t="s">
        <v>1636</v>
      </c>
      <c r="I494" s="1310" t="s">
        <v>1506</v>
      </c>
      <c r="J494" s="1310" t="s">
        <v>1500</v>
      </c>
      <c r="K494" s="1310" t="s">
        <v>1455</v>
      </c>
      <c r="L494" s="1310" t="s">
        <v>1474</v>
      </c>
      <c r="M494" s="1310" t="s">
        <v>1468</v>
      </c>
      <c r="N494" s="1310" t="s">
        <v>1621</v>
      </c>
      <c r="O494" s="1310" t="s">
        <v>1534</v>
      </c>
      <c r="P494" s="1310" t="s">
        <v>1464</v>
      </c>
      <c r="Q494" s="1310" t="s">
        <v>1575</v>
      </c>
      <c r="R494" s="1310" t="s">
        <v>1550</v>
      </c>
      <c r="S494" s="1310" t="s">
        <v>1468</v>
      </c>
      <c r="T494" s="1310" t="s">
        <v>1569</v>
      </c>
      <c r="U494" s="1310" t="s">
        <v>122</v>
      </c>
      <c r="V494" s="1310" t="s">
        <v>1493</v>
      </c>
      <c r="W494" s="1310" t="s">
        <v>1463</v>
      </c>
      <c r="X494" s="1310" t="s">
        <v>1633</v>
      </c>
      <c r="Y494" s="1310" t="s">
        <v>264</v>
      </c>
      <c r="Z494" s="1310" t="s">
        <v>269</v>
      </c>
      <c r="AA494" s="1310" t="s">
        <v>264</v>
      </c>
      <c r="AB494" s="1310" t="s">
        <v>1566</v>
      </c>
      <c r="AC494" s="1310" t="s">
        <v>1517</v>
      </c>
      <c r="AD494" s="1310" t="s">
        <v>1626</v>
      </c>
      <c r="AE494" s="1310" t="s">
        <v>1603</v>
      </c>
      <c r="AF494" s="1310" t="s">
        <v>1568</v>
      </c>
    </row>
    <row r="495" spans="1:32" x14ac:dyDescent="0.3">
      <c r="A495" s="1310" t="s">
        <v>1466</v>
      </c>
      <c r="B495" s="1310" t="s">
        <v>1559</v>
      </c>
      <c r="C495" s="1310" t="s">
        <v>1494</v>
      </c>
      <c r="D495" s="1310" t="s">
        <v>1492</v>
      </c>
      <c r="E495" s="1310" t="s">
        <v>1650</v>
      </c>
      <c r="F495" s="1310" t="s">
        <v>1553</v>
      </c>
      <c r="G495" s="1310" t="s">
        <v>1558</v>
      </c>
      <c r="H495" s="1310" t="s">
        <v>1600</v>
      </c>
      <c r="I495" s="1310" t="s">
        <v>1600</v>
      </c>
      <c r="J495" s="1310" t="s">
        <v>115</v>
      </c>
      <c r="K495" s="1310" t="s">
        <v>1537</v>
      </c>
      <c r="L495" s="1310" t="s">
        <v>1560</v>
      </c>
      <c r="M495" s="1310" t="s">
        <v>116</v>
      </c>
      <c r="N495" s="1310" t="s">
        <v>1594</v>
      </c>
      <c r="O495" s="1310" t="s">
        <v>1653</v>
      </c>
      <c r="P495" s="1310" t="s">
        <v>1585</v>
      </c>
      <c r="Q495" s="1310" t="s">
        <v>1581</v>
      </c>
      <c r="R495" s="1310" t="s">
        <v>1610</v>
      </c>
      <c r="S495" s="1310" t="s">
        <v>1578</v>
      </c>
      <c r="T495" s="1310" t="s">
        <v>1600</v>
      </c>
      <c r="U495" s="1310" t="s">
        <v>1543</v>
      </c>
      <c r="V495" s="1310" t="s">
        <v>124</v>
      </c>
      <c r="W495" s="1310" t="s">
        <v>1622</v>
      </c>
      <c r="X495" s="1310" t="s">
        <v>1591</v>
      </c>
      <c r="Y495" s="1310" t="s">
        <v>267</v>
      </c>
      <c r="Z495" s="1310" t="s">
        <v>1533</v>
      </c>
      <c r="AA495" s="1310" t="s">
        <v>1461</v>
      </c>
      <c r="AB495" s="1310" t="s">
        <v>1593</v>
      </c>
      <c r="AC495" s="1310" t="s">
        <v>1556</v>
      </c>
      <c r="AD495" s="1310" t="s">
        <v>129</v>
      </c>
      <c r="AE495" s="1310" t="s">
        <v>1586</v>
      </c>
      <c r="AF495" s="1310" t="s">
        <v>1466</v>
      </c>
    </row>
    <row r="496" spans="1:32" x14ac:dyDescent="0.3">
      <c r="A496" s="1310" t="s">
        <v>1660</v>
      </c>
      <c r="B496" s="1310" t="s">
        <v>1630</v>
      </c>
      <c r="C496" s="1310" t="s">
        <v>1622</v>
      </c>
      <c r="D496" s="1310" t="s">
        <v>1519</v>
      </c>
      <c r="E496" s="1310" t="s">
        <v>1622</v>
      </c>
      <c r="F496" s="1310" t="s">
        <v>1443</v>
      </c>
      <c r="G496" s="1310" t="s">
        <v>1450</v>
      </c>
      <c r="H496" s="1310" t="s">
        <v>1561</v>
      </c>
      <c r="I496" s="1310" t="s">
        <v>1517</v>
      </c>
      <c r="J496" s="1310" t="s">
        <v>1458</v>
      </c>
      <c r="K496" s="1310" t="s">
        <v>1579</v>
      </c>
      <c r="L496" s="1310" t="s">
        <v>1594</v>
      </c>
      <c r="M496" s="1310" t="s">
        <v>1480</v>
      </c>
      <c r="N496" s="1310" t="s">
        <v>131</v>
      </c>
      <c r="O496" s="1310" t="s">
        <v>1473</v>
      </c>
      <c r="P496" s="1310" t="s">
        <v>1534</v>
      </c>
      <c r="Q496" s="1310" t="s">
        <v>1488</v>
      </c>
      <c r="R496" s="1310" t="s">
        <v>122</v>
      </c>
      <c r="S496" s="1310" t="s">
        <v>1548</v>
      </c>
      <c r="T496" s="1310" t="s">
        <v>1534</v>
      </c>
      <c r="U496" s="1310" t="s">
        <v>1485</v>
      </c>
      <c r="V496" s="1310" t="s">
        <v>1566</v>
      </c>
      <c r="W496" s="1310" t="s">
        <v>1512</v>
      </c>
      <c r="X496" s="1310" t="s">
        <v>6</v>
      </c>
      <c r="Y496" s="1310" t="s">
        <v>1586</v>
      </c>
      <c r="Z496" s="1310" t="s">
        <v>1577</v>
      </c>
      <c r="AA496" s="1310" t="s">
        <v>130</v>
      </c>
      <c r="AB496" s="1310" t="s">
        <v>1623</v>
      </c>
      <c r="AC496" s="1310" t="s">
        <v>1659</v>
      </c>
      <c r="AD496" s="1310" t="s">
        <v>1585</v>
      </c>
      <c r="AE496" s="1310" t="s">
        <v>1654</v>
      </c>
      <c r="AF496" s="1310" t="s">
        <v>1505</v>
      </c>
    </row>
    <row r="497" spans="1:32" x14ac:dyDescent="0.3">
      <c r="A497" s="1310" t="s">
        <v>1463</v>
      </c>
      <c r="B497" s="1310" t="s">
        <v>1030</v>
      </c>
      <c r="C497" s="1310" t="s">
        <v>1544</v>
      </c>
      <c r="D497" s="1310" t="s">
        <v>1519</v>
      </c>
      <c r="E497" s="1310" t="s">
        <v>1553</v>
      </c>
      <c r="F497" s="1310" t="s">
        <v>1642</v>
      </c>
      <c r="G497" s="1310" t="s">
        <v>123</v>
      </c>
      <c r="H497" s="1310" t="s">
        <v>123</v>
      </c>
      <c r="I497" s="1310" t="s">
        <v>1449</v>
      </c>
      <c r="J497" s="1310" t="s">
        <v>1572</v>
      </c>
      <c r="K497" s="1310" t="s">
        <v>1602</v>
      </c>
      <c r="L497" s="1310" t="s">
        <v>1563</v>
      </c>
      <c r="M497" s="1310" t="s">
        <v>1509</v>
      </c>
      <c r="N497" s="1310" t="s">
        <v>1611</v>
      </c>
      <c r="O497" s="1310" t="s">
        <v>1562</v>
      </c>
      <c r="P497" s="1310" t="s">
        <v>1637</v>
      </c>
      <c r="Q497" s="1310" t="s">
        <v>115</v>
      </c>
      <c r="R497" s="1310" t="s">
        <v>133</v>
      </c>
      <c r="S497" s="1310" t="s">
        <v>1659</v>
      </c>
      <c r="T497" s="1310" t="s">
        <v>1591</v>
      </c>
      <c r="U497" s="1310" t="s">
        <v>1579</v>
      </c>
      <c r="V497" s="1310" t="s">
        <v>1548</v>
      </c>
      <c r="W497" s="1310" t="s">
        <v>1512</v>
      </c>
      <c r="X497" s="1310" t="s">
        <v>1574</v>
      </c>
      <c r="Y497" s="1310" t="s">
        <v>1570</v>
      </c>
      <c r="Z497" s="1310" t="s">
        <v>1592</v>
      </c>
      <c r="AA497" s="1310" t="s">
        <v>1575</v>
      </c>
      <c r="AB497" s="1310" t="s">
        <v>1555</v>
      </c>
      <c r="AC497" s="1310" t="s">
        <v>1527</v>
      </c>
      <c r="AD497" s="1310" t="s">
        <v>1642</v>
      </c>
      <c r="AE497" s="1310" t="s">
        <v>1589</v>
      </c>
      <c r="AF497" s="1310" t="s">
        <v>127</v>
      </c>
    </row>
    <row r="498" spans="1:32" x14ac:dyDescent="0.3">
      <c r="A498" s="1310" t="s">
        <v>1597</v>
      </c>
      <c r="B498" s="1310" t="s">
        <v>1577</v>
      </c>
      <c r="C498" s="1310" t="s">
        <v>1605</v>
      </c>
      <c r="D498" s="1310" t="s">
        <v>1459</v>
      </c>
      <c r="E498" s="1310" t="s">
        <v>1608</v>
      </c>
      <c r="F498" s="1310" t="s">
        <v>1529</v>
      </c>
      <c r="G498" s="1310" t="s">
        <v>1636</v>
      </c>
      <c r="H498" s="1310" t="s">
        <v>1518</v>
      </c>
      <c r="I498" s="1310" t="s">
        <v>1540</v>
      </c>
      <c r="J498" s="1310" t="s">
        <v>1515</v>
      </c>
      <c r="K498" s="1310" t="s">
        <v>1627</v>
      </c>
      <c r="L498" s="1310" t="s">
        <v>1606</v>
      </c>
      <c r="M498" s="1310" t="s">
        <v>1460</v>
      </c>
      <c r="N498" s="1310" t="s">
        <v>1536</v>
      </c>
      <c r="O498" s="1310" t="s">
        <v>1652</v>
      </c>
      <c r="P498" s="1310" t="s">
        <v>1459</v>
      </c>
      <c r="Q498" s="1310" t="s">
        <v>1462</v>
      </c>
      <c r="R498" s="1310" t="s">
        <v>1647</v>
      </c>
      <c r="S498" s="1310" t="s">
        <v>1603</v>
      </c>
      <c r="T498" s="1310" t="s">
        <v>1591</v>
      </c>
      <c r="U498" s="1310" t="s">
        <v>1597</v>
      </c>
      <c r="V498" s="1310" t="s">
        <v>1580</v>
      </c>
      <c r="W498" s="1310" t="s">
        <v>1551</v>
      </c>
      <c r="X498" s="1310" t="s">
        <v>1517</v>
      </c>
      <c r="Y498" s="1310" t="s">
        <v>1622</v>
      </c>
      <c r="Z498" s="1310" t="s">
        <v>1643</v>
      </c>
      <c r="AA498" s="1310" t="s">
        <v>1602</v>
      </c>
      <c r="AB498" s="1310" t="s">
        <v>1490</v>
      </c>
      <c r="AC498" s="1310" t="s">
        <v>1610</v>
      </c>
      <c r="AD498" s="1310" t="s">
        <v>1580</v>
      </c>
      <c r="AE498" s="1310" t="s">
        <v>1547</v>
      </c>
      <c r="AF498" s="1310" t="s">
        <v>1660</v>
      </c>
    </row>
    <row r="499" spans="1:32" x14ac:dyDescent="0.3">
      <c r="A499" s="1310" t="s">
        <v>110</v>
      </c>
      <c r="B499" s="1310" t="s">
        <v>1542</v>
      </c>
      <c r="C499" s="1310" t="s">
        <v>1628</v>
      </c>
      <c r="D499" s="1310" t="s">
        <v>1577</v>
      </c>
      <c r="E499" s="1310" t="s">
        <v>1550</v>
      </c>
      <c r="F499" s="1310" t="s">
        <v>125</v>
      </c>
      <c r="G499" s="1310" t="s">
        <v>1552</v>
      </c>
      <c r="H499" s="1310" t="s">
        <v>1586</v>
      </c>
      <c r="I499" s="1310" t="s">
        <v>1479</v>
      </c>
      <c r="J499" s="1310" t="s">
        <v>124</v>
      </c>
      <c r="K499" s="1310" t="s">
        <v>1591</v>
      </c>
      <c r="L499" s="1310" t="s">
        <v>1633</v>
      </c>
      <c r="M499" s="1310" t="s">
        <v>1561</v>
      </c>
      <c r="N499" s="1310" t="s">
        <v>1639</v>
      </c>
      <c r="O499" s="1310" t="s">
        <v>1511</v>
      </c>
      <c r="P499" s="1310" t="s">
        <v>1614</v>
      </c>
      <c r="Q499" s="1310" t="s">
        <v>1568</v>
      </c>
      <c r="R499" s="1310" t="s">
        <v>1639</v>
      </c>
      <c r="S499" s="1310" t="s">
        <v>1556</v>
      </c>
      <c r="T499" s="1310" t="s">
        <v>1501</v>
      </c>
      <c r="U499" s="1310" t="s">
        <v>1547</v>
      </c>
      <c r="V499" s="1310" t="s">
        <v>1562</v>
      </c>
      <c r="W499" s="1310" t="s">
        <v>1575</v>
      </c>
      <c r="X499" s="1310" t="s">
        <v>114</v>
      </c>
      <c r="Y499" s="1310" t="s">
        <v>1552</v>
      </c>
      <c r="Z499" s="1310" t="s">
        <v>1485</v>
      </c>
      <c r="AA499" s="1310" t="s">
        <v>118</v>
      </c>
      <c r="AB499" s="1310" t="s">
        <v>1628</v>
      </c>
      <c r="AC499" s="1310" t="s">
        <v>1469</v>
      </c>
      <c r="AD499" s="1310" t="s">
        <v>1583</v>
      </c>
      <c r="AE499" s="1310" t="s">
        <v>1552</v>
      </c>
      <c r="AF499" s="1310" t="s">
        <v>1502</v>
      </c>
    </row>
    <row r="500" spans="1:32" x14ac:dyDescent="0.3">
      <c r="A500" s="1310" t="s">
        <v>1656</v>
      </c>
      <c r="B500" s="1310" t="s">
        <v>1443</v>
      </c>
      <c r="C500" s="1310" t="s">
        <v>1450</v>
      </c>
      <c r="D500" s="1310" t="s">
        <v>123</v>
      </c>
      <c r="E500" s="1310" t="s">
        <v>1520</v>
      </c>
      <c r="F500" s="1310" t="s">
        <v>1508</v>
      </c>
      <c r="G500" s="1310" t="s">
        <v>1612</v>
      </c>
      <c r="H500" s="1310" t="s">
        <v>1492</v>
      </c>
      <c r="I500" s="1310" t="s">
        <v>1473</v>
      </c>
      <c r="J500" s="1310" t="s">
        <v>1621</v>
      </c>
      <c r="K500" s="1310" t="s">
        <v>1604</v>
      </c>
      <c r="L500" s="1310" t="s">
        <v>1510</v>
      </c>
      <c r="M500" s="1310" t="s">
        <v>125</v>
      </c>
      <c r="N500" s="1310" t="s">
        <v>1517</v>
      </c>
      <c r="O500" s="1310" t="s">
        <v>1513</v>
      </c>
      <c r="P500" s="1310" t="s">
        <v>1443</v>
      </c>
      <c r="Q500" s="1310" t="s">
        <v>1450</v>
      </c>
      <c r="R500" s="1310" t="s">
        <v>1586</v>
      </c>
      <c r="S500" s="1310" t="s">
        <v>1512</v>
      </c>
      <c r="T500" s="1310" t="s">
        <v>124</v>
      </c>
      <c r="U500" s="1310" t="s">
        <v>1580</v>
      </c>
      <c r="V500" s="1310" t="s">
        <v>1492</v>
      </c>
      <c r="W500" s="1310" t="s">
        <v>1605</v>
      </c>
      <c r="X500" s="1310" t="s">
        <v>1443</v>
      </c>
      <c r="Y500" s="1310" t="s">
        <v>1450</v>
      </c>
      <c r="Z500" s="1310" t="s">
        <v>1551</v>
      </c>
      <c r="AA500" s="1310" t="s">
        <v>1499</v>
      </c>
      <c r="AB500" s="1310" t="s">
        <v>1524</v>
      </c>
      <c r="AC500" s="1310" t="s">
        <v>1644</v>
      </c>
      <c r="AD500" s="1310" t="s">
        <v>1470</v>
      </c>
      <c r="AE500" s="1310" t="s">
        <v>1619</v>
      </c>
      <c r="AF500" s="1310" t="s">
        <v>121</v>
      </c>
    </row>
    <row r="501" spans="1:32" x14ac:dyDescent="0.3">
      <c r="A501" s="1310" t="s">
        <v>1520</v>
      </c>
      <c r="B501" s="1310" t="s">
        <v>123</v>
      </c>
      <c r="C501" s="1310" t="s">
        <v>1548</v>
      </c>
      <c r="D501" s="1310" t="s">
        <v>1618</v>
      </c>
      <c r="E501" s="1310" t="s">
        <v>1647</v>
      </c>
      <c r="F501" s="1310" t="s">
        <v>1608</v>
      </c>
      <c r="G501" s="1310" t="s">
        <v>1587</v>
      </c>
      <c r="H501" s="1310" t="s">
        <v>1595</v>
      </c>
      <c r="I501" s="1310" t="s">
        <v>1551</v>
      </c>
      <c r="J501" s="1310" t="s">
        <v>1548</v>
      </c>
      <c r="K501" s="1310" t="s">
        <v>1640</v>
      </c>
      <c r="L501" s="1310" t="s">
        <v>1611</v>
      </c>
      <c r="M501" s="1310" t="s">
        <v>129</v>
      </c>
      <c r="N501" s="1310" t="s">
        <v>1605</v>
      </c>
      <c r="O501" s="1310" t="s">
        <v>124</v>
      </c>
      <c r="P501" s="1310" t="s">
        <v>1491</v>
      </c>
      <c r="Q501" s="1310" t="s">
        <v>132</v>
      </c>
      <c r="R501" s="1310" t="s">
        <v>1592</v>
      </c>
      <c r="S501" s="1310" t="s">
        <v>1599</v>
      </c>
      <c r="T501" s="1310" t="s">
        <v>264</v>
      </c>
      <c r="U501" s="1310" t="s">
        <v>1504</v>
      </c>
      <c r="V501" s="1310" t="s">
        <v>1652</v>
      </c>
      <c r="W501" s="1310" t="s">
        <v>118</v>
      </c>
      <c r="X501" s="1310" t="s">
        <v>1545</v>
      </c>
      <c r="Y501" s="1310" t="s">
        <v>1563</v>
      </c>
      <c r="Z501" s="1310" t="s">
        <v>1617</v>
      </c>
      <c r="AA501" s="1310" t="s">
        <v>1492</v>
      </c>
      <c r="AB501" s="1310" t="s">
        <v>1601</v>
      </c>
      <c r="AC501" s="1310" t="s">
        <v>1565</v>
      </c>
      <c r="AD501" s="1310" t="s">
        <v>1633</v>
      </c>
      <c r="AE501" s="1310" t="s">
        <v>1602</v>
      </c>
      <c r="AF501" s="1310" t="s">
        <v>1533</v>
      </c>
    </row>
    <row r="502" spans="1:32" x14ac:dyDescent="0.3">
      <c r="A502" s="1310" t="s">
        <v>112</v>
      </c>
      <c r="B502" s="1310" t="s">
        <v>1511</v>
      </c>
      <c r="C502" s="1310" t="s">
        <v>1643</v>
      </c>
      <c r="D502" s="1310" t="s">
        <v>1632</v>
      </c>
      <c r="E502" s="1310" t="s">
        <v>1524</v>
      </c>
      <c r="F502" s="1310" t="s">
        <v>1481</v>
      </c>
      <c r="G502" s="1310" t="s">
        <v>1660</v>
      </c>
      <c r="H502" s="1310" t="s">
        <v>1547</v>
      </c>
      <c r="I502" s="1310" t="s">
        <v>263</v>
      </c>
      <c r="J502" s="1310" t="s">
        <v>1470</v>
      </c>
      <c r="K502" s="1310" t="s">
        <v>1512</v>
      </c>
      <c r="L502" s="1310" t="s">
        <v>123</v>
      </c>
      <c r="M502" s="1310" t="s">
        <v>1448</v>
      </c>
      <c r="N502" s="1310" t="s">
        <v>1563</v>
      </c>
      <c r="O502" s="1310" t="s">
        <v>1484</v>
      </c>
      <c r="P502" s="1310" t="s">
        <v>1620</v>
      </c>
      <c r="Q502" s="1310" t="s">
        <v>1574</v>
      </c>
      <c r="R502" s="1310" t="s">
        <v>1631</v>
      </c>
      <c r="S502" s="1310" t="s">
        <v>1493</v>
      </c>
      <c r="T502" s="1310" t="s">
        <v>1507</v>
      </c>
      <c r="U502" s="1310" t="s">
        <v>1581</v>
      </c>
      <c r="V502" s="1310" t="s">
        <v>1539</v>
      </c>
      <c r="W502" s="1310" t="s">
        <v>1510</v>
      </c>
      <c r="X502" s="1310" t="s">
        <v>127</v>
      </c>
      <c r="Y502" s="1310" t="s">
        <v>1643</v>
      </c>
      <c r="Z502" s="1310" t="s">
        <v>1520</v>
      </c>
      <c r="AA502" s="1310" t="s">
        <v>1468</v>
      </c>
      <c r="AB502" s="1310" t="s">
        <v>1614</v>
      </c>
      <c r="AC502" s="1310" t="s">
        <v>1550</v>
      </c>
      <c r="AD502" s="1310" t="s">
        <v>1630</v>
      </c>
      <c r="AE502" s="1310" t="s">
        <v>1448</v>
      </c>
      <c r="AF502" s="1310" t="s">
        <v>1535</v>
      </c>
    </row>
    <row r="503" spans="1:32" x14ac:dyDescent="0.3">
      <c r="A503" s="1310" t="s">
        <v>1565</v>
      </c>
      <c r="B503" s="1310" t="s">
        <v>1484</v>
      </c>
      <c r="C503" s="1310" t="s">
        <v>1586</v>
      </c>
      <c r="D503" s="1310" t="s">
        <v>129</v>
      </c>
      <c r="E503" s="1310" t="s">
        <v>1498</v>
      </c>
      <c r="F503" s="1310" t="s">
        <v>1656</v>
      </c>
      <c r="G503" s="1310" t="s">
        <v>1623</v>
      </c>
      <c r="H503" s="1310" t="s">
        <v>1559</v>
      </c>
      <c r="I503" s="1310" t="s">
        <v>1604</v>
      </c>
      <c r="J503" s="1310" t="s">
        <v>1489</v>
      </c>
      <c r="K503" s="1310" t="s">
        <v>264</v>
      </c>
      <c r="L503" s="1310" t="s">
        <v>1522</v>
      </c>
      <c r="M503" s="1310" t="s">
        <v>1608</v>
      </c>
      <c r="N503" s="1310" t="s">
        <v>1643</v>
      </c>
      <c r="O503" s="1310" t="s">
        <v>1642</v>
      </c>
      <c r="P503" s="1310" t="s">
        <v>1575</v>
      </c>
      <c r="Q503" s="1310" t="s">
        <v>1593</v>
      </c>
      <c r="R503" s="1310" t="s">
        <v>110</v>
      </c>
      <c r="S503" s="1310" t="s">
        <v>126</v>
      </c>
      <c r="T503" s="1310" t="s">
        <v>1468</v>
      </c>
      <c r="U503" s="1310" t="s">
        <v>1560</v>
      </c>
      <c r="V503" s="1310" t="s">
        <v>132</v>
      </c>
      <c r="W503" s="1310" t="s">
        <v>1553</v>
      </c>
      <c r="X503" s="1310" t="s">
        <v>1591</v>
      </c>
      <c r="Y503" s="1310" t="s">
        <v>1585</v>
      </c>
      <c r="Z503" s="1310" t="s">
        <v>266</v>
      </c>
      <c r="AA503" s="1310" t="s">
        <v>1555</v>
      </c>
      <c r="AB503" s="1310" t="s">
        <v>1565</v>
      </c>
      <c r="AC503" s="1310" t="s">
        <v>1547</v>
      </c>
      <c r="AD503" s="1310" t="s">
        <v>1472</v>
      </c>
      <c r="AE503" s="1310" t="s">
        <v>1627</v>
      </c>
      <c r="AF503" s="1310" t="s">
        <v>1499</v>
      </c>
    </row>
    <row r="504" spans="1:32" x14ac:dyDescent="0.3">
      <c r="A504" s="1310" t="s">
        <v>1466</v>
      </c>
      <c r="B504" s="1310" t="s">
        <v>1609</v>
      </c>
      <c r="C504" s="1310" t="s">
        <v>266</v>
      </c>
      <c r="D504" s="1310" t="s">
        <v>1611</v>
      </c>
      <c r="E504" s="1310" t="s">
        <v>1027</v>
      </c>
      <c r="F504" s="1310" t="s">
        <v>1519</v>
      </c>
      <c r="G504" s="1310" t="s">
        <v>1640</v>
      </c>
      <c r="H504" s="1310" t="s">
        <v>1660</v>
      </c>
      <c r="I504" s="1310" t="s">
        <v>122</v>
      </c>
      <c r="J504" s="1310" t="s">
        <v>1637</v>
      </c>
      <c r="K504" s="1310" t="s">
        <v>1657</v>
      </c>
      <c r="L504" s="1310" t="s">
        <v>266</v>
      </c>
      <c r="M504" s="1310" t="s">
        <v>1536</v>
      </c>
      <c r="N504" s="1310" t="s">
        <v>1446</v>
      </c>
      <c r="O504" s="1310" t="s">
        <v>1563</v>
      </c>
      <c r="P504" s="1310" t="s">
        <v>266</v>
      </c>
      <c r="Q504" s="1310" t="s">
        <v>1649</v>
      </c>
      <c r="R504" s="1310" t="s">
        <v>1609</v>
      </c>
      <c r="S504" s="1310" t="s">
        <v>262</v>
      </c>
      <c r="T504" s="1310" t="s">
        <v>1538</v>
      </c>
      <c r="U504" s="1310" t="s">
        <v>1467</v>
      </c>
      <c r="V504" s="1310" t="s">
        <v>1537</v>
      </c>
      <c r="W504" s="1310" t="s">
        <v>1546</v>
      </c>
      <c r="X504" s="1310" t="s">
        <v>1473</v>
      </c>
      <c r="Y504" s="1310" t="s">
        <v>1487</v>
      </c>
      <c r="Z504" s="1310" t="s">
        <v>1568</v>
      </c>
      <c r="AA504" s="1310" t="s">
        <v>1512</v>
      </c>
      <c r="AB504" s="1310" t="s">
        <v>1631</v>
      </c>
      <c r="AC504" s="1310" t="s">
        <v>1594</v>
      </c>
      <c r="AD504" s="1310" t="s">
        <v>1511</v>
      </c>
      <c r="AE504" s="1310" t="s">
        <v>129</v>
      </c>
      <c r="AF504" s="1310" t="s">
        <v>1576</v>
      </c>
    </row>
    <row r="505" spans="1:32" x14ac:dyDescent="0.3">
      <c r="A505" s="1310" t="s">
        <v>113</v>
      </c>
      <c r="B505" s="1310" t="s">
        <v>1554</v>
      </c>
      <c r="C505" s="1310" t="s">
        <v>1642</v>
      </c>
      <c r="D505" s="1310" t="s">
        <v>1455</v>
      </c>
      <c r="E505" s="1310" t="s">
        <v>1631</v>
      </c>
      <c r="F505" s="1310" t="s">
        <v>1529</v>
      </c>
      <c r="G505" s="1310" t="s">
        <v>1610</v>
      </c>
      <c r="H505" s="1310" t="s">
        <v>1450</v>
      </c>
      <c r="I505" s="1310" t="s">
        <v>122</v>
      </c>
      <c r="J505" s="1310" t="s">
        <v>1618</v>
      </c>
      <c r="K505" s="1310" t="s">
        <v>264</v>
      </c>
      <c r="L505" s="1310" t="s">
        <v>1462</v>
      </c>
      <c r="M505" s="1310" t="s">
        <v>1595</v>
      </c>
      <c r="N505" s="1310" t="s">
        <v>1597</v>
      </c>
      <c r="O505" s="1310" t="s">
        <v>1498</v>
      </c>
      <c r="P505" s="1310" t="s">
        <v>1602</v>
      </c>
      <c r="Q505" s="1310" t="s">
        <v>1452</v>
      </c>
      <c r="R505" s="1310" t="s">
        <v>1639</v>
      </c>
      <c r="S505" s="1310" t="s">
        <v>1651</v>
      </c>
      <c r="T505" s="1310" t="s">
        <v>1616</v>
      </c>
      <c r="U505" s="1310" t="s">
        <v>1569</v>
      </c>
      <c r="V505" s="1310" t="s">
        <v>1498</v>
      </c>
      <c r="W505" s="1310" t="s">
        <v>1443</v>
      </c>
      <c r="X505" s="1310" t="s">
        <v>1450</v>
      </c>
      <c r="Y505" s="1310" t="s">
        <v>1629</v>
      </c>
      <c r="Z505" s="1310" t="s">
        <v>1555</v>
      </c>
      <c r="AA505" s="1310" t="s">
        <v>1560</v>
      </c>
      <c r="AB505" s="1310" t="s">
        <v>1503</v>
      </c>
      <c r="AC505" s="1310" t="s">
        <v>1532</v>
      </c>
      <c r="AD505" s="1310" t="s">
        <v>123</v>
      </c>
      <c r="AE505" s="1310" t="s">
        <v>1482</v>
      </c>
      <c r="AF505" s="1310" t="s">
        <v>1655</v>
      </c>
    </row>
    <row r="506" spans="1:32" x14ac:dyDescent="0.3">
      <c r="A506" s="1310" t="s">
        <v>1464</v>
      </c>
      <c r="B506" s="1310" t="s">
        <v>1628</v>
      </c>
      <c r="C506" s="1310" t="s">
        <v>1659</v>
      </c>
      <c r="D506" s="1310" t="s">
        <v>1576</v>
      </c>
      <c r="E506" s="1310" t="s">
        <v>1601</v>
      </c>
      <c r="F506" s="1310" t="s">
        <v>1478</v>
      </c>
      <c r="G506" s="1310" t="s">
        <v>1537</v>
      </c>
      <c r="H506" s="1310" t="s">
        <v>1633</v>
      </c>
      <c r="I506" s="1310" t="s">
        <v>1557</v>
      </c>
      <c r="J506" s="1310" t="s">
        <v>1576</v>
      </c>
      <c r="K506" s="1310" t="s">
        <v>1617</v>
      </c>
      <c r="L506" s="1310" t="s">
        <v>1559</v>
      </c>
      <c r="M506" s="1310" t="s">
        <v>1513</v>
      </c>
      <c r="N506" s="1310" t="s">
        <v>1517</v>
      </c>
      <c r="O506" s="1310" t="s">
        <v>1457</v>
      </c>
      <c r="P506" s="1310" t="s">
        <v>1586</v>
      </c>
      <c r="Q506" s="1310" t="s">
        <v>119</v>
      </c>
      <c r="R506" s="1310" t="s">
        <v>114</v>
      </c>
      <c r="S506" s="1310" t="s">
        <v>1645</v>
      </c>
      <c r="T506" s="1310" t="s">
        <v>1641</v>
      </c>
      <c r="U506" s="1310" t="s">
        <v>1525</v>
      </c>
      <c r="V506" s="1310" t="s">
        <v>1629</v>
      </c>
      <c r="W506" s="1310" t="s">
        <v>1562</v>
      </c>
      <c r="X506" s="1310" t="s">
        <v>1474</v>
      </c>
      <c r="Y506" s="1310" t="s">
        <v>1448</v>
      </c>
      <c r="Z506" s="1310" t="s">
        <v>1618</v>
      </c>
      <c r="AA506" s="1310" t="s">
        <v>1525</v>
      </c>
      <c r="AB506" s="1310" t="s">
        <v>1500</v>
      </c>
      <c r="AC506" s="1310" t="s">
        <v>1500</v>
      </c>
      <c r="AD506" s="1310" t="s">
        <v>1551</v>
      </c>
      <c r="AE506" s="1310" t="s">
        <v>1591</v>
      </c>
      <c r="AF506" s="1310" t="s">
        <v>129</v>
      </c>
    </row>
    <row r="507" spans="1:32" x14ac:dyDescent="0.3">
      <c r="A507" s="1310" t="s">
        <v>1497</v>
      </c>
      <c r="B507" s="1310" t="s">
        <v>1636</v>
      </c>
      <c r="C507" s="1310" t="s">
        <v>1482</v>
      </c>
      <c r="D507" s="1310" t="s">
        <v>127</v>
      </c>
      <c r="E507" s="1310" t="s">
        <v>1529</v>
      </c>
      <c r="F507" s="1310" t="s">
        <v>1501</v>
      </c>
      <c r="G507" s="1310" t="s">
        <v>1579</v>
      </c>
      <c r="H507" s="1310" t="s">
        <v>1459</v>
      </c>
      <c r="I507" s="1310" t="s">
        <v>130</v>
      </c>
      <c r="J507" s="1310" t="s">
        <v>1651</v>
      </c>
      <c r="K507" s="1310" t="s">
        <v>1468</v>
      </c>
      <c r="L507" s="1310" t="s">
        <v>264</v>
      </c>
      <c r="M507" s="1310" t="s">
        <v>1523</v>
      </c>
      <c r="N507" s="1310" t="s">
        <v>1590</v>
      </c>
      <c r="O507" s="1310" t="s">
        <v>1617</v>
      </c>
      <c r="P507" s="1310" t="s">
        <v>1605</v>
      </c>
      <c r="Q507" s="1310" t="s">
        <v>1605</v>
      </c>
      <c r="R507" s="1310" t="s">
        <v>1576</v>
      </c>
      <c r="S507" s="1310" t="s">
        <v>1557</v>
      </c>
      <c r="T507" s="1310" t="s">
        <v>1623</v>
      </c>
      <c r="U507" s="1310" t="s">
        <v>1641</v>
      </c>
      <c r="V507" s="1310" t="s">
        <v>1647</v>
      </c>
      <c r="W507" s="1310" t="s">
        <v>1593</v>
      </c>
      <c r="X507" s="1310" t="s">
        <v>111</v>
      </c>
      <c r="Y507" s="1310" t="s">
        <v>1552</v>
      </c>
      <c r="Z507" s="1310" t="s">
        <v>1474</v>
      </c>
      <c r="AA507" s="1310" t="s">
        <v>1643</v>
      </c>
      <c r="AB507" s="1310" t="s">
        <v>1614</v>
      </c>
      <c r="AC507" s="1310" t="s">
        <v>1622</v>
      </c>
      <c r="AD507" s="1310" t="s">
        <v>1643</v>
      </c>
      <c r="AE507" s="1310" t="s">
        <v>1586</v>
      </c>
      <c r="AF507" s="1310" t="s">
        <v>1654</v>
      </c>
    </row>
    <row r="508" spans="1:32" x14ac:dyDescent="0.3">
      <c r="A508" s="1310" t="s">
        <v>1540</v>
      </c>
      <c r="B508" s="1310" t="s">
        <v>1538</v>
      </c>
      <c r="C508" s="1310" t="s">
        <v>1550</v>
      </c>
      <c r="D508" s="1310" t="s">
        <v>1542</v>
      </c>
      <c r="E508" s="1310" t="s">
        <v>1626</v>
      </c>
      <c r="F508" s="1310" t="s">
        <v>1459</v>
      </c>
      <c r="G508" s="1310" t="s">
        <v>1557</v>
      </c>
      <c r="H508" s="1310" t="s">
        <v>1496</v>
      </c>
      <c r="I508" s="1310" t="s">
        <v>1577</v>
      </c>
      <c r="J508" s="1310" t="s">
        <v>1644</v>
      </c>
      <c r="K508" s="1310" t="s">
        <v>1546</v>
      </c>
      <c r="L508" s="1310" t="s">
        <v>1559</v>
      </c>
      <c r="M508" s="1310" t="s">
        <v>112</v>
      </c>
      <c r="N508" s="1310" t="s">
        <v>1585</v>
      </c>
      <c r="O508" s="1310" t="s">
        <v>1542</v>
      </c>
      <c r="P508" s="1310" t="s">
        <v>1552</v>
      </c>
      <c r="Q508" s="1310" t="s">
        <v>1587</v>
      </c>
      <c r="R508" s="1310" t="s">
        <v>1574</v>
      </c>
      <c r="S508" s="1310" t="s">
        <v>1487</v>
      </c>
      <c r="T508" s="1310" t="s">
        <v>1555</v>
      </c>
      <c r="U508" s="1310" t="s">
        <v>122</v>
      </c>
      <c r="V508" s="1310" t="s">
        <v>1494</v>
      </c>
      <c r="W508" s="1310" t="s">
        <v>1494</v>
      </c>
      <c r="X508" s="1310" t="s">
        <v>1545</v>
      </c>
      <c r="Y508" s="1310" t="s">
        <v>1577</v>
      </c>
      <c r="Z508" s="1310" t="s">
        <v>113</v>
      </c>
      <c r="AA508" s="1310" t="s">
        <v>1590</v>
      </c>
      <c r="AB508" s="1310" t="s">
        <v>1470</v>
      </c>
      <c r="AC508" s="1310" t="s">
        <v>1515</v>
      </c>
      <c r="AD508" s="1310" t="s">
        <v>1616</v>
      </c>
      <c r="AE508" s="1310" t="s">
        <v>1448</v>
      </c>
      <c r="AF508" s="1310" t="s">
        <v>1472</v>
      </c>
    </row>
    <row r="509" spans="1:32" x14ac:dyDescent="0.3">
      <c r="A509" s="1310" t="s">
        <v>1633</v>
      </c>
      <c r="B509" s="1310" t="s">
        <v>1512</v>
      </c>
      <c r="C509" s="1310" t="s">
        <v>1463</v>
      </c>
      <c r="D509" s="1310" t="s">
        <v>1466</v>
      </c>
      <c r="E509" s="1310" t="s">
        <v>1608</v>
      </c>
      <c r="F509" s="1310" t="s">
        <v>1505</v>
      </c>
      <c r="G509" s="1310" t="s">
        <v>1554</v>
      </c>
      <c r="H509" s="1310" t="s">
        <v>1539</v>
      </c>
      <c r="I509" s="1310" t="s">
        <v>1482</v>
      </c>
      <c r="J509" s="1310" t="s">
        <v>1465</v>
      </c>
      <c r="K509" s="1310" t="s">
        <v>1549</v>
      </c>
      <c r="L509" s="1310" t="s">
        <v>1584</v>
      </c>
      <c r="M509" s="1310" t="s">
        <v>1490</v>
      </c>
      <c r="N509" s="1310" t="s">
        <v>1629</v>
      </c>
      <c r="O509" s="1310" t="s">
        <v>131</v>
      </c>
      <c r="P509" s="1310" t="s">
        <v>1652</v>
      </c>
      <c r="Q509" s="1310" t="s">
        <v>1574</v>
      </c>
      <c r="R509" s="1310" t="s">
        <v>127</v>
      </c>
      <c r="S509" s="1310" t="s">
        <v>1507</v>
      </c>
      <c r="T509" s="1310" t="s">
        <v>1500</v>
      </c>
      <c r="U509" s="1310" t="s">
        <v>1534</v>
      </c>
      <c r="V509" s="1310" t="s">
        <v>1550</v>
      </c>
      <c r="W509" s="1310" t="s">
        <v>1494</v>
      </c>
      <c r="X509" s="1310" t="s">
        <v>119</v>
      </c>
      <c r="Y509" s="1310" t="s">
        <v>1608</v>
      </c>
      <c r="Z509" s="1310" t="s">
        <v>1589</v>
      </c>
      <c r="AA509" s="1310" t="s">
        <v>1559</v>
      </c>
      <c r="AB509" s="1310" t="s">
        <v>1493</v>
      </c>
      <c r="AC509" s="1310" t="s">
        <v>1499</v>
      </c>
      <c r="AD509" s="1310" t="s">
        <v>1525</v>
      </c>
      <c r="AE509" s="1310" t="s">
        <v>1621</v>
      </c>
      <c r="AF509" s="1310" t="s">
        <v>1562</v>
      </c>
    </row>
    <row r="510" spans="1:32" x14ac:dyDescent="0.3">
      <c r="A510" s="1310" t="s">
        <v>1660</v>
      </c>
      <c r="B510" s="1310" t="s">
        <v>1647</v>
      </c>
      <c r="C510" s="1310" t="s">
        <v>1583</v>
      </c>
      <c r="D510" s="1310" t="s">
        <v>1500</v>
      </c>
      <c r="E510" s="1310" t="s">
        <v>1483</v>
      </c>
      <c r="F510" s="1310" t="s">
        <v>6</v>
      </c>
      <c r="G510" s="1310" t="s">
        <v>1447</v>
      </c>
      <c r="H510" s="1310" t="s">
        <v>471</v>
      </c>
      <c r="I510" s="1310" t="s">
        <v>1637</v>
      </c>
      <c r="J510" s="1310" t="s">
        <v>1645</v>
      </c>
      <c r="K510" s="1310" t="s">
        <v>270</v>
      </c>
      <c r="L510" s="1310" t="s">
        <v>1600</v>
      </c>
      <c r="M510" s="1310" t="s">
        <v>124</v>
      </c>
      <c r="N510" s="1310" t="s">
        <v>1552</v>
      </c>
      <c r="O510" s="1310" t="s">
        <v>1657</v>
      </c>
      <c r="P510" s="1310" t="s">
        <v>1531</v>
      </c>
      <c r="Q510" s="1310" t="s">
        <v>111</v>
      </c>
      <c r="R510" s="1310" t="s">
        <v>1636</v>
      </c>
      <c r="S510" s="1310" t="s">
        <v>131</v>
      </c>
      <c r="T510" s="1310" t="s">
        <v>1620</v>
      </c>
      <c r="U510" s="1310" t="s">
        <v>1495</v>
      </c>
      <c r="V510" s="1310" t="s">
        <v>1602</v>
      </c>
      <c r="W510" s="1310" t="s">
        <v>1473</v>
      </c>
      <c r="X510" s="1310" t="s">
        <v>1633</v>
      </c>
      <c r="Y510" s="1310" t="s">
        <v>1657</v>
      </c>
      <c r="Z510" s="1310" t="s">
        <v>1643</v>
      </c>
      <c r="AA510" s="1310" t="s">
        <v>1652</v>
      </c>
      <c r="AB510" s="1310" t="s">
        <v>1612</v>
      </c>
      <c r="AC510" s="1310" t="s">
        <v>1460</v>
      </c>
      <c r="AD510" s="1310" t="s">
        <v>1470</v>
      </c>
      <c r="AE510" s="1310" t="s">
        <v>1618</v>
      </c>
      <c r="AF510" s="1310" t="s">
        <v>1616</v>
      </c>
    </row>
    <row r="511" spans="1:32" x14ac:dyDescent="0.3">
      <c r="A511" s="1310" t="s">
        <v>1475</v>
      </c>
      <c r="B511" s="1310" t="s">
        <v>1500</v>
      </c>
      <c r="C511" s="1310" t="s">
        <v>1477</v>
      </c>
      <c r="D511" s="1310" t="s">
        <v>1464</v>
      </c>
      <c r="E511" s="1310" t="s">
        <v>122</v>
      </c>
      <c r="F511" s="1310" t="s">
        <v>1450</v>
      </c>
      <c r="G511" s="1310" t="s">
        <v>1571</v>
      </c>
      <c r="H511" s="1310" t="s">
        <v>265</v>
      </c>
      <c r="I511" s="1310" t="s">
        <v>1486</v>
      </c>
      <c r="J511" s="1310" t="s">
        <v>1533</v>
      </c>
      <c r="K511" s="1310" t="s">
        <v>129</v>
      </c>
      <c r="L511" s="1310" t="s">
        <v>1626</v>
      </c>
      <c r="M511" s="1310" t="s">
        <v>1573</v>
      </c>
      <c r="N511" s="1310" t="s">
        <v>131</v>
      </c>
      <c r="O511" s="1310" t="s">
        <v>1562</v>
      </c>
      <c r="P511" s="1310" t="s">
        <v>1547</v>
      </c>
      <c r="Q511" s="1310" t="s">
        <v>1616</v>
      </c>
      <c r="R511" s="1310" t="s">
        <v>1448</v>
      </c>
      <c r="S511" s="1310" t="s">
        <v>1491</v>
      </c>
      <c r="T511" s="1310" t="s">
        <v>1601</v>
      </c>
      <c r="U511" s="1310" t="s">
        <v>1604</v>
      </c>
      <c r="V511" s="1310" t="s">
        <v>1557</v>
      </c>
      <c r="W511" s="1310" t="s">
        <v>1555</v>
      </c>
      <c r="X511" s="1310" t="s">
        <v>1520</v>
      </c>
      <c r="Y511" s="1310" t="s">
        <v>1551</v>
      </c>
      <c r="Z511" s="1310" t="s">
        <v>133</v>
      </c>
      <c r="AA511" s="1310" t="s">
        <v>1567</v>
      </c>
      <c r="AB511" s="1310" t="s">
        <v>1581</v>
      </c>
      <c r="AC511" s="1310" t="s">
        <v>1587</v>
      </c>
      <c r="AD511" s="1310" t="s">
        <v>1538</v>
      </c>
      <c r="AE511" s="1310" t="s">
        <v>1518</v>
      </c>
      <c r="AF511" s="1310" t="s">
        <v>1599</v>
      </c>
    </row>
    <row r="512" spans="1:32" x14ac:dyDescent="0.3">
      <c r="A512" s="1310" t="s">
        <v>1654</v>
      </c>
      <c r="B512" s="1310" t="s">
        <v>1557</v>
      </c>
      <c r="C512" s="1310" t="s">
        <v>1544</v>
      </c>
      <c r="D512" s="1310" t="s">
        <v>1472</v>
      </c>
      <c r="E512" s="1310" t="s">
        <v>1638</v>
      </c>
      <c r="F512" s="1310" t="s">
        <v>1445</v>
      </c>
      <c r="G512" s="1310" t="s">
        <v>1588</v>
      </c>
      <c r="H512" s="1310" t="s">
        <v>1603</v>
      </c>
      <c r="I512" s="1310" t="s">
        <v>1555</v>
      </c>
      <c r="J512" s="1310" t="s">
        <v>1488</v>
      </c>
      <c r="K512" s="1310" t="s">
        <v>1609</v>
      </c>
      <c r="L512" s="1310" t="s">
        <v>1478</v>
      </c>
      <c r="M512" s="1310" t="s">
        <v>1495</v>
      </c>
      <c r="N512" s="1310" t="s">
        <v>1602</v>
      </c>
      <c r="O512" s="1310" t="s">
        <v>1590</v>
      </c>
      <c r="P512" s="1310" t="s">
        <v>1594</v>
      </c>
      <c r="Q512" s="1310" t="s">
        <v>1615</v>
      </c>
      <c r="R512" s="1310" t="s">
        <v>1595</v>
      </c>
      <c r="S512" s="1310" t="s">
        <v>1606</v>
      </c>
      <c r="T512" s="1310" t="s">
        <v>1631</v>
      </c>
      <c r="U512" s="1310" t="s">
        <v>1552</v>
      </c>
      <c r="V512" s="1310" t="s">
        <v>1589</v>
      </c>
      <c r="W512" s="1310" t="s">
        <v>1531</v>
      </c>
      <c r="X512" s="1310" t="s">
        <v>1551</v>
      </c>
      <c r="Y512" s="1310" t="s">
        <v>1568</v>
      </c>
      <c r="Z512" s="1310" t="s">
        <v>1592</v>
      </c>
      <c r="AA512" s="1310" t="s">
        <v>1620</v>
      </c>
      <c r="AB512" s="1310" t="s">
        <v>1447</v>
      </c>
      <c r="AC512" s="1310" t="s">
        <v>113</v>
      </c>
      <c r="AD512" s="1310" t="s">
        <v>1559</v>
      </c>
      <c r="AE512" s="1310" t="s">
        <v>1603</v>
      </c>
      <c r="AF512" s="1310" t="s">
        <v>1569</v>
      </c>
    </row>
    <row r="513" spans="1:32" x14ac:dyDescent="0.3">
      <c r="A513" s="1310" t="s">
        <v>1593</v>
      </c>
      <c r="B513" s="1310" t="s">
        <v>127</v>
      </c>
      <c r="C513" s="1310" t="s">
        <v>125</v>
      </c>
      <c r="D513" s="1310" t="s">
        <v>1612</v>
      </c>
      <c r="E513" s="1310" t="s">
        <v>1514</v>
      </c>
      <c r="F513" s="1310" t="s">
        <v>1651</v>
      </c>
      <c r="G513" s="1310" t="s">
        <v>1614</v>
      </c>
      <c r="H513" s="1310" t="s">
        <v>1468</v>
      </c>
      <c r="I513" s="1310" t="s">
        <v>6</v>
      </c>
      <c r="J513" s="1310" t="s">
        <v>1613</v>
      </c>
      <c r="K513" s="1310" t="s">
        <v>1460</v>
      </c>
      <c r="L513" s="1310" t="s">
        <v>1449</v>
      </c>
      <c r="M513" s="1310" t="s">
        <v>1476</v>
      </c>
      <c r="N513" s="1310" t="s">
        <v>1473</v>
      </c>
      <c r="O513" s="1310" t="s">
        <v>270</v>
      </c>
      <c r="P513" s="1310" t="s">
        <v>1503</v>
      </c>
      <c r="Q513" s="1310" t="s">
        <v>1610</v>
      </c>
      <c r="R513" s="1310" t="s">
        <v>1564</v>
      </c>
      <c r="S513" s="1310" t="s">
        <v>1556</v>
      </c>
      <c r="T513" s="1310" t="s">
        <v>1583</v>
      </c>
      <c r="U513" s="1310" t="s">
        <v>1530</v>
      </c>
      <c r="V513" s="1310" t="s">
        <v>1488</v>
      </c>
      <c r="W513" s="1310" t="s">
        <v>123</v>
      </c>
      <c r="X513" s="1310" t="s">
        <v>1495</v>
      </c>
      <c r="Y513" s="1310" t="s">
        <v>1587</v>
      </c>
      <c r="Z513" s="1310" t="s">
        <v>1659</v>
      </c>
      <c r="AA513" s="1310" t="s">
        <v>1610</v>
      </c>
      <c r="AB513" s="1310" t="s">
        <v>1642</v>
      </c>
      <c r="AC513" s="1310" t="s">
        <v>1574</v>
      </c>
      <c r="AD513" s="1310" t="s">
        <v>1648</v>
      </c>
      <c r="AE513" s="1310" t="s">
        <v>1534</v>
      </c>
      <c r="AF513" s="1310" t="s">
        <v>1562</v>
      </c>
    </row>
    <row r="514" spans="1:32" x14ac:dyDescent="0.3">
      <c r="A514" s="1310" t="s">
        <v>1475</v>
      </c>
      <c r="B514" s="1310" t="s">
        <v>1644</v>
      </c>
      <c r="C514" s="1310" t="s">
        <v>1606</v>
      </c>
      <c r="D514" s="1310" t="s">
        <v>1527</v>
      </c>
      <c r="E514" s="1310" t="s">
        <v>1557</v>
      </c>
      <c r="F514" s="1310" t="s">
        <v>1594</v>
      </c>
      <c r="G514" s="1310" t="s">
        <v>1515</v>
      </c>
      <c r="H514" s="1310" t="s">
        <v>1575</v>
      </c>
      <c r="I514" s="1310" t="s">
        <v>115</v>
      </c>
      <c r="J514" s="1310" t="s">
        <v>1543</v>
      </c>
      <c r="K514" s="1310" t="s">
        <v>1624</v>
      </c>
      <c r="L514" s="1310" t="s">
        <v>1521</v>
      </c>
      <c r="M514" s="1310" t="s">
        <v>1542</v>
      </c>
      <c r="N514" s="1310" t="s">
        <v>1617</v>
      </c>
      <c r="O514" s="1310" t="s">
        <v>1528</v>
      </c>
      <c r="P514" s="1310" t="s">
        <v>119</v>
      </c>
      <c r="Q514" s="1310" t="s">
        <v>1448</v>
      </c>
      <c r="R514" s="1310" t="s">
        <v>1463</v>
      </c>
      <c r="S514" s="1310" t="s">
        <v>1579</v>
      </c>
      <c r="T514" s="1310" t="s">
        <v>1637</v>
      </c>
      <c r="U514" s="1310" t="s">
        <v>1559</v>
      </c>
      <c r="V514" s="1310" t="s">
        <v>1649</v>
      </c>
      <c r="W514" s="1310" t="s">
        <v>1464</v>
      </c>
      <c r="X514" s="1310" t="s">
        <v>1458</v>
      </c>
      <c r="Y514" s="1310" t="s">
        <v>1491</v>
      </c>
      <c r="Z514" s="1310" t="s">
        <v>1468</v>
      </c>
      <c r="AA514" s="1310" t="s">
        <v>1649</v>
      </c>
      <c r="AB514" s="1310" t="s">
        <v>1599</v>
      </c>
      <c r="AC514" s="1310" t="s">
        <v>1528</v>
      </c>
      <c r="AD514" s="1310" t="s">
        <v>1655</v>
      </c>
      <c r="AE514" s="1310" t="s">
        <v>1466</v>
      </c>
      <c r="AF514" s="1310" t="s">
        <v>1538</v>
      </c>
    </row>
    <row r="515" spans="1:32" x14ac:dyDescent="0.3">
      <c r="A515" s="1310" t="s">
        <v>1474</v>
      </c>
      <c r="B515" s="1310" t="s">
        <v>1544</v>
      </c>
      <c r="C515" s="1310" t="s">
        <v>1447</v>
      </c>
      <c r="D515" s="1310" t="s">
        <v>1484</v>
      </c>
      <c r="E515" s="1310" t="s">
        <v>465</v>
      </c>
      <c r="F515" s="1310" t="s">
        <v>1486</v>
      </c>
      <c r="G515" s="1310" t="s">
        <v>1475</v>
      </c>
      <c r="H515" s="1310" t="s">
        <v>1480</v>
      </c>
      <c r="I515" s="1310" t="s">
        <v>1481</v>
      </c>
      <c r="J515" s="1310" t="s">
        <v>1498</v>
      </c>
      <c r="K515" s="1310" t="s">
        <v>1626</v>
      </c>
      <c r="L515" s="1310" t="s">
        <v>1506</v>
      </c>
      <c r="M515" s="1310" t="s">
        <v>1446</v>
      </c>
      <c r="N515" s="1310" t="s">
        <v>124</v>
      </c>
      <c r="O515" s="1310" t="s">
        <v>128</v>
      </c>
      <c r="P515" s="1310" t="s">
        <v>1643</v>
      </c>
      <c r="Q515" s="1310" t="s">
        <v>1457</v>
      </c>
      <c r="R515" s="1310" t="s">
        <v>1526</v>
      </c>
      <c r="S515" s="1310" t="s">
        <v>1565</v>
      </c>
      <c r="T515" s="1310" t="s">
        <v>1631</v>
      </c>
      <c r="U515" s="1310" t="s">
        <v>1486</v>
      </c>
      <c r="V515" s="1310" t="s">
        <v>1624</v>
      </c>
      <c r="W515" s="1310" t="s">
        <v>1500</v>
      </c>
      <c r="X515" s="1310" t="s">
        <v>1595</v>
      </c>
      <c r="Y515" s="1310" t="s">
        <v>1635</v>
      </c>
      <c r="Z515" s="1310" t="s">
        <v>1653</v>
      </c>
      <c r="AA515" s="1310" t="s">
        <v>1524</v>
      </c>
      <c r="AB515" s="1310" t="s">
        <v>1570</v>
      </c>
      <c r="AC515" s="1310" t="s">
        <v>1557</v>
      </c>
      <c r="AD515" s="1310" t="s">
        <v>1504</v>
      </c>
      <c r="AE515" s="1310" t="s">
        <v>1491</v>
      </c>
      <c r="AF515" s="1310" t="s">
        <v>1497</v>
      </c>
    </row>
    <row r="516" spans="1:32" x14ac:dyDescent="0.3">
      <c r="A516" s="1310" t="s">
        <v>1545</v>
      </c>
      <c r="B516" s="1310" t="s">
        <v>111</v>
      </c>
      <c r="C516" s="1310" t="s">
        <v>112</v>
      </c>
      <c r="D516" s="1310" t="s">
        <v>123</v>
      </c>
      <c r="E516" s="1310" t="s">
        <v>270</v>
      </c>
      <c r="F516" s="1310" t="s">
        <v>1499</v>
      </c>
      <c r="G516" s="1310" t="s">
        <v>1546</v>
      </c>
      <c r="H516" s="1310" t="s">
        <v>1629</v>
      </c>
      <c r="I516" s="1310" t="s">
        <v>1595</v>
      </c>
      <c r="J516" s="1310" t="s">
        <v>112</v>
      </c>
      <c r="K516" s="1310" t="s">
        <v>1453</v>
      </c>
      <c r="L516" s="1310" t="s">
        <v>1562</v>
      </c>
      <c r="M516" s="1310" t="s">
        <v>122</v>
      </c>
      <c r="N516" s="1310" t="s">
        <v>1650</v>
      </c>
      <c r="O516" s="1310" t="s">
        <v>1603</v>
      </c>
      <c r="P516" s="1310" t="s">
        <v>1564</v>
      </c>
      <c r="Q516" s="1310" t="s">
        <v>1507</v>
      </c>
      <c r="R516" s="1310" t="s">
        <v>1523</v>
      </c>
      <c r="S516" s="1310" t="s">
        <v>1470</v>
      </c>
      <c r="T516" s="1310" t="s">
        <v>1453</v>
      </c>
      <c r="U516" s="1310" t="s">
        <v>1586</v>
      </c>
      <c r="V516" s="1310" t="s">
        <v>1489</v>
      </c>
      <c r="W516" s="1310" t="s">
        <v>1532</v>
      </c>
      <c r="X516" s="1310" t="s">
        <v>1559</v>
      </c>
      <c r="Y516" s="1310" t="s">
        <v>1600</v>
      </c>
      <c r="Z516" s="1310" t="s">
        <v>1475</v>
      </c>
      <c r="AA516" s="1310" t="s">
        <v>119</v>
      </c>
      <c r="AB516" s="1310" t="s">
        <v>1624</v>
      </c>
      <c r="AC516" s="1310" t="s">
        <v>1493</v>
      </c>
      <c r="AD516" s="1310" t="s">
        <v>130</v>
      </c>
      <c r="AE516" s="1310" t="s">
        <v>113</v>
      </c>
      <c r="AF516" s="1310" t="s">
        <v>1489</v>
      </c>
    </row>
    <row r="517" spans="1:32" x14ac:dyDescent="0.3">
      <c r="A517" s="1310" t="s">
        <v>1477</v>
      </c>
      <c r="B517" s="1310" t="s">
        <v>1521</v>
      </c>
      <c r="C517" s="1310" t="s">
        <v>1635</v>
      </c>
      <c r="D517" s="1310" t="s">
        <v>1619</v>
      </c>
      <c r="E517" s="1310" t="s">
        <v>1508</v>
      </c>
      <c r="F517" s="1310" t="s">
        <v>1609</v>
      </c>
      <c r="G517" s="1310" t="s">
        <v>1458</v>
      </c>
      <c r="H517" s="1310" t="s">
        <v>1547</v>
      </c>
      <c r="I517" s="1310" t="s">
        <v>1530</v>
      </c>
      <c r="J517" s="1310" t="s">
        <v>1654</v>
      </c>
      <c r="K517" s="1310" t="s">
        <v>1504</v>
      </c>
      <c r="L517" s="1310" t="s">
        <v>1588</v>
      </c>
      <c r="M517" s="1310" t="s">
        <v>1658</v>
      </c>
      <c r="N517" s="1310" t="s">
        <v>1455</v>
      </c>
      <c r="O517" s="1310" t="s">
        <v>1462</v>
      </c>
      <c r="P517" s="1310" t="s">
        <v>1541</v>
      </c>
      <c r="Q517" s="1310" t="s">
        <v>1457</v>
      </c>
      <c r="R517" s="1310" t="s">
        <v>1481</v>
      </c>
      <c r="S517" s="1310" t="s">
        <v>114</v>
      </c>
      <c r="T517" s="1310" t="s">
        <v>1543</v>
      </c>
      <c r="U517" s="1310" t="s">
        <v>1502</v>
      </c>
      <c r="V517" s="1310" t="s">
        <v>1613</v>
      </c>
      <c r="W517" s="1310" t="s">
        <v>268</v>
      </c>
      <c r="X517" s="1310" t="s">
        <v>1612</v>
      </c>
      <c r="Y517" s="1310" t="s">
        <v>265</v>
      </c>
      <c r="Z517" s="1310" t="s">
        <v>1457</v>
      </c>
      <c r="AA517" s="1310" t="s">
        <v>1535</v>
      </c>
      <c r="AB517" s="1310" t="s">
        <v>1444</v>
      </c>
      <c r="AC517" s="1310" t="s">
        <v>1483</v>
      </c>
      <c r="AD517" s="1310" t="s">
        <v>1444</v>
      </c>
      <c r="AE517" s="1310" t="s">
        <v>126</v>
      </c>
      <c r="AF517" s="1310" t="s">
        <v>1632</v>
      </c>
    </row>
    <row r="518" spans="1:32" x14ac:dyDescent="0.3">
      <c r="A518" s="1310" t="s">
        <v>1643</v>
      </c>
      <c r="B518" s="1310" t="s">
        <v>1545</v>
      </c>
      <c r="C518" s="1310" t="s">
        <v>268</v>
      </c>
      <c r="D518" s="1310" t="s">
        <v>1651</v>
      </c>
      <c r="E518" s="1310" t="s">
        <v>1540</v>
      </c>
      <c r="F518" s="1310" t="s">
        <v>1542</v>
      </c>
      <c r="G518" s="1310" t="s">
        <v>1445</v>
      </c>
      <c r="H518" s="1310" t="s">
        <v>270</v>
      </c>
      <c r="I518" s="1310" t="s">
        <v>268</v>
      </c>
      <c r="J518" s="1310" t="s">
        <v>111</v>
      </c>
      <c r="K518" s="1310" t="s">
        <v>133</v>
      </c>
      <c r="L518" s="1310" t="s">
        <v>267</v>
      </c>
      <c r="M518" s="1310" t="s">
        <v>1625</v>
      </c>
      <c r="N518" s="1310" t="s">
        <v>266</v>
      </c>
      <c r="O518" s="1310" t="s">
        <v>6</v>
      </c>
      <c r="P518" s="1310" t="s">
        <v>125</v>
      </c>
      <c r="Q518" s="1310" t="s">
        <v>1584</v>
      </c>
      <c r="R518" s="1310" t="s">
        <v>1471</v>
      </c>
      <c r="S518" s="1310" t="s">
        <v>124</v>
      </c>
      <c r="T518" s="1310" t="s">
        <v>270</v>
      </c>
      <c r="U518" s="1310" t="s">
        <v>1526</v>
      </c>
      <c r="V518" s="1310" t="s">
        <v>1551</v>
      </c>
      <c r="W518" s="1310" t="s">
        <v>1522</v>
      </c>
      <c r="X518" s="1310" t="s">
        <v>1572</v>
      </c>
      <c r="Y518" s="1310" t="s">
        <v>1514</v>
      </c>
      <c r="Z518" s="1310" t="s">
        <v>1526</v>
      </c>
      <c r="AA518" s="1310" t="s">
        <v>1530</v>
      </c>
      <c r="AB518" s="1310" t="s">
        <v>1543</v>
      </c>
      <c r="AC518" s="1310" t="s">
        <v>1588</v>
      </c>
      <c r="AD518" s="1310" t="s">
        <v>128</v>
      </c>
      <c r="AE518" s="1310" t="s">
        <v>1629</v>
      </c>
      <c r="AF518" s="1310" t="s">
        <v>1469</v>
      </c>
    </row>
    <row r="519" spans="1:32" x14ac:dyDescent="0.3">
      <c r="A519" s="1310" t="s">
        <v>1466</v>
      </c>
      <c r="B519" s="1310" t="s">
        <v>1533</v>
      </c>
      <c r="C519" s="1310" t="s">
        <v>1475</v>
      </c>
      <c r="D519" s="1310" t="s">
        <v>1593</v>
      </c>
      <c r="E519" s="1310" t="s">
        <v>1505</v>
      </c>
      <c r="F519" s="1310" t="s">
        <v>1533</v>
      </c>
      <c r="G519" s="1310" t="s">
        <v>1535</v>
      </c>
      <c r="H519" s="1310" t="s">
        <v>1573</v>
      </c>
      <c r="I519" s="1310" t="s">
        <v>1639</v>
      </c>
      <c r="J519" s="1310" t="s">
        <v>1555</v>
      </c>
      <c r="K519" s="1310" t="s">
        <v>1602</v>
      </c>
      <c r="L519" s="1310" t="s">
        <v>123</v>
      </c>
      <c r="M519" s="1310" t="s">
        <v>1482</v>
      </c>
      <c r="N519" s="1310" t="s">
        <v>1504</v>
      </c>
      <c r="O519" s="1310" t="s">
        <v>1625</v>
      </c>
      <c r="P519" s="1310" t="s">
        <v>1561</v>
      </c>
      <c r="Q519" s="1310" t="s">
        <v>1643</v>
      </c>
      <c r="R519" s="1310" t="s">
        <v>1621</v>
      </c>
      <c r="S519" s="1310" t="s">
        <v>1482</v>
      </c>
      <c r="T519" s="1310" t="s">
        <v>1589</v>
      </c>
      <c r="U519" s="1310" t="s">
        <v>123</v>
      </c>
      <c r="V519" s="1310" t="s">
        <v>1482</v>
      </c>
      <c r="W519" s="1310" t="s">
        <v>1609</v>
      </c>
      <c r="X519" s="1310" t="s">
        <v>1486</v>
      </c>
      <c r="Y519" s="1310" t="s">
        <v>1575</v>
      </c>
      <c r="Z519" s="1310" t="s">
        <v>1535</v>
      </c>
      <c r="AA519" s="1310" t="s">
        <v>1538</v>
      </c>
      <c r="AB519" s="1310" t="s">
        <v>1577</v>
      </c>
      <c r="AC519" s="1310" t="s">
        <v>6</v>
      </c>
      <c r="AD519" s="1310" t="s">
        <v>1476</v>
      </c>
      <c r="AE519" s="1310" t="s">
        <v>1495</v>
      </c>
      <c r="AF519" s="1310" t="s">
        <v>1473</v>
      </c>
    </row>
    <row r="520" spans="1:32" x14ac:dyDescent="0.3">
      <c r="A520" s="1310" t="s">
        <v>1573</v>
      </c>
      <c r="B520" s="1310" t="s">
        <v>1542</v>
      </c>
      <c r="C520" s="1310" t="s">
        <v>1599</v>
      </c>
      <c r="D520" s="1310" t="s">
        <v>1460</v>
      </c>
      <c r="E520" s="1310" t="s">
        <v>112</v>
      </c>
      <c r="F520" s="1310" t="s">
        <v>1541</v>
      </c>
      <c r="G520" s="1310" t="s">
        <v>1589</v>
      </c>
      <c r="H520" s="1310" t="s">
        <v>1642</v>
      </c>
      <c r="I520" s="1310" t="s">
        <v>1522</v>
      </c>
      <c r="J520" s="1310" t="s">
        <v>1486</v>
      </c>
      <c r="K520" s="1310" t="s">
        <v>1566</v>
      </c>
      <c r="L520" s="1310" t="s">
        <v>1486</v>
      </c>
      <c r="M520" s="1310" t="s">
        <v>1541</v>
      </c>
      <c r="N520" s="1310" t="s">
        <v>1490</v>
      </c>
      <c r="O520" s="1310" t="s">
        <v>1475</v>
      </c>
      <c r="P520" s="1310" t="s">
        <v>1650</v>
      </c>
      <c r="Q520" s="1310" t="s">
        <v>1581</v>
      </c>
      <c r="R520" s="1310" t="s">
        <v>1648</v>
      </c>
      <c r="S520" s="1310" t="s">
        <v>1537</v>
      </c>
      <c r="T520" s="1310" t="s">
        <v>1472</v>
      </c>
      <c r="U520" s="1310" t="s">
        <v>1653</v>
      </c>
      <c r="V520" s="1310" t="s">
        <v>1528</v>
      </c>
      <c r="W520" s="1310" t="s">
        <v>1460</v>
      </c>
      <c r="X520" s="1310" t="s">
        <v>1486</v>
      </c>
      <c r="Y520" s="1310" t="s">
        <v>1658</v>
      </c>
      <c r="Z520" s="1310" t="s">
        <v>1632</v>
      </c>
      <c r="AA520" s="1310" t="s">
        <v>1509</v>
      </c>
      <c r="AB520" s="1310" t="s">
        <v>1572</v>
      </c>
      <c r="AC520" s="1310" t="s">
        <v>1589</v>
      </c>
      <c r="AD520" s="1310" t="s">
        <v>1454</v>
      </c>
      <c r="AE520" s="1310" t="s">
        <v>1652</v>
      </c>
      <c r="AF520" s="1310" t="s">
        <v>1594</v>
      </c>
    </row>
    <row r="521" spans="1:32" x14ac:dyDescent="0.3">
      <c r="A521" s="1310" t="s">
        <v>1625</v>
      </c>
      <c r="B521" s="1310" t="s">
        <v>1644</v>
      </c>
      <c r="C521" s="1310" t="s">
        <v>1632</v>
      </c>
      <c r="D521" s="1310" t="s">
        <v>1635</v>
      </c>
      <c r="E521" s="1310" t="s">
        <v>1541</v>
      </c>
      <c r="F521" s="1310" t="s">
        <v>1635</v>
      </c>
      <c r="G521" s="1310" t="s">
        <v>1625</v>
      </c>
      <c r="H521" s="1310" t="s">
        <v>1445</v>
      </c>
      <c r="I521" s="1310" t="s">
        <v>1461</v>
      </c>
      <c r="J521" s="1310" t="s">
        <v>269</v>
      </c>
      <c r="K521" s="1310" t="s">
        <v>1616</v>
      </c>
      <c r="L521" s="1310" t="s">
        <v>1543</v>
      </c>
      <c r="M521" s="1310" t="s">
        <v>1536</v>
      </c>
      <c r="N521" s="1310" t="s">
        <v>1558</v>
      </c>
      <c r="O521" s="1310" t="s">
        <v>1559</v>
      </c>
      <c r="P521" s="1310" t="s">
        <v>1490</v>
      </c>
      <c r="Q521" s="1310" t="s">
        <v>1562</v>
      </c>
      <c r="R521" s="1310" t="s">
        <v>1602</v>
      </c>
      <c r="S521" s="1310" t="s">
        <v>1596</v>
      </c>
      <c r="T521" s="1310" t="s">
        <v>1527</v>
      </c>
      <c r="U521" s="1310" t="s">
        <v>1539</v>
      </c>
      <c r="V521" s="1310" t="s">
        <v>1648</v>
      </c>
      <c r="W521" s="1310" t="s">
        <v>1576</v>
      </c>
      <c r="X521" s="1310" t="s">
        <v>1529</v>
      </c>
      <c r="Y521" s="1310" t="s">
        <v>1480</v>
      </c>
      <c r="Z521" s="1310" t="s">
        <v>114</v>
      </c>
      <c r="AA521" s="1310" t="s">
        <v>1472</v>
      </c>
      <c r="AB521" s="1310" t="s">
        <v>1649</v>
      </c>
      <c r="AC521" s="1310" t="s">
        <v>1579</v>
      </c>
      <c r="AD521" s="1310" t="s">
        <v>1533</v>
      </c>
      <c r="AE521" s="1310" t="s">
        <v>1541</v>
      </c>
      <c r="AF521" s="1310" t="s">
        <v>1657</v>
      </c>
    </row>
    <row r="522" spans="1:32" x14ac:dyDescent="0.3">
      <c r="A522" s="1310" t="s">
        <v>1558</v>
      </c>
      <c r="B522" s="1310" t="s">
        <v>1448</v>
      </c>
      <c r="C522" s="1310" t="s">
        <v>1542</v>
      </c>
      <c r="D522" s="1310" t="s">
        <v>1597</v>
      </c>
      <c r="E522" s="1310" t="s">
        <v>1448</v>
      </c>
      <c r="F522" s="1310" t="s">
        <v>1516</v>
      </c>
      <c r="G522" s="1310" t="s">
        <v>1579</v>
      </c>
      <c r="H522" s="1310" t="s">
        <v>130</v>
      </c>
      <c r="I522" s="1310" t="s">
        <v>1627</v>
      </c>
      <c r="J522" s="1310" t="s">
        <v>267</v>
      </c>
      <c r="K522" s="1310" t="s">
        <v>1563</v>
      </c>
      <c r="L522" s="1310" t="s">
        <v>114</v>
      </c>
      <c r="M522" s="1310" t="s">
        <v>1495</v>
      </c>
      <c r="N522" s="1310" t="s">
        <v>1644</v>
      </c>
      <c r="O522" s="1310" t="s">
        <v>116</v>
      </c>
      <c r="P522" s="1310" t="s">
        <v>1537</v>
      </c>
      <c r="Q522" s="1310" t="s">
        <v>1550</v>
      </c>
      <c r="R522" s="1310" t="s">
        <v>1570</v>
      </c>
      <c r="S522" s="1310" t="s">
        <v>1610</v>
      </c>
      <c r="T522" s="1310" t="s">
        <v>1644</v>
      </c>
      <c r="U522" s="1310" t="s">
        <v>1539</v>
      </c>
      <c r="V522" s="1310" t="s">
        <v>1533</v>
      </c>
      <c r="W522" s="1310" t="s">
        <v>1586</v>
      </c>
      <c r="X522" s="1310" t="s">
        <v>1474</v>
      </c>
      <c r="Y522" s="1310" t="s">
        <v>1448</v>
      </c>
      <c r="Z522" s="1310" t="s">
        <v>1536</v>
      </c>
      <c r="AA522" s="1310" t="s">
        <v>1456</v>
      </c>
      <c r="AB522" s="1310" t="s">
        <v>1564</v>
      </c>
      <c r="AC522" s="1310" t="s">
        <v>1525</v>
      </c>
      <c r="AD522" s="1310" t="s">
        <v>1628</v>
      </c>
      <c r="AE522" s="1310" t="s">
        <v>124</v>
      </c>
      <c r="AF522" s="1310" t="s">
        <v>1627</v>
      </c>
    </row>
    <row r="523" spans="1:32" x14ac:dyDescent="0.3">
      <c r="A523" s="1310" t="s">
        <v>1613</v>
      </c>
      <c r="B523" s="1310" t="s">
        <v>1500</v>
      </c>
      <c r="C523" s="1310" t="s">
        <v>1498</v>
      </c>
      <c r="D523" s="1310" t="s">
        <v>1451</v>
      </c>
      <c r="E523" s="1310" t="s">
        <v>1524</v>
      </c>
      <c r="F523" s="1310" t="s">
        <v>1030</v>
      </c>
      <c r="G523" s="1310" t="s">
        <v>1656</v>
      </c>
      <c r="H523" s="1310" t="s">
        <v>1618</v>
      </c>
      <c r="I523" s="1310" t="s">
        <v>1449</v>
      </c>
      <c r="J523" s="1310" t="s">
        <v>1583</v>
      </c>
      <c r="K523" s="1310" t="s">
        <v>1559</v>
      </c>
      <c r="L523" s="1310" t="s">
        <v>1516</v>
      </c>
      <c r="M523" s="1310" t="s">
        <v>1505</v>
      </c>
      <c r="N523" s="1310" t="s">
        <v>1524</v>
      </c>
      <c r="O523" s="1310" t="s">
        <v>1510</v>
      </c>
      <c r="P523" s="1310" t="s">
        <v>1574</v>
      </c>
      <c r="Q523" s="1310" t="s">
        <v>132</v>
      </c>
      <c r="R523" s="1310" t="s">
        <v>1625</v>
      </c>
      <c r="S523" s="1310" t="s">
        <v>1603</v>
      </c>
      <c r="T523" s="1310" t="s">
        <v>1508</v>
      </c>
      <c r="U523" s="1310" t="s">
        <v>1499</v>
      </c>
      <c r="V523" s="1310" t="s">
        <v>1646</v>
      </c>
      <c r="W523" s="1310" t="s">
        <v>1483</v>
      </c>
      <c r="X523" s="1310" t="s">
        <v>1486</v>
      </c>
      <c r="Y523" s="1310" t="s">
        <v>1451</v>
      </c>
      <c r="Z523" s="1310" t="s">
        <v>1617</v>
      </c>
      <c r="AA523" s="1310" t="s">
        <v>1578</v>
      </c>
      <c r="AB523" s="1310" t="s">
        <v>130</v>
      </c>
      <c r="AC523" s="1310" t="s">
        <v>1633</v>
      </c>
      <c r="AD523" s="1310" t="s">
        <v>1493</v>
      </c>
      <c r="AE523" s="1310" t="s">
        <v>118</v>
      </c>
      <c r="AF523" s="1310" t="s">
        <v>1600</v>
      </c>
    </row>
    <row r="524" spans="1:32" x14ac:dyDescent="0.3">
      <c r="A524" s="1310" t="s">
        <v>1499</v>
      </c>
      <c r="B524" s="1310" t="s">
        <v>127</v>
      </c>
      <c r="C524" s="1310" t="s">
        <v>1630</v>
      </c>
      <c r="D524" s="1310" t="s">
        <v>1635</v>
      </c>
      <c r="E524" s="1310" t="s">
        <v>1632</v>
      </c>
      <c r="F524" s="1310" t="s">
        <v>1484</v>
      </c>
      <c r="G524" s="1310" t="s">
        <v>1625</v>
      </c>
      <c r="H524" s="1310" t="s">
        <v>120</v>
      </c>
      <c r="I524" s="1310" t="s">
        <v>1643</v>
      </c>
      <c r="J524" s="1310" t="s">
        <v>1542</v>
      </c>
      <c r="K524" s="1310" t="s">
        <v>1589</v>
      </c>
      <c r="L524" s="1310" t="s">
        <v>1628</v>
      </c>
      <c r="M524" s="1310" t="s">
        <v>1640</v>
      </c>
      <c r="N524" s="1310" t="s">
        <v>1630</v>
      </c>
      <c r="O524" s="1310" t="s">
        <v>1592</v>
      </c>
      <c r="P524" s="1310" t="s">
        <v>1556</v>
      </c>
      <c r="Q524" s="1310" t="s">
        <v>1624</v>
      </c>
      <c r="R524" s="1310" t="s">
        <v>1526</v>
      </c>
      <c r="S524" s="1310" t="s">
        <v>1606</v>
      </c>
      <c r="T524" s="1310" t="s">
        <v>1475</v>
      </c>
      <c r="U524" s="1310" t="s">
        <v>121</v>
      </c>
      <c r="V524" s="1310" t="s">
        <v>1447</v>
      </c>
      <c r="W524" s="1310" t="s">
        <v>1475</v>
      </c>
      <c r="X524" s="1310" t="s">
        <v>1453</v>
      </c>
      <c r="Y524" s="1310" t="s">
        <v>1559</v>
      </c>
      <c r="Z524" s="1310" t="s">
        <v>1652</v>
      </c>
      <c r="AA524" s="1310" t="s">
        <v>1650</v>
      </c>
      <c r="AB524" s="1310" t="s">
        <v>1555</v>
      </c>
      <c r="AC524" s="1310" t="s">
        <v>1616</v>
      </c>
      <c r="AD524" s="1310" t="s">
        <v>120</v>
      </c>
      <c r="AE524" s="1310" t="s">
        <v>1455</v>
      </c>
      <c r="AF524" s="1310" t="s">
        <v>269</v>
      </c>
    </row>
    <row r="525" spans="1:32" x14ac:dyDescent="0.3">
      <c r="A525" s="1310" t="s">
        <v>1640</v>
      </c>
      <c r="B525" s="1310" t="s">
        <v>1562</v>
      </c>
      <c r="C525" s="1310" t="s">
        <v>1461</v>
      </c>
      <c r="D525" s="1310" t="s">
        <v>1634</v>
      </c>
      <c r="E525" s="1310" t="s">
        <v>1501</v>
      </c>
      <c r="F525" s="1310" t="s">
        <v>1548</v>
      </c>
      <c r="G525" s="1310" t="s">
        <v>1603</v>
      </c>
      <c r="H525" s="1310" t="s">
        <v>1544</v>
      </c>
      <c r="I525" s="1310" t="s">
        <v>1636</v>
      </c>
      <c r="J525" s="1310" t="s">
        <v>1582</v>
      </c>
      <c r="K525" s="1310" t="s">
        <v>1633</v>
      </c>
      <c r="L525" s="1310" t="s">
        <v>1493</v>
      </c>
      <c r="M525" s="1310" t="s">
        <v>1636</v>
      </c>
      <c r="N525" s="1310" t="s">
        <v>1586</v>
      </c>
      <c r="O525" s="1310" t="s">
        <v>1622</v>
      </c>
      <c r="P525" s="1310" t="s">
        <v>1564</v>
      </c>
      <c r="Q525" s="1310" t="s">
        <v>1619</v>
      </c>
      <c r="R525" s="1310" t="s">
        <v>1642</v>
      </c>
      <c r="S525" s="1310" t="s">
        <v>1555</v>
      </c>
      <c r="T525" s="1310" t="s">
        <v>1586</v>
      </c>
      <c r="U525" s="1310" t="s">
        <v>1600</v>
      </c>
      <c r="V525" s="1310" t="s">
        <v>1511</v>
      </c>
      <c r="W525" s="1310" t="s">
        <v>1595</v>
      </c>
      <c r="X525" s="1310" t="s">
        <v>1563</v>
      </c>
      <c r="Y525" s="1310" t="s">
        <v>1580</v>
      </c>
      <c r="Z525" s="1310" t="s">
        <v>1624</v>
      </c>
      <c r="AA525" s="1310" t="s">
        <v>114</v>
      </c>
      <c r="AB525" s="1310" t="s">
        <v>1602</v>
      </c>
      <c r="AC525" s="1310" t="s">
        <v>1612</v>
      </c>
      <c r="AD525" s="1310" t="s">
        <v>1592</v>
      </c>
      <c r="AE525" s="1310" t="s">
        <v>1473</v>
      </c>
      <c r="AF525" s="1310" t="s">
        <v>114</v>
      </c>
    </row>
    <row r="526" spans="1:32" x14ac:dyDescent="0.3">
      <c r="A526" s="1310" t="s">
        <v>1449</v>
      </c>
      <c r="B526" s="1310" t="s">
        <v>1588</v>
      </c>
      <c r="C526" s="1310" t="s">
        <v>465</v>
      </c>
      <c r="D526" s="1310" t="s">
        <v>114</v>
      </c>
      <c r="E526" s="1310" t="s">
        <v>1488</v>
      </c>
      <c r="F526" s="1310" t="s">
        <v>1455</v>
      </c>
      <c r="G526" s="1310" t="s">
        <v>1635</v>
      </c>
      <c r="H526" s="1310" t="s">
        <v>1549</v>
      </c>
      <c r="I526" s="1310" t="s">
        <v>1644</v>
      </c>
      <c r="J526" s="1310" t="s">
        <v>1632</v>
      </c>
      <c r="K526" s="1310" t="s">
        <v>1600</v>
      </c>
      <c r="L526" s="1310" t="s">
        <v>1509</v>
      </c>
      <c r="M526" s="1310" t="s">
        <v>1554</v>
      </c>
      <c r="N526" s="1310" t="s">
        <v>1452</v>
      </c>
      <c r="O526" s="1310" t="s">
        <v>1621</v>
      </c>
      <c r="P526" s="1310" t="s">
        <v>1541</v>
      </c>
      <c r="Q526" s="1310" t="s">
        <v>1444</v>
      </c>
      <c r="R526" s="1310" t="s">
        <v>465</v>
      </c>
      <c r="S526" s="1310" t="s">
        <v>114</v>
      </c>
      <c r="T526" s="1310" t="s">
        <v>1488</v>
      </c>
      <c r="U526" s="1310" t="s">
        <v>1455</v>
      </c>
      <c r="V526" s="1310" t="s">
        <v>1635</v>
      </c>
      <c r="W526" s="1310" t="s">
        <v>1549</v>
      </c>
      <c r="X526" s="1310" t="s">
        <v>1644</v>
      </c>
      <c r="Y526" s="1310" t="s">
        <v>1632</v>
      </c>
      <c r="Z526" s="1310" t="s">
        <v>1600</v>
      </c>
      <c r="AA526" s="1310" t="s">
        <v>1509</v>
      </c>
      <c r="AB526" s="1310" t="s">
        <v>1554</v>
      </c>
      <c r="AC526" s="1310" t="s">
        <v>1452</v>
      </c>
      <c r="AD526" s="1310" t="s">
        <v>1621</v>
      </c>
      <c r="AE526" s="1310" t="s">
        <v>1541</v>
      </c>
      <c r="AF526" s="1310" t="s">
        <v>1443</v>
      </c>
    </row>
    <row r="527" spans="1:32" x14ac:dyDescent="0.3">
      <c r="A527" s="1310" t="s">
        <v>121</v>
      </c>
      <c r="B527" s="1310" t="s">
        <v>1571</v>
      </c>
      <c r="C527" s="1310" t="s">
        <v>1562</v>
      </c>
      <c r="D527" s="1310" t="s">
        <v>1452</v>
      </c>
      <c r="E527" s="1310" t="s">
        <v>1621</v>
      </c>
      <c r="F527" s="1310" t="s">
        <v>1541</v>
      </c>
      <c r="G527" s="1310" t="s">
        <v>1444</v>
      </c>
      <c r="H527" s="1310" t="s">
        <v>465</v>
      </c>
      <c r="I527" s="1310" t="s">
        <v>114</v>
      </c>
      <c r="J527" s="1310" t="s">
        <v>1488</v>
      </c>
      <c r="K527" s="1310" t="s">
        <v>1455</v>
      </c>
      <c r="L527" s="1310" t="s">
        <v>1635</v>
      </c>
      <c r="M527" s="1310" t="s">
        <v>1549</v>
      </c>
      <c r="N527" s="1310" t="s">
        <v>1644</v>
      </c>
      <c r="O527" s="1310" t="s">
        <v>1632</v>
      </c>
      <c r="P527" s="1310" t="s">
        <v>1600</v>
      </c>
      <c r="Q527" s="1310" t="s">
        <v>1509</v>
      </c>
      <c r="R527" s="1310" t="s">
        <v>1554</v>
      </c>
      <c r="S527" s="1310" t="s">
        <v>1452</v>
      </c>
      <c r="T527" s="1310" t="s">
        <v>1621</v>
      </c>
      <c r="U527" s="1310" t="s">
        <v>1541</v>
      </c>
      <c r="V527" s="1310" t="s">
        <v>1444</v>
      </c>
      <c r="W527" s="1310" t="s">
        <v>465</v>
      </c>
      <c r="X527" s="1310" t="s">
        <v>114</v>
      </c>
      <c r="Y527" s="1310" t="s">
        <v>1488</v>
      </c>
      <c r="Z527" s="1310" t="s">
        <v>1455</v>
      </c>
      <c r="AA527" s="1310" t="s">
        <v>1635</v>
      </c>
      <c r="AB527" s="1310" t="s">
        <v>1549</v>
      </c>
      <c r="AC527" s="1310" t="s">
        <v>1644</v>
      </c>
      <c r="AD527" s="1310" t="s">
        <v>1632</v>
      </c>
      <c r="AE527" s="1310" t="s">
        <v>1600</v>
      </c>
      <c r="AF527" s="1310" t="s">
        <v>1509</v>
      </c>
    </row>
    <row r="528" spans="1:32" x14ac:dyDescent="0.3">
      <c r="A528" s="1310" t="s">
        <v>1554</v>
      </c>
      <c r="B528" s="1310" t="s">
        <v>1452</v>
      </c>
      <c r="C528" s="1310" t="s">
        <v>1568</v>
      </c>
      <c r="D528" s="1310" t="s">
        <v>1468</v>
      </c>
      <c r="E528" s="1310" t="s">
        <v>130</v>
      </c>
      <c r="F528" s="1310" t="s">
        <v>1561</v>
      </c>
      <c r="G528" s="1310" t="s">
        <v>1458</v>
      </c>
      <c r="H528" s="1310" t="s">
        <v>1468</v>
      </c>
      <c r="I528" s="1310" t="s">
        <v>1547</v>
      </c>
      <c r="J528" s="1310" t="s">
        <v>128</v>
      </c>
      <c r="K528" s="1310" t="s">
        <v>1639</v>
      </c>
      <c r="L528" s="1310" t="s">
        <v>1474</v>
      </c>
      <c r="M528" s="1310" t="s">
        <v>1648</v>
      </c>
      <c r="N528" s="1310" t="s">
        <v>122</v>
      </c>
      <c r="O528" s="1310" t="s">
        <v>1578</v>
      </c>
      <c r="P528" s="1310" t="s">
        <v>114</v>
      </c>
      <c r="Q528" s="1310" t="s">
        <v>1579</v>
      </c>
      <c r="R528" s="1310" t="s">
        <v>1553</v>
      </c>
      <c r="S528" s="1310" t="s">
        <v>1480</v>
      </c>
      <c r="T528" s="1310" t="s">
        <v>1644</v>
      </c>
      <c r="U528" s="1310" t="s">
        <v>114</v>
      </c>
      <c r="V528" s="1310" t="s">
        <v>1627</v>
      </c>
      <c r="W528" s="1310" t="s">
        <v>1490</v>
      </c>
      <c r="X528" s="1310" t="s">
        <v>1453</v>
      </c>
      <c r="Y528" s="1310" t="s">
        <v>1556</v>
      </c>
      <c r="Z528" s="1310" t="s">
        <v>1636</v>
      </c>
      <c r="AA528" s="1310" t="s">
        <v>1511</v>
      </c>
      <c r="AB528" s="1310" t="s">
        <v>465</v>
      </c>
      <c r="AC528" s="1310" t="s">
        <v>130</v>
      </c>
      <c r="AD528" s="1310" t="s">
        <v>1517</v>
      </c>
      <c r="AE528" s="1310" t="s">
        <v>1477</v>
      </c>
      <c r="AF528" s="1310" t="s">
        <v>1655</v>
      </c>
    </row>
    <row r="529" spans="1:32" x14ac:dyDescent="0.3">
      <c r="A529" s="1310" t="s">
        <v>1623</v>
      </c>
      <c r="B529" s="1310" t="s">
        <v>1488</v>
      </c>
      <c r="C529" s="1310" t="s">
        <v>1586</v>
      </c>
      <c r="D529" s="1310" t="s">
        <v>1575</v>
      </c>
      <c r="E529" s="1310" t="s">
        <v>124</v>
      </c>
      <c r="F529" s="1310" t="s">
        <v>1473</v>
      </c>
      <c r="G529" s="1310" t="s">
        <v>1455</v>
      </c>
      <c r="H529" s="1310" t="s">
        <v>1499</v>
      </c>
      <c r="I529" s="1310" t="s">
        <v>1542</v>
      </c>
      <c r="J529" s="1310" t="s">
        <v>1480</v>
      </c>
      <c r="K529" s="1310" t="s">
        <v>1625</v>
      </c>
      <c r="L529" s="1310" t="s">
        <v>1466</v>
      </c>
      <c r="M529" s="1310" t="s">
        <v>1592</v>
      </c>
      <c r="N529" s="1310" t="s">
        <v>1552</v>
      </c>
      <c r="O529" s="1310" t="s">
        <v>1504</v>
      </c>
      <c r="P529" s="1310" t="s">
        <v>128</v>
      </c>
      <c r="Q529" s="1310" t="s">
        <v>1590</v>
      </c>
      <c r="R529" s="1310" t="s">
        <v>120</v>
      </c>
      <c r="S529" s="1310" t="s">
        <v>1459</v>
      </c>
      <c r="T529" s="1310" t="s">
        <v>131</v>
      </c>
      <c r="U529" s="1310" t="s">
        <v>1533</v>
      </c>
      <c r="V529" s="1310" t="s">
        <v>1472</v>
      </c>
      <c r="W529" s="1310" t="s">
        <v>1523</v>
      </c>
      <c r="X529" s="1310" t="s">
        <v>1496</v>
      </c>
      <c r="Y529" s="1310" t="s">
        <v>1465</v>
      </c>
      <c r="Z529" s="1310" t="s">
        <v>1550</v>
      </c>
      <c r="AA529" s="1310" t="s">
        <v>1565</v>
      </c>
      <c r="AB529" s="1310" t="s">
        <v>1493</v>
      </c>
      <c r="AC529" s="1310" t="s">
        <v>1463</v>
      </c>
      <c r="AD529" s="1310" t="s">
        <v>1649</v>
      </c>
      <c r="AE529" s="1310" t="s">
        <v>1482</v>
      </c>
      <c r="AF529" s="1310" t="s">
        <v>1516</v>
      </c>
    </row>
    <row r="530" spans="1:32" x14ac:dyDescent="0.3">
      <c r="A530" s="1310" t="s">
        <v>1540</v>
      </c>
      <c r="B530" s="1310" t="s">
        <v>465</v>
      </c>
      <c r="C530" s="1310" t="s">
        <v>1585</v>
      </c>
      <c r="D530" s="1310" t="s">
        <v>1455</v>
      </c>
      <c r="E530" s="1310" t="s">
        <v>1572</v>
      </c>
      <c r="F530" s="1310" t="s">
        <v>1547</v>
      </c>
      <c r="G530" s="1310" t="s">
        <v>1539</v>
      </c>
      <c r="H530" s="1310" t="s">
        <v>1531</v>
      </c>
      <c r="I530" s="1310" t="s">
        <v>1601</v>
      </c>
      <c r="J530" s="1310" t="s">
        <v>1485</v>
      </c>
      <c r="K530" s="1310" t="s">
        <v>1644</v>
      </c>
      <c r="L530" s="1310" t="s">
        <v>1485</v>
      </c>
      <c r="M530" s="1310" t="s">
        <v>1486</v>
      </c>
      <c r="N530" s="1310" t="s">
        <v>262</v>
      </c>
      <c r="O530" s="1310" t="s">
        <v>1499</v>
      </c>
      <c r="P530" s="1310" t="s">
        <v>1594</v>
      </c>
      <c r="Q530" s="1310" t="s">
        <v>1488</v>
      </c>
      <c r="R530" s="1310" t="s">
        <v>1558</v>
      </c>
      <c r="S530" s="1310" t="s">
        <v>1495</v>
      </c>
      <c r="T530" s="1310" t="s">
        <v>1451</v>
      </c>
      <c r="U530" s="1310" t="s">
        <v>1655</v>
      </c>
      <c r="V530" s="1310" t="s">
        <v>1494</v>
      </c>
      <c r="W530" s="1310" t="s">
        <v>1607</v>
      </c>
      <c r="X530" s="1310" t="s">
        <v>1548</v>
      </c>
      <c r="Y530" s="1310" t="s">
        <v>132</v>
      </c>
      <c r="Z530" s="1310" t="s">
        <v>1561</v>
      </c>
      <c r="AA530" s="1310" t="s">
        <v>1570</v>
      </c>
      <c r="AB530" s="1310" t="s">
        <v>1514</v>
      </c>
      <c r="AC530" s="1310" t="s">
        <v>1627</v>
      </c>
      <c r="AD530" s="1310" t="s">
        <v>1530</v>
      </c>
      <c r="AE530" s="1310" t="s">
        <v>1652</v>
      </c>
      <c r="AF530" s="1310" t="s">
        <v>1555</v>
      </c>
    </row>
    <row r="531" spans="1:32" x14ac:dyDescent="0.3">
      <c r="A531" s="1310" t="s">
        <v>1523</v>
      </c>
      <c r="B531" s="1310" t="s">
        <v>1635</v>
      </c>
      <c r="C531" s="1310" t="s">
        <v>1521</v>
      </c>
      <c r="D531" s="1310" t="s">
        <v>1649</v>
      </c>
      <c r="E531" s="1310" t="s">
        <v>1551</v>
      </c>
      <c r="F531" s="1310" t="s">
        <v>1600</v>
      </c>
      <c r="G531" s="1310" t="s">
        <v>1649</v>
      </c>
      <c r="H531" s="1310" t="s">
        <v>1471</v>
      </c>
      <c r="I531" s="1310" t="s">
        <v>1606</v>
      </c>
      <c r="J531" s="1310" t="s">
        <v>1576</v>
      </c>
      <c r="K531" s="1310" t="s">
        <v>1654</v>
      </c>
      <c r="L531" s="1310" t="s">
        <v>1471</v>
      </c>
      <c r="M531" s="1310" t="s">
        <v>1561</v>
      </c>
      <c r="N531" s="1310" t="s">
        <v>1625</v>
      </c>
      <c r="O531" s="1310" t="s">
        <v>1504</v>
      </c>
      <c r="P531" s="1310" t="s">
        <v>1621</v>
      </c>
      <c r="Q531" s="1310" t="s">
        <v>1584</v>
      </c>
      <c r="R531" s="1310" t="s">
        <v>267</v>
      </c>
      <c r="S531" s="1310" t="s">
        <v>132</v>
      </c>
      <c r="T531" s="1310" t="s">
        <v>1510</v>
      </c>
      <c r="U531" s="1310" t="s">
        <v>1617</v>
      </c>
      <c r="V531" s="1310" t="s">
        <v>1605</v>
      </c>
      <c r="W531" s="1310" t="s">
        <v>1496</v>
      </c>
      <c r="X531" s="1310" t="s">
        <v>133</v>
      </c>
      <c r="Y531" s="1310" t="s">
        <v>1605</v>
      </c>
      <c r="Z531" s="1310" t="s">
        <v>1466</v>
      </c>
      <c r="AA531" s="1310" t="s">
        <v>1585</v>
      </c>
      <c r="AB531" s="1310" t="s">
        <v>1655</v>
      </c>
      <c r="AC531" s="1310" t="s">
        <v>1488</v>
      </c>
      <c r="AD531" s="1310" t="s">
        <v>1640</v>
      </c>
      <c r="AE531" s="1310" t="s">
        <v>1630</v>
      </c>
      <c r="AF531" s="1310" t="s">
        <v>1501</v>
      </c>
    </row>
    <row r="532" spans="1:32" x14ac:dyDescent="0.3">
      <c r="A532" s="1310" t="s">
        <v>1579</v>
      </c>
      <c r="B532" s="1310" t="s">
        <v>1607</v>
      </c>
      <c r="C532" s="1310" t="s">
        <v>1497</v>
      </c>
      <c r="D532" s="1310" t="s">
        <v>1621</v>
      </c>
      <c r="E532" s="1310" t="s">
        <v>1636</v>
      </c>
      <c r="F532" s="1310" t="s">
        <v>1592</v>
      </c>
      <c r="G532" s="1310" t="s">
        <v>268</v>
      </c>
      <c r="H532" s="1310" t="s">
        <v>1563</v>
      </c>
      <c r="I532" s="1310" t="s">
        <v>1592</v>
      </c>
      <c r="J532" s="1310" t="s">
        <v>1626</v>
      </c>
      <c r="K532" s="1310" t="s">
        <v>1443</v>
      </c>
      <c r="L532" s="1310" t="s">
        <v>1450</v>
      </c>
      <c r="M532" s="1310" t="s">
        <v>1448</v>
      </c>
      <c r="N532" s="1310" t="s">
        <v>116</v>
      </c>
      <c r="O532" s="1310" t="s">
        <v>1600</v>
      </c>
      <c r="P532" s="1310" t="s">
        <v>122</v>
      </c>
      <c r="Q532" s="1310" t="s">
        <v>1574</v>
      </c>
      <c r="R532" s="1310" t="s">
        <v>1527</v>
      </c>
      <c r="S532" s="1310" t="s">
        <v>1582</v>
      </c>
      <c r="T532" s="1310" t="s">
        <v>1491</v>
      </c>
      <c r="U532" s="1310" t="s">
        <v>1464</v>
      </c>
      <c r="V532" s="1310" t="s">
        <v>1530</v>
      </c>
      <c r="W532" s="1310" t="s">
        <v>1630</v>
      </c>
      <c r="X532" s="1310" t="s">
        <v>1486</v>
      </c>
      <c r="Y532" s="1310" t="s">
        <v>1540</v>
      </c>
      <c r="Z532" s="1310" t="s">
        <v>1658</v>
      </c>
      <c r="AA532" s="1310" t="s">
        <v>1547</v>
      </c>
      <c r="AB532" s="1310" t="s">
        <v>130</v>
      </c>
      <c r="AC532" s="1310" t="s">
        <v>1510</v>
      </c>
      <c r="AD532" s="1310" t="s">
        <v>1590</v>
      </c>
      <c r="AE532" s="1310" t="s">
        <v>1494</v>
      </c>
      <c r="AF532" s="1310" t="s">
        <v>1534</v>
      </c>
    </row>
    <row r="533" spans="1:32" x14ac:dyDescent="0.3">
      <c r="A533" s="1310" t="s">
        <v>1659</v>
      </c>
      <c r="B533" s="1310" t="s">
        <v>1623</v>
      </c>
      <c r="C533" s="1310" t="s">
        <v>1566</v>
      </c>
      <c r="D533" s="1310" t="s">
        <v>1563</v>
      </c>
      <c r="E533" s="1310" t="s">
        <v>1527</v>
      </c>
      <c r="F533" s="1310" t="s">
        <v>1487</v>
      </c>
      <c r="G533" s="1310" t="s">
        <v>465</v>
      </c>
      <c r="H533" s="1310" t="s">
        <v>1491</v>
      </c>
      <c r="I533" s="1310" t="s">
        <v>1634</v>
      </c>
      <c r="J533" s="1310" t="s">
        <v>1499</v>
      </c>
      <c r="K533" s="1310" t="s">
        <v>1502</v>
      </c>
      <c r="L533" s="1310" t="s">
        <v>1509</v>
      </c>
      <c r="M533" s="1310" t="s">
        <v>1505</v>
      </c>
      <c r="N533" s="1310" t="s">
        <v>1509</v>
      </c>
      <c r="O533" s="1310" t="s">
        <v>1610</v>
      </c>
      <c r="P533" s="1310" t="s">
        <v>1555</v>
      </c>
      <c r="Q533" s="1310" t="s">
        <v>1534</v>
      </c>
      <c r="R533" s="1310" t="s">
        <v>1557</v>
      </c>
      <c r="S533" s="1310" t="s">
        <v>465</v>
      </c>
      <c r="T533" s="1310" t="s">
        <v>266</v>
      </c>
      <c r="U533" s="1310" t="s">
        <v>1505</v>
      </c>
      <c r="V533" s="1310" t="s">
        <v>1509</v>
      </c>
      <c r="W533" s="1310" t="s">
        <v>1449</v>
      </c>
      <c r="X533" s="1310" t="s">
        <v>1562</v>
      </c>
      <c r="Y533" s="1310" t="s">
        <v>1463</v>
      </c>
      <c r="Z533" s="1310" t="s">
        <v>1491</v>
      </c>
      <c r="AA533" s="1310" t="s">
        <v>1509</v>
      </c>
      <c r="AB533" s="1310" t="s">
        <v>1603</v>
      </c>
      <c r="AC533" s="1310" t="s">
        <v>1504</v>
      </c>
      <c r="AD533" s="1310" t="s">
        <v>1452</v>
      </c>
      <c r="AE533" s="1310" t="s">
        <v>1591</v>
      </c>
      <c r="AF533" s="1310" t="s">
        <v>1480</v>
      </c>
    </row>
    <row r="534" spans="1:32" x14ac:dyDescent="0.3">
      <c r="A534" s="1310" t="s">
        <v>112</v>
      </c>
      <c r="B534" s="1310" t="s">
        <v>1470</v>
      </c>
      <c r="C534" s="1310" t="s">
        <v>264</v>
      </c>
      <c r="D534" s="1310" t="s">
        <v>1531</v>
      </c>
      <c r="E534" s="1310" t="s">
        <v>125</v>
      </c>
      <c r="F534" s="1310" t="s">
        <v>1553</v>
      </c>
      <c r="G534" s="1310" t="s">
        <v>1597</v>
      </c>
      <c r="H534" s="1310" t="s">
        <v>1635</v>
      </c>
      <c r="I534" s="1310" t="s">
        <v>1579</v>
      </c>
      <c r="J534" s="1310" t="s">
        <v>1457</v>
      </c>
      <c r="K534" s="1310" t="s">
        <v>1616</v>
      </c>
      <c r="L534" s="1310" t="s">
        <v>1505</v>
      </c>
      <c r="M534" s="1310" t="s">
        <v>1582</v>
      </c>
      <c r="N534" s="1310" t="s">
        <v>1488</v>
      </c>
      <c r="O534" s="1310" t="s">
        <v>1565</v>
      </c>
      <c r="P534" s="1310" t="s">
        <v>1596</v>
      </c>
      <c r="Q534" s="1310" t="s">
        <v>1556</v>
      </c>
      <c r="R534" s="1310" t="s">
        <v>1520</v>
      </c>
      <c r="S534" s="1310" t="s">
        <v>1653</v>
      </c>
      <c r="T534" s="1310" t="s">
        <v>1483</v>
      </c>
      <c r="U534" s="1310" t="s">
        <v>1632</v>
      </c>
      <c r="V534" s="1310" t="s">
        <v>1465</v>
      </c>
      <c r="W534" s="1310" t="s">
        <v>1598</v>
      </c>
      <c r="X534" s="1310" t="s">
        <v>1624</v>
      </c>
      <c r="Y534" s="1310" t="s">
        <v>1486</v>
      </c>
      <c r="Z534" s="1310" t="s">
        <v>1526</v>
      </c>
      <c r="AA534" s="1310" t="s">
        <v>126</v>
      </c>
      <c r="AB534" s="1310" t="s">
        <v>1027</v>
      </c>
      <c r="AC534" s="1310" t="s">
        <v>1554</v>
      </c>
      <c r="AD534" s="1310" t="s">
        <v>1521</v>
      </c>
      <c r="AE534" s="1310" t="s">
        <v>1502</v>
      </c>
      <c r="AF534" s="1310" t="s">
        <v>1632</v>
      </c>
    </row>
    <row r="535" spans="1:32" x14ac:dyDescent="0.3">
      <c r="A535" s="1310" t="s">
        <v>1628</v>
      </c>
      <c r="B535" s="1310" t="s">
        <v>126</v>
      </c>
      <c r="C535" s="1310" t="s">
        <v>1616</v>
      </c>
      <c r="D535" s="1310" t="s">
        <v>1560</v>
      </c>
      <c r="E535" s="1310" t="s">
        <v>1443</v>
      </c>
      <c r="F535" s="1310" t="s">
        <v>1450</v>
      </c>
      <c r="G535" s="1310" t="s">
        <v>1478</v>
      </c>
      <c r="H535" s="1310" t="s">
        <v>1475</v>
      </c>
      <c r="I535" s="1310" t="s">
        <v>1460</v>
      </c>
      <c r="J535" s="1310" t="s">
        <v>1653</v>
      </c>
      <c r="K535" s="1310" t="s">
        <v>1535</v>
      </c>
      <c r="L535" s="1310" t="s">
        <v>122</v>
      </c>
      <c r="M535" s="1310" t="s">
        <v>1577</v>
      </c>
      <c r="N535" s="1310" t="s">
        <v>1635</v>
      </c>
      <c r="O535" s="1310" t="s">
        <v>1455</v>
      </c>
      <c r="P535" s="1310" t="s">
        <v>1648</v>
      </c>
      <c r="Q535" s="1310" t="s">
        <v>1528</v>
      </c>
      <c r="R535" s="1310" t="s">
        <v>1630</v>
      </c>
      <c r="S535" s="1310" t="s">
        <v>1496</v>
      </c>
      <c r="T535" s="1310" t="s">
        <v>1640</v>
      </c>
      <c r="U535" s="1310" t="s">
        <v>1524</v>
      </c>
      <c r="V535" s="1310" t="s">
        <v>1604</v>
      </c>
      <c r="W535" s="1310" t="s">
        <v>1545</v>
      </c>
      <c r="X535" s="1310" t="s">
        <v>1574</v>
      </c>
      <c r="Y535" s="1310" t="s">
        <v>117</v>
      </c>
      <c r="Z535" s="1310" t="s">
        <v>1651</v>
      </c>
      <c r="AA535" s="1310" t="s">
        <v>1587</v>
      </c>
      <c r="AB535" s="1310" t="s">
        <v>1508</v>
      </c>
      <c r="AC535" s="1310" t="s">
        <v>1652</v>
      </c>
      <c r="AD535" s="1310" t="s">
        <v>1556</v>
      </c>
      <c r="AE535" s="1310" t="s">
        <v>1593</v>
      </c>
      <c r="AF535" s="1310" t="s">
        <v>1494</v>
      </c>
    </row>
    <row r="536" spans="1:32" x14ac:dyDescent="0.3">
      <c r="A536" s="1310" t="s">
        <v>1471</v>
      </c>
      <c r="B536" s="1310" t="s">
        <v>120</v>
      </c>
      <c r="C536" s="1310" t="s">
        <v>1489</v>
      </c>
      <c r="D536" s="1310" t="s">
        <v>1599</v>
      </c>
      <c r="E536" s="1310" t="s">
        <v>1463</v>
      </c>
      <c r="F536" s="1310" t="s">
        <v>1573</v>
      </c>
      <c r="G536" s="1310" t="s">
        <v>1604</v>
      </c>
      <c r="H536" s="1310" t="s">
        <v>1646</v>
      </c>
      <c r="I536" s="1310" t="s">
        <v>125</v>
      </c>
      <c r="J536" s="1310" t="s">
        <v>1626</v>
      </c>
      <c r="K536" s="1310" t="s">
        <v>1556</v>
      </c>
      <c r="L536" s="1310" t="s">
        <v>1543</v>
      </c>
      <c r="M536" s="1310" t="s">
        <v>1645</v>
      </c>
      <c r="N536" s="1310" t="s">
        <v>1517</v>
      </c>
      <c r="O536" s="1310" t="s">
        <v>1628</v>
      </c>
      <c r="P536" s="1310" t="s">
        <v>1529</v>
      </c>
      <c r="Q536" s="1310" t="s">
        <v>268</v>
      </c>
      <c r="R536" s="1310" t="s">
        <v>1561</v>
      </c>
      <c r="S536" s="1310" t="s">
        <v>1659</v>
      </c>
      <c r="T536" s="1310" t="s">
        <v>1534</v>
      </c>
      <c r="U536" s="1310" t="s">
        <v>1649</v>
      </c>
      <c r="V536" s="1310" t="s">
        <v>1507</v>
      </c>
      <c r="W536" s="1310" t="s">
        <v>1504</v>
      </c>
      <c r="X536" s="1310" t="s">
        <v>1464</v>
      </c>
      <c r="Y536" s="1310" t="s">
        <v>1493</v>
      </c>
      <c r="Z536" s="1310" t="s">
        <v>1529</v>
      </c>
      <c r="AA536" s="1310" t="s">
        <v>1618</v>
      </c>
      <c r="AB536" s="1310" t="s">
        <v>1568</v>
      </c>
      <c r="AC536" s="1310" t="s">
        <v>1611</v>
      </c>
      <c r="AD536" s="1310" t="s">
        <v>1480</v>
      </c>
      <c r="AE536" s="1310" t="s">
        <v>1535</v>
      </c>
      <c r="AF536" s="1310" t="s">
        <v>1518</v>
      </c>
    </row>
    <row r="537" spans="1:32" x14ac:dyDescent="0.3">
      <c r="A537" s="1310" t="s">
        <v>1550</v>
      </c>
      <c r="B537" s="1310" t="s">
        <v>1648</v>
      </c>
      <c r="C537" s="1310" t="s">
        <v>1547</v>
      </c>
      <c r="D537" s="1310" t="s">
        <v>1027</v>
      </c>
      <c r="E537" s="1310" t="s">
        <v>1457</v>
      </c>
      <c r="F537" s="1310" t="s">
        <v>1460</v>
      </c>
      <c r="G537" s="1310" t="s">
        <v>1484</v>
      </c>
      <c r="H537" s="1310" t="s">
        <v>1631</v>
      </c>
      <c r="I537" s="1310" t="s">
        <v>1596</v>
      </c>
      <c r="J537" s="1310" t="s">
        <v>1462</v>
      </c>
      <c r="K537" s="1310" t="s">
        <v>1486</v>
      </c>
      <c r="L537" s="1310" t="s">
        <v>269</v>
      </c>
      <c r="M537" s="1310" t="s">
        <v>1624</v>
      </c>
      <c r="N537" s="1310" t="s">
        <v>1490</v>
      </c>
      <c r="O537" s="1310" t="s">
        <v>1547</v>
      </c>
      <c r="P537" s="1310" t="s">
        <v>1538</v>
      </c>
      <c r="Q537" s="1310" t="s">
        <v>1506</v>
      </c>
      <c r="R537" s="1310" t="s">
        <v>1594</v>
      </c>
      <c r="S537" s="1310" t="s">
        <v>1444</v>
      </c>
      <c r="T537" s="1310" t="s">
        <v>1654</v>
      </c>
      <c r="U537" s="1310" t="s">
        <v>1606</v>
      </c>
      <c r="V537" s="1310" t="s">
        <v>269</v>
      </c>
      <c r="W537" s="1310" t="s">
        <v>1589</v>
      </c>
      <c r="X537" s="1310" t="s">
        <v>1611</v>
      </c>
      <c r="Y537" s="1310" t="s">
        <v>1573</v>
      </c>
      <c r="Z537" s="1310" t="s">
        <v>1499</v>
      </c>
      <c r="AA537" s="1310" t="s">
        <v>1578</v>
      </c>
      <c r="AB537" s="1310" t="s">
        <v>1461</v>
      </c>
      <c r="AC537" s="1310" t="s">
        <v>1482</v>
      </c>
      <c r="AD537" s="1310" t="s">
        <v>1471</v>
      </c>
      <c r="AE537" s="1310" t="s">
        <v>1651</v>
      </c>
      <c r="AF537" s="1310" t="s">
        <v>1582</v>
      </c>
    </row>
    <row r="538" spans="1:32" x14ac:dyDescent="0.3">
      <c r="A538" s="1310" t="s">
        <v>1465</v>
      </c>
      <c r="B538" s="1310" t="s">
        <v>1470</v>
      </c>
      <c r="C538" s="1310" t="s">
        <v>1558</v>
      </c>
      <c r="D538" s="1310" t="s">
        <v>1541</v>
      </c>
      <c r="E538" s="1310" t="s">
        <v>1490</v>
      </c>
      <c r="F538" s="1310" t="s">
        <v>1604</v>
      </c>
      <c r="G538" s="1310" t="s">
        <v>1507</v>
      </c>
      <c r="H538" s="1310" t="s">
        <v>1559</v>
      </c>
      <c r="I538" s="1310" t="s">
        <v>1606</v>
      </c>
      <c r="J538" s="1310" t="s">
        <v>1549</v>
      </c>
      <c r="K538" s="1310" t="s">
        <v>1557</v>
      </c>
      <c r="L538" s="1310" t="s">
        <v>1602</v>
      </c>
      <c r="M538" s="1310" t="s">
        <v>1500</v>
      </c>
      <c r="N538" s="1310" t="s">
        <v>1495</v>
      </c>
      <c r="O538" s="1310" t="s">
        <v>1551</v>
      </c>
      <c r="P538" s="1310" t="s">
        <v>1460</v>
      </c>
      <c r="Q538" s="1310" t="s">
        <v>110</v>
      </c>
      <c r="R538" s="1310" t="s">
        <v>1545</v>
      </c>
      <c r="S538" s="1310" t="s">
        <v>1453</v>
      </c>
      <c r="T538" s="1310" t="s">
        <v>1493</v>
      </c>
      <c r="U538" s="1310" t="s">
        <v>126</v>
      </c>
      <c r="V538" s="1310" t="s">
        <v>267</v>
      </c>
      <c r="W538" s="1310" t="s">
        <v>1651</v>
      </c>
      <c r="X538" s="1310" t="s">
        <v>1590</v>
      </c>
      <c r="Y538" s="1310" t="s">
        <v>1632</v>
      </c>
      <c r="Z538" s="1310" t="s">
        <v>1561</v>
      </c>
      <c r="AA538" s="1310" t="s">
        <v>120</v>
      </c>
      <c r="AB538" s="1310" t="s">
        <v>263</v>
      </c>
      <c r="AC538" s="1310" t="s">
        <v>1506</v>
      </c>
      <c r="AD538" s="1310" t="s">
        <v>1560</v>
      </c>
      <c r="AE538" s="1310" t="s">
        <v>1466</v>
      </c>
      <c r="AF538" s="1310" t="s">
        <v>267</v>
      </c>
    </row>
    <row r="539" spans="1:32" x14ac:dyDescent="0.3">
      <c r="A539" s="1310" t="s">
        <v>1651</v>
      </c>
      <c r="B539" s="1310" t="s">
        <v>115</v>
      </c>
      <c r="C539" s="1310" t="s">
        <v>1631</v>
      </c>
      <c r="D539" s="1310" t="s">
        <v>1658</v>
      </c>
      <c r="E539" s="1310" t="s">
        <v>1650</v>
      </c>
      <c r="F539" s="1310" t="s">
        <v>1448</v>
      </c>
      <c r="G539" s="1310" t="s">
        <v>6</v>
      </c>
      <c r="H539" s="1310" t="s">
        <v>1501</v>
      </c>
      <c r="I539" s="1310" t="s">
        <v>1622</v>
      </c>
      <c r="J539" s="1310" t="s">
        <v>110</v>
      </c>
      <c r="K539" s="1310" t="s">
        <v>1616</v>
      </c>
      <c r="L539" s="1310" t="s">
        <v>1516</v>
      </c>
      <c r="M539" s="1310" t="s">
        <v>1511</v>
      </c>
      <c r="N539" s="1310" t="s">
        <v>1499</v>
      </c>
      <c r="O539" s="1310" t="s">
        <v>1660</v>
      </c>
      <c r="P539" s="1310" t="s">
        <v>1591</v>
      </c>
      <c r="Q539" s="1310" t="s">
        <v>1547</v>
      </c>
      <c r="R539" s="1310" t="s">
        <v>1563</v>
      </c>
      <c r="S539" s="1310" t="s">
        <v>1528</v>
      </c>
      <c r="T539" s="1310" t="s">
        <v>1559</v>
      </c>
      <c r="U539" s="1310" t="s">
        <v>1591</v>
      </c>
      <c r="V539" s="1310" t="s">
        <v>465</v>
      </c>
      <c r="W539" s="1310" t="s">
        <v>1491</v>
      </c>
      <c r="X539" s="1310" t="s">
        <v>1645</v>
      </c>
      <c r="Y539" s="1310" t="s">
        <v>1550</v>
      </c>
      <c r="Z539" s="1310" t="s">
        <v>1656</v>
      </c>
      <c r="AA539" s="1310" t="s">
        <v>1553</v>
      </c>
      <c r="AB539" s="1310" t="s">
        <v>1585</v>
      </c>
      <c r="AC539" s="1310" t="s">
        <v>1630</v>
      </c>
      <c r="AD539" s="1310" t="s">
        <v>1597</v>
      </c>
      <c r="AE539" s="1310" t="s">
        <v>1612</v>
      </c>
      <c r="AF539" s="1310" t="s">
        <v>1568</v>
      </c>
    </row>
    <row r="540" spans="1:32" x14ac:dyDescent="0.3">
      <c r="A540" s="1310" t="s">
        <v>1454</v>
      </c>
      <c r="B540" s="1310" t="s">
        <v>1452</v>
      </c>
      <c r="C540" s="1310" t="s">
        <v>1445</v>
      </c>
      <c r="D540" s="1310" t="s">
        <v>1599</v>
      </c>
      <c r="E540" s="1310" t="s">
        <v>113</v>
      </c>
      <c r="F540" s="1310" t="s">
        <v>1623</v>
      </c>
      <c r="G540" s="1310" t="s">
        <v>1469</v>
      </c>
      <c r="H540" s="1310" t="s">
        <v>1644</v>
      </c>
      <c r="I540" s="1310" t="s">
        <v>1607</v>
      </c>
      <c r="J540" s="1310" t="s">
        <v>1613</v>
      </c>
      <c r="K540" s="1310" t="s">
        <v>1517</v>
      </c>
      <c r="L540" s="1310" t="s">
        <v>1548</v>
      </c>
      <c r="M540" s="1310" t="s">
        <v>1649</v>
      </c>
      <c r="N540" s="1310" t="s">
        <v>1465</v>
      </c>
      <c r="O540" s="1310" t="s">
        <v>1629</v>
      </c>
      <c r="P540" s="1310" t="s">
        <v>1532</v>
      </c>
      <c r="Q540" s="1310" t="s">
        <v>1512</v>
      </c>
      <c r="R540" s="1310" t="s">
        <v>1631</v>
      </c>
      <c r="S540" s="1310" t="s">
        <v>1578</v>
      </c>
      <c r="T540" s="1310" t="s">
        <v>1525</v>
      </c>
      <c r="U540" s="1310" t="s">
        <v>1507</v>
      </c>
      <c r="V540" s="1310" t="s">
        <v>1473</v>
      </c>
      <c r="W540" s="1310" t="s">
        <v>1630</v>
      </c>
      <c r="X540" s="1310" t="s">
        <v>1469</v>
      </c>
      <c r="Y540" s="1310" t="s">
        <v>1614</v>
      </c>
      <c r="Z540" s="1310" t="s">
        <v>1526</v>
      </c>
      <c r="AA540" s="1310" t="s">
        <v>1571</v>
      </c>
      <c r="AB540" s="1310" t="s">
        <v>267</v>
      </c>
      <c r="AC540" s="1310" t="s">
        <v>1495</v>
      </c>
      <c r="AD540" s="1310" t="s">
        <v>1621</v>
      </c>
      <c r="AE540" s="1310" t="s">
        <v>1516</v>
      </c>
      <c r="AF540" s="1310" t="s">
        <v>1470</v>
      </c>
    </row>
    <row r="541" spans="1:32" x14ac:dyDescent="0.3">
      <c r="A541" s="1310" t="s">
        <v>465</v>
      </c>
      <c r="B541" s="1310" t="s">
        <v>1632</v>
      </c>
      <c r="C541" s="1310" t="s">
        <v>1604</v>
      </c>
      <c r="D541" s="1310" t="s">
        <v>1460</v>
      </c>
      <c r="E541" s="1310" t="s">
        <v>1571</v>
      </c>
      <c r="F541" s="1310" t="s">
        <v>1587</v>
      </c>
      <c r="G541" s="1310" t="s">
        <v>1586</v>
      </c>
      <c r="H541" s="1310" t="s">
        <v>132</v>
      </c>
      <c r="I541" s="1310" t="s">
        <v>112</v>
      </c>
      <c r="J541" s="1310" t="s">
        <v>131</v>
      </c>
      <c r="K541" s="1310" t="s">
        <v>111</v>
      </c>
      <c r="L541" s="1310" t="s">
        <v>1614</v>
      </c>
      <c r="M541" s="1310" t="s">
        <v>1643</v>
      </c>
      <c r="N541" s="1310" t="s">
        <v>1580</v>
      </c>
      <c r="O541" s="1310" t="s">
        <v>1529</v>
      </c>
      <c r="P541" s="1310" t="s">
        <v>1517</v>
      </c>
      <c r="Q541" s="1310" t="s">
        <v>1565</v>
      </c>
      <c r="R541" s="1310" t="s">
        <v>1603</v>
      </c>
      <c r="S541" s="1310" t="s">
        <v>1546</v>
      </c>
      <c r="T541" s="1310" t="s">
        <v>1577</v>
      </c>
      <c r="U541" s="1310" t="s">
        <v>1654</v>
      </c>
      <c r="V541" s="1310" t="s">
        <v>1581</v>
      </c>
      <c r="W541" s="1310" t="s">
        <v>6</v>
      </c>
      <c r="X541" s="1310" t="s">
        <v>1585</v>
      </c>
      <c r="Y541" s="1310" t="s">
        <v>1646</v>
      </c>
      <c r="Z541" s="1310" t="s">
        <v>1538</v>
      </c>
      <c r="AA541" s="1310" t="s">
        <v>1569</v>
      </c>
      <c r="AB541" s="1310" t="s">
        <v>1656</v>
      </c>
      <c r="AC541" s="1310" t="s">
        <v>1540</v>
      </c>
      <c r="AD541" s="1310" t="s">
        <v>1653</v>
      </c>
      <c r="AE541" s="1310" t="s">
        <v>262</v>
      </c>
      <c r="AF541" s="1310" t="s">
        <v>1477</v>
      </c>
    </row>
    <row r="542" spans="1:32" x14ac:dyDescent="0.3">
      <c r="A542" s="1310" t="s">
        <v>1484</v>
      </c>
      <c r="B542" s="1310" t="s">
        <v>1552</v>
      </c>
      <c r="C542" s="1310" t="s">
        <v>1646</v>
      </c>
      <c r="D542" s="1310" t="s">
        <v>1444</v>
      </c>
      <c r="E542" s="1310" t="s">
        <v>1526</v>
      </c>
      <c r="F542" s="1310" t="s">
        <v>1592</v>
      </c>
      <c r="G542" s="1310" t="s">
        <v>1522</v>
      </c>
      <c r="H542" s="1310" t="s">
        <v>1444</v>
      </c>
      <c r="I542" s="1310" t="s">
        <v>1543</v>
      </c>
      <c r="J542" s="1310" t="s">
        <v>1511</v>
      </c>
      <c r="K542" s="1310" t="s">
        <v>268</v>
      </c>
      <c r="L542" s="1310" t="s">
        <v>1523</v>
      </c>
      <c r="M542" s="1310" t="s">
        <v>1520</v>
      </c>
      <c r="N542" s="1310" t="s">
        <v>1595</v>
      </c>
      <c r="O542" s="1310" t="s">
        <v>1602</v>
      </c>
      <c r="P542" s="1310" t="s">
        <v>1590</v>
      </c>
      <c r="Q542" s="1310" t="s">
        <v>1503</v>
      </c>
      <c r="R542" s="1310" t="s">
        <v>1529</v>
      </c>
      <c r="S542" s="1310" t="s">
        <v>1608</v>
      </c>
      <c r="T542" s="1310" t="s">
        <v>1599</v>
      </c>
      <c r="U542" s="1310" t="s">
        <v>128</v>
      </c>
      <c r="V542" s="1310" t="s">
        <v>1647</v>
      </c>
      <c r="W542" s="1310" t="s">
        <v>1650</v>
      </c>
      <c r="X542" s="1310" t="s">
        <v>1562</v>
      </c>
      <c r="Y542" s="1310" t="s">
        <v>1604</v>
      </c>
      <c r="Z542" s="1310" t="s">
        <v>1499</v>
      </c>
      <c r="AA542" s="1310" t="s">
        <v>1484</v>
      </c>
      <c r="AB542" s="1310" t="s">
        <v>6</v>
      </c>
      <c r="AC542" s="1310" t="s">
        <v>124</v>
      </c>
      <c r="AD542" s="1310" t="s">
        <v>1638</v>
      </c>
      <c r="AE542" s="1310" t="s">
        <v>1489</v>
      </c>
      <c r="AF542" s="1310" t="s">
        <v>125</v>
      </c>
    </row>
    <row r="543" spans="1:32" x14ac:dyDescent="0.3">
      <c r="A543" s="1310" t="s">
        <v>1531</v>
      </c>
      <c r="B543" s="1310" t="s">
        <v>1612</v>
      </c>
      <c r="C543" s="1310" t="s">
        <v>1459</v>
      </c>
      <c r="D543" s="1310" t="s">
        <v>1534</v>
      </c>
      <c r="E543" s="1310" t="s">
        <v>1468</v>
      </c>
      <c r="F543" s="1310" t="s">
        <v>1574</v>
      </c>
      <c r="G543" s="1310" t="s">
        <v>1506</v>
      </c>
      <c r="H543" s="1310" t="s">
        <v>127</v>
      </c>
      <c r="I543" s="1310" t="s">
        <v>120</v>
      </c>
      <c r="J543" s="1310" t="s">
        <v>1030</v>
      </c>
      <c r="K543" s="1310" t="s">
        <v>1576</v>
      </c>
      <c r="L543" s="1310" t="s">
        <v>1501</v>
      </c>
      <c r="M543" s="1310" t="s">
        <v>1576</v>
      </c>
      <c r="N543" s="1310" t="s">
        <v>1464</v>
      </c>
      <c r="O543" s="1310" t="s">
        <v>1486</v>
      </c>
      <c r="P543" s="1310" t="s">
        <v>1631</v>
      </c>
      <c r="Q543" s="1310" t="s">
        <v>1573</v>
      </c>
      <c r="R543" s="1310" t="s">
        <v>1503</v>
      </c>
      <c r="S543" s="1310" t="s">
        <v>1542</v>
      </c>
      <c r="T543" s="1310" t="s">
        <v>1447</v>
      </c>
      <c r="U543" s="1310" t="s">
        <v>1655</v>
      </c>
      <c r="V543" s="1310" t="s">
        <v>1625</v>
      </c>
      <c r="W543" s="1310" t="s">
        <v>1507</v>
      </c>
      <c r="X543" s="1310" t="s">
        <v>1590</v>
      </c>
      <c r="Y543" s="1310" t="s">
        <v>1594</v>
      </c>
      <c r="Z543" s="1310" t="s">
        <v>1636</v>
      </c>
      <c r="AA543" s="1310" t="s">
        <v>1562</v>
      </c>
      <c r="AB543" s="1310" t="s">
        <v>1585</v>
      </c>
      <c r="AC543" s="1310" t="s">
        <v>1489</v>
      </c>
      <c r="AD543" s="1310" t="s">
        <v>1443</v>
      </c>
      <c r="AE543" s="1310" t="s">
        <v>1450</v>
      </c>
      <c r="AF543" s="1310" t="s">
        <v>1524</v>
      </c>
    </row>
    <row r="544" spans="1:32" x14ac:dyDescent="0.3">
      <c r="A544" s="1310" t="s">
        <v>1631</v>
      </c>
      <c r="B544" s="1310" t="s">
        <v>128</v>
      </c>
      <c r="C544" s="1310" t="s">
        <v>1630</v>
      </c>
      <c r="D544" s="1310" t="s">
        <v>1517</v>
      </c>
      <c r="E544" s="1310" t="s">
        <v>1651</v>
      </c>
      <c r="F544" s="1310" t="s">
        <v>1468</v>
      </c>
      <c r="G544" s="1310" t="s">
        <v>1629</v>
      </c>
      <c r="H544" s="1310" t="s">
        <v>1468</v>
      </c>
      <c r="I544" s="1310" t="s">
        <v>118</v>
      </c>
      <c r="J544" s="1310" t="s">
        <v>1567</v>
      </c>
      <c r="K544" s="1310" t="s">
        <v>117</v>
      </c>
      <c r="L544" s="1310" t="s">
        <v>124</v>
      </c>
      <c r="M544" s="1310" t="s">
        <v>1548</v>
      </c>
      <c r="N544" s="1310" t="s">
        <v>1443</v>
      </c>
      <c r="O544" s="1310" t="s">
        <v>1450</v>
      </c>
      <c r="P544" s="1310" t="s">
        <v>1625</v>
      </c>
      <c r="Q544" s="1310" t="s">
        <v>1566</v>
      </c>
      <c r="R544" s="1310" t="s">
        <v>112</v>
      </c>
      <c r="S544" s="1310" t="s">
        <v>1583</v>
      </c>
      <c r="T544" s="1310" t="s">
        <v>1622</v>
      </c>
      <c r="U544" s="1310" t="s">
        <v>1529</v>
      </c>
      <c r="V544" s="1310" t="s">
        <v>1601</v>
      </c>
      <c r="W544" s="1310" t="s">
        <v>1559</v>
      </c>
      <c r="X544" s="1310" t="s">
        <v>1636</v>
      </c>
      <c r="Y544" s="1310" t="s">
        <v>1490</v>
      </c>
      <c r="Z544" s="1310" t="s">
        <v>1603</v>
      </c>
      <c r="AA544" s="1310" t="s">
        <v>1553</v>
      </c>
      <c r="AB544" s="1310" t="s">
        <v>1584</v>
      </c>
      <c r="AC544" s="1310" t="s">
        <v>1578</v>
      </c>
      <c r="AD544" s="1310" t="s">
        <v>1604</v>
      </c>
      <c r="AE544" s="1310" t="s">
        <v>1573</v>
      </c>
      <c r="AF544" s="1310" t="s">
        <v>1583</v>
      </c>
    </row>
    <row r="545" spans="1:32" x14ac:dyDescent="0.3">
      <c r="A545" s="1310" t="s">
        <v>1625</v>
      </c>
      <c r="B545" s="1310" t="s">
        <v>1490</v>
      </c>
      <c r="C545" s="1310" t="s">
        <v>1460</v>
      </c>
      <c r="D545" s="1310" t="s">
        <v>1552</v>
      </c>
      <c r="E545" s="1310" t="s">
        <v>1523</v>
      </c>
      <c r="F545" s="1310" t="s">
        <v>1594</v>
      </c>
      <c r="G545" s="1310" t="s">
        <v>1578</v>
      </c>
      <c r="H545" s="1310" t="s">
        <v>131</v>
      </c>
      <c r="I545" s="1310" t="s">
        <v>1556</v>
      </c>
      <c r="J545" s="1310" t="s">
        <v>1458</v>
      </c>
      <c r="K545" s="1310" t="s">
        <v>471</v>
      </c>
      <c r="L545" s="1310" t="s">
        <v>1511</v>
      </c>
      <c r="M545" s="1310" t="s">
        <v>1558</v>
      </c>
      <c r="N545" s="1310" t="s">
        <v>1459</v>
      </c>
      <c r="O545" s="1310" t="s">
        <v>1519</v>
      </c>
      <c r="P545" s="1310" t="s">
        <v>1627</v>
      </c>
      <c r="Q545" s="1310" t="s">
        <v>114</v>
      </c>
      <c r="R545" s="1310" t="s">
        <v>123</v>
      </c>
      <c r="S545" s="1310" t="s">
        <v>1470</v>
      </c>
      <c r="T545" s="1310" t="s">
        <v>1485</v>
      </c>
      <c r="U545" s="1310" t="s">
        <v>1443</v>
      </c>
      <c r="V545" s="1310" t="s">
        <v>1450</v>
      </c>
      <c r="W545" s="1310" t="s">
        <v>132</v>
      </c>
      <c r="X545" s="1310" t="s">
        <v>1445</v>
      </c>
      <c r="Y545" s="1310" t="s">
        <v>1602</v>
      </c>
      <c r="Z545" s="1310" t="s">
        <v>1529</v>
      </c>
      <c r="AA545" s="1310" t="s">
        <v>1647</v>
      </c>
      <c r="AB545" s="1310" t="s">
        <v>1542</v>
      </c>
      <c r="AC545" s="1310" t="s">
        <v>123</v>
      </c>
      <c r="AD545" s="1310" t="s">
        <v>1528</v>
      </c>
      <c r="AE545" s="1310" t="s">
        <v>1560</v>
      </c>
      <c r="AF545" s="1310" t="s">
        <v>1517</v>
      </c>
    </row>
    <row r="546" spans="1:32" x14ac:dyDescent="0.3">
      <c r="A546" s="1310" t="s">
        <v>1486</v>
      </c>
      <c r="B546" s="1310" t="s">
        <v>1655</v>
      </c>
      <c r="C546" s="1310" t="s">
        <v>1617</v>
      </c>
      <c r="D546" s="1310" t="s">
        <v>1591</v>
      </c>
      <c r="E546" s="1310" t="s">
        <v>1448</v>
      </c>
      <c r="F546" s="1310" t="s">
        <v>1561</v>
      </c>
      <c r="G546" s="1310" t="s">
        <v>1622</v>
      </c>
      <c r="H546" s="1310" t="s">
        <v>1476</v>
      </c>
      <c r="I546" s="1310" t="s">
        <v>1600</v>
      </c>
      <c r="J546" s="1310" t="s">
        <v>1465</v>
      </c>
      <c r="K546" s="1310" t="s">
        <v>1474</v>
      </c>
      <c r="L546" s="1310" t="s">
        <v>1553</v>
      </c>
      <c r="M546" s="1310" t="s">
        <v>1030</v>
      </c>
      <c r="N546" s="1310" t="s">
        <v>1530</v>
      </c>
      <c r="O546" s="1310" t="s">
        <v>1465</v>
      </c>
      <c r="P546" s="1310" t="s">
        <v>1445</v>
      </c>
      <c r="Q546" s="1310" t="s">
        <v>1508</v>
      </c>
      <c r="R546" s="1310" t="s">
        <v>1589</v>
      </c>
      <c r="S546" s="1310" t="s">
        <v>122</v>
      </c>
      <c r="T546" s="1310" t="s">
        <v>126</v>
      </c>
      <c r="U546" s="1310" t="s">
        <v>1518</v>
      </c>
      <c r="V546" s="1310" t="s">
        <v>1496</v>
      </c>
      <c r="W546" s="1310" t="s">
        <v>115</v>
      </c>
      <c r="X546" s="1310" t="s">
        <v>1502</v>
      </c>
      <c r="Y546" s="1310" t="s">
        <v>1631</v>
      </c>
      <c r="Z546" s="1310" t="s">
        <v>1510</v>
      </c>
      <c r="AA546" s="1310" t="s">
        <v>1512</v>
      </c>
      <c r="AB546" s="1310" t="s">
        <v>465</v>
      </c>
      <c r="AC546" s="1310" t="s">
        <v>1470</v>
      </c>
      <c r="AD546" s="1310" t="s">
        <v>1591</v>
      </c>
      <c r="AE546" s="1310" t="s">
        <v>1521</v>
      </c>
      <c r="AF546" s="1310" t="s">
        <v>1607</v>
      </c>
    </row>
    <row r="547" spans="1:32" x14ac:dyDescent="0.3">
      <c r="A547" s="1310" t="s">
        <v>1584</v>
      </c>
      <c r="B547" s="1310" t="s">
        <v>1657</v>
      </c>
      <c r="C547" s="1310" t="s">
        <v>1605</v>
      </c>
      <c r="D547" s="1310" t="s">
        <v>1588</v>
      </c>
      <c r="E547" s="1310" t="s">
        <v>465</v>
      </c>
      <c r="F547" s="1310" t="s">
        <v>123</v>
      </c>
      <c r="G547" s="1310" t="s">
        <v>1468</v>
      </c>
      <c r="H547" s="1310" t="s">
        <v>1537</v>
      </c>
      <c r="I547" s="1310" t="s">
        <v>1622</v>
      </c>
      <c r="J547" s="1310" t="s">
        <v>1627</v>
      </c>
      <c r="K547" s="1310" t="s">
        <v>1570</v>
      </c>
      <c r="L547" s="1310" t="s">
        <v>1614</v>
      </c>
      <c r="M547" s="1310" t="s">
        <v>1615</v>
      </c>
      <c r="N547" s="1310" t="s">
        <v>1580</v>
      </c>
      <c r="O547" s="1310" t="s">
        <v>1526</v>
      </c>
      <c r="P547" s="1310" t="s">
        <v>1478</v>
      </c>
      <c r="Q547" s="1310" t="s">
        <v>1636</v>
      </c>
      <c r="R547" s="1310" t="s">
        <v>1543</v>
      </c>
      <c r="S547" s="1310" t="s">
        <v>131</v>
      </c>
      <c r="T547" s="1310" t="s">
        <v>117</v>
      </c>
      <c r="U547" s="1310" t="s">
        <v>1581</v>
      </c>
      <c r="V547" s="1310" t="s">
        <v>1517</v>
      </c>
      <c r="W547" s="1310" t="s">
        <v>1463</v>
      </c>
      <c r="X547" s="1310" t="s">
        <v>1499</v>
      </c>
      <c r="Y547" s="1310" t="s">
        <v>117</v>
      </c>
      <c r="Z547" s="1310" t="s">
        <v>1030</v>
      </c>
      <c r="AA547" s="1310" t="s">
        <v>1027</v>
      </c>
      <c r="AB547" s="1310" t="s">
        <v>1556</v>
      </c>
      <c r="AC547" s="1310" t="s">
        <v>124</v>
      </c>
      <c r="AD547" s="1310" t="s">
        <v>1492</v>
      </c>
      <c r="AE547" s="1310" t="s">
        <v>1618</v>
      </c>
      <c r="AF547" s="1310" t="s">
        <v>1646</v>
      </c>
    </row>
    <row r="548" spans="1:32" x14ac:dyDescent="0.3">
      <c r="A548" s="1310" t="s">
        <v>1611</v>
      </c>
      <c r="B548" s="1310" t="s">
        <v>262</v>
      </c>
      <c r="C548" s="1310" t="s">
        <v>1443</v>
      </c>
      <c r="D548" s="1310" t="s">
        <v>1450</v>
      </c>
      <c r="E548" s="1310" t="s">
        <v>122</v>
      </c>
      <c r="F548" s="1310" t="s">
        <v>1484</v>
      </c>
      <c r="G548" s="1310" t="s">
        <v>1526</v>
      </c>
      <c r="H548" s="1310" t="s">
        <v>1589</v>
      </c>
      <c r="I548" s="1310" t="s">
        <v>126</v>
      </c>
      <c r="J548" s="1310" t="s">
        <v>1515</v>
      </c>
      <c r="K548" s="1310" t="s">
        <v>1555</v>
      </c>
      <c r="L548" s="1310" t="s">
        <v>1569</v>
      </c>
      <c r="M548" s="1310" t="s">
        <v>1538</v>
      </c>
      <c r="N548" s="1310" t="s">
        <v>1513</v>
      </c>
      <c r="O548" s="1310" t="s">
        <v>1502</v>
      </c>
      <c r="P548" s="1310" t="s">
        <v>1518</v>
      </c>
      <c r="Q548" s="1310" t="s">
        <v>1612</v>
      </c>
      <c r="R548" s="1310" t="s">
        <v>1587</v>
      </c>
      <c r="S548" s="1310" t="s">
        <v>1536</v>
      </c>
      <c r="T548" s="1310" t="s">
        <v>1443</v>
      </c>
      <c r="U548" s="1310" t="s">
        <v>1450</v>
      </c>
      <c r="V548" s="1310" t="s">
        <v>1530</v>
      </c>
      <c r="W548" s="1310" t="s">
        <v>1604</v>
      </c>
      <c r="X548" s="1310" t="s">
        <v>131</v>
      </c>
      <c r="Y548" s="1310" t="s">
        <v>1501</v>
      </c>
      <c r="Z548" s="1310" t="s">
        <v>1478</v>
      </c>
      <c r="AA548" s="1310" t="s">
        <v>1517</v>
      </c>
      <c r="AB548" s="1310" t="s">
        <v>1656</v>
      </c>
      <c r="AC548" s="1310" t="s">
        <v>1610</v>
      </c>
      <c r="AD548" s="1310" t="s">
        <v>1618</v>
      </c>
      <c r="AE548" s="1310" t="s">
        <v>1530</v>
      </c>
      <c r="AF548" s="1310" t="s">
        <v>1586</v>
      </c>
    </row>
    <row r="549" spans="1:32" x14ac:dyDescent="0.3">
      <c r="A549" s="1310" t="s">
        <v>1627</v>
      </c>
      <c r="B549" s="1310" t="s">
        <v>1477</v>
      </c>
      <c r="C549" s="1310" t="s">
        <v>1607</v>
      </c>
      <c r="D549" s="1310" t="s">
        <v>125</v>
      </c>
      <c r="E549" s="1310" t="s">
        <v>130</v>
      </c>
      <c r="F549" s="1310" t="s">
        <v>1531</v>
      </c>
      <c r="G549" s="1310" t="s">
        <v>1466</v>
      </c>
      <c r="H549" s="1310" t="s">
        <v>1447</v>
      </c>
      <c r="I549" s="1310" t="s">
        <v>1574</v>
      </c>
      <c r="J549" s="1310" t="s">
        <v>1636</v>
      </c>
      <c r="K549" s="1310" t="s">
        <v>1593</v>
      </c>
      <c r="L549" s="1310" t="s">
        <v>1593</v>
      </c>
      <c r="M549" s="1310" t="s">
        <v>1623</v>
      </c>
      <c r="N549" s="1310" t="s">
        <v>1576</v>
      </c>
      <c r="O549" s="1310" t="s">
        <v>1481</v>
      </c>
      <c r="P549" s="1310" t="s">
        <v>1636</v>
      </c>
      <c r="Q549" s="1310" t="s">
        <v>1474</v>
      </c>
      <c r="R549" s="1310" t="s">
        <v>1480</v>
      </c>
      <c r="S549" s="1310" t="s">
        <v>117</v>
      </c>
      <c r="T549" s="1310" t="s">
        <v>118</v>
      </c>
      <c r="U549" s="1310" t="s">
        <v>1583</v>
      </c>
      <c r="V549" s="1310" t="s">
        <v>1531</v>
      </c>
      <c r="W549" s="1310" t="s">
        <v>1495</v>
      </c>
      <c r="X549" s="1310" t="s">
        <v>1525</v>
      </c>
      <c r="Y549" s="1310" t="s">
        <v>120</v>
      </c>
      <c r="Z549" s="1310" t="s">
        <v>1542</v>
      </c>
      <c r="AA549" s="1310" t="s">
        <v>1561</v>
      </c>
      <c r="AB549" s="1310" t="s">
        <v>1602</v>
      </c>
      <c r="AC549" s="1310" t="s">
        <v>1457</v>
      </c>
      <c r="AD549" s="1310" t="s">
        <v>1525</v>
      </c>
      <c r="AE549" s="1310" t="s">
        <v>1607</v>
      </c>
      <c r="AF549" s="1310" t="s">
        <v>1659</v>
      </c>
    </row>
    <row r="550" spans="1:32" x14ac:dyDescent="0.3">
      <c r="A550" s="1310" t="s">
        <v>1501</v>
      </c>
      <c r="B550" s="1310" t="s">
        <v>1547</v>
      </c>
      <c r="C550" s="1310" t="s">
        <v>1597</v>
      </c>
      <c r="D550" s="1310" t="s">
        <v>131</v>
      </c>
      <c r="E550" s="1310" t="s">
        <v>1451</v>
      </c>
      <c r="F550" s="1310" t="s">
        <v>1562</v>
      </c>
      <c r="G550" s="1310" t="s">
        <v>1583</v>
      </c>
      <c r="H550" s="1310" t="s">
        <v>1618</v>
      </c>
      <c r="I550" s="1310" t="s">
        <v>1467</v>
      </c>
      <c r="J550" s="1310" t="s">
        <v>1637</v>
      </c>
      <c r="K550" s="1310" t="s">
        <v>1535</v>
      </c>
      <c r="L550" s="1310" t="s">
        <v>1595</v>
      </c>
      <c r="M550" s="1310" t="s">
        <v>1620</v>
      </c>
      <c r="N550" s="1310" t="s">
        <v>1547</v>
      </c>
      <c r="O550" s="1310" t="s">
        <v>1587</v>
      </c>
      <c r="P550" s="1310" t="s">
        <v>115</v>
      </c>
      <c r="Q550" s="1310" t="s">
        <v>1567</v>
      </c>
      <c r="R550" s="1310" t="s">
        <v>1481</v>
      </c>
      <c r="S550" s="1310" t="s">
        <v>1603</v>
      </c>
      <c r="T550" s="1310" t="s">
        <v>1519</v>
      </c>
      <c r="U550" s="1310" t="s">
        <v>1600</v>
      </c>
      <c r="V550" s="1310" t="s">
        <v>123</v>
      </c>
      <c r="W550" s="1310" t="s">
        <v>128</v>
      </c>
      <c r="X550" s="1310" t="s">
        <v>1520</v>
      </c>
      <c r="Y550" s="1310" t="s">
        <v>1656</v>
      </c>
      <c r="Z550" s="1310" t="s">
        <v>1623</v>
      </c>
      <c r="AA550" s="1310" t="s">
        <v>1507</v>
      </c>
      <c r="AB550" s="1310" t="s">
        <v>1629</v>
      </c>
      <c r="AC550" s="1310" t="s">
        <v>1486</v>
      </c>
      <c r="AD550" s="1310" t="s">
        <v>1501</v>
      </c>
      <c r="AE550" s="1310" t="s">
        <v>1612</v>
      </c>
      <c r="AF550" s="1310" t="s">
        <v>1533</v>
      </c>
    </row>
    <row r="551" spans="1:32" x14ac:dyDescent="0.3">
      <c r="A551" s="1310" t="s">
        <v>1554</v>
      </c>
      <c r="B551" s="1310" t="s">
        <v>1593</v>
      </c>
      <c r="C551" s="1310" t="s">
        <v>1523</v>
      </c>
      <c r="D551" s="1310" t="s">
        <v>1656</v>
      </c>
      <c r="E551" s="1310" t="s">
        <v>1637</v>
      </c>
      <c r="F551" s="1310" t="s">
        <v>1593</v>
      </c>
      <c r="G551" s="1310" t="s">
        <v>1568</v>
      </c>
      <c r="H551" s="1310" t="s">
        <v>471</v>
      </c>
      <c r="I551" s="1310" t="s">
        <v>1543</v>
      </c>
      <c r="J551" s="1310" t="s">
        <v>1521</v>
      </c>
      <c r="K551" s="1310" t="s">
        <v>1517</v>
      </c>
      <c r="L551" s="1310" t="s">
        <v>1579</v>
      </c>
      <c r="M551" s="1310" t="s">
        <v>1447</v>
      </c>
      <c r="N551" s="1310" t="s">
        <v>1470</v>
      </c>
      <c r="O551" s="1310" t="s">
        <v>1636</v>
      </c>
      <c r="P551" s="1310" t="s">
        <v>1496</v>
      </c>
      <c r="Q551" s="1310" t="s">
        <v>1604</v>
      </c>
      <c r="R551" s="1310" t="s">
        <v>120</v>
      </c>
      <c r="S551" s="1310" t="s">
        <v>117</v>
      </c>
      <c r="T551" s="1310" t="s">
        <v>130</v>
      </c>
      <c r="U551" s="1310" t="s">
        <v>1552</v>
      </c>
      <c r="V551" s="1310" t="s">
        <v>266</v>
      </c>
      <c r="W551" s="1310" t="s">
        <v>130</v>
      </c>
      <c r="X551" s="1310" t="s">
        <v>1464</v>
      </c>
      <c r="Y551" s="1310" t="s">
        <v>1570</v>
      </c>
      <c r="Z551" s="1310" t="s">
        <v>1567</v>
      </c>
      <c r="AA551" s="1310" t="s">
        <v>1468</v>
      </c>
      <c r="AB551" s="1310" t="s">
        <v>127</v>
      </c>
      <c r="AC551" s="1310" t="s">
        <v>1565</v>
      </c>
      <c r="AD551" s="1310" t="s">
        <v>1570</v>
      </c>
      <c r="AE551" s="1310" t="s">
        <v>1607</v>
      </c>
      <c r="AF551" s="1310" t="s">
        <v>1602</v>
      </c>
    </row>
    <row r="552" spans="1:32" x14ac:dyDescent="0.3">
      <c r="A552" s="1310" t="s">
        <v>1580</v>
      </c>
      <c r="B552" s="1310" t="s">
        <v>1461</v>
      </c>
      <c r="C552" s="1310" t="s">
        <v>1548</v>
      </c>
      <c r="D552" s="1310" t="s">
        <v>1614</v>
      </c>
      <c r="E552" s="1310" t="s">
        <v>1660</v>
      </c>
      <c r="F552" s="1310" t="s">
        <v>1496</v>
      </c>
      <c r="G552" s="1310" t="s">
        <v>6</v>
      </c>
      <c r="H552" s="1310" t="s">
        <v>1502</v>
      </c>
      <c r="I552" s="1310" t="s">
        <v>1600</v>
      </c>
      <c r="J552" s="1310" t="s">
        <v>1590</v>
      </c>
      <c r="K552" s="1310" t="s">
        <v>1498</v>
      </c>
      <c r="L552" s="1310" t="s">
        <v>124</v>
      </c>
      <c r="M552" s="1310" t="s">
        <v>1446</v>
      </c>
      <c r="N552" s="1310" t="s">
        <v>1646</v>
      </c>
      <c r="O552" s="1310" t="s">
        <v>1502</v>
      </c>
      <c r="P552" s="1310" t="s">
        <v>1500</v>
      </c>
      <c r="Q552" s="1310" t="s">
        <v>1571</v>
      </c>
      <c r="R552" s="1310" t="s">
        <v>1572</v>
      </c>
      <c r="S552" s="1310" t="s">
        <v>1653</v>
      </c>
      <c r="T552" s="1310" t="s">
        <v>1644</v>
      </c>
      <c r="U552" s="1310" t="s">
        <v>1510</v>
      </c>
      <c r="V552" s="1310" t="s">
        <v>465</v>
      </c>
      <c r="W552" s="1310" t="s">
        <v>1617</v>
      </c>
      <c r="X552" s="1310" t="s">
        <v>1472</v>
      </c>
      <c r="Y552" s="1310" t="s">
        <v>1484</v>
      </c>
      <c r="Z552" s="1310" t="s">
        <v>125</v>
      </c>
      <c r="AA552" s="1310" t="s">
        <v>112</v>
      </c>
      <c r="AB552" s="1310" t="s">
        <v>1567</v>
      </c>
      <c r="AC552" s="1310" t="s">
        <v>1587</v>
      </c>
      <c r="AD552" s="1310" t="s">
        <v>1646</v>
      </c>
      <c r="AE552" s="1310" t="s">
        <v>1647</v>
      </c>
      <c r="AF552" s="1310" t="s">
        <v>1519</v>
      </c>
    </row>
    <row r="553" spans="1:32" x14ac:dyDescent="0.3">
      <c r="A553" s="1310" t="s">
        <v>1602</v>
      </c>
      <c r="B553" s="1310" t="s">
        <v>115</v>
      </c>
      <c r="C553" s="1310" t="s">
        <v>1586</v>
      </c>
      <c r="D553" s="1310" t="s">
        <v>1482</v>
      </c>
      <c r="E553" s="1310" t="s">
        <v>1562</v>
      </c>
      <c r="F553" s="1310" t="s">
        <v>1030</v>
      </c>
      <c r="G553" s="1310" t="s">
        <v>1475</v>
      </c>
      <c r="H553" s="1310" t="s">
        <v>1641</v>
      </c>
      <c r="I553" s="1310" t="s">
        <v>1645</v>
      </c>
      <c r="J553" s="1310" t="s">
        <v>1645</v>
      </c>
      <c r="K553" s="1310" t="s">
        <v>1449</v>
      </c>
      <c r="L553" s="1310" t="s">
        <v>1562</v>
      </c>
      <c r="M553" s="1310" t="s">
        <v>1484</v>
      </c>
      <c r="N553" s="1310" t="s">
        <v>1654</v>
      </c>
      <c r="O553" s="1310" t="s">
        <v>1539</v>
      </c>
      <c r="P553" s="1310" t="s">
        <v>1527</v>
      </c>
      <c r="Q553" s="1310" t="s">
        <v>1500</v>
      </c>
      <c r="R553" s="1310" t="s">
        <v>125</v>
      </c>
      <c r="S553" s="1310" t="s">
        <v>1549</v>
      </c>
      <c r="T553" s="1310" t="s">
        <v>1605</v>
      </c>
      <c r="U553" s="1310" t="s">
        <v>1456</v>
      </c>
      <c r="V553" s="1310" t="s">
        <v>1568</v>
      </c>
      <c r="W553" s="1310" t="s">
        <v>1550</v>
      </c>
      <c r="X553" s="1310" t="s">
        <v>1529</v>
      </c>
      <c r="Y553" s="1310" t="s">
        <v>1530</v>
      </c>
      <c r="Z553" s="1310" t="s">
        <v>1509</v>
      </c>
      <c r="AA553" s="1310" t="s">
        <v>1455</v>
      </c>
      <c r="AB553" s="1310" t="s">
        <v>1470</v>
      </c>
      <c r="AC553" s="1310" t="s">
        <v>1544</v>
      </c>
      <c r="AD553" s="1310" t="s">
        <v>1600</v>
      </c>
      <c r="AE553" s="1310" t="s">
        <v>1630</v>
      </c>
      <c r="AF553" s="1310" t="s">
        <v>1539</v>
      </c>
    </row>
    <row r="554" spans="1:32" x14ac:dyDescent="0.3">
      <c r="A554" s="1310" t="s">
        <v>1566</v>
      </c>
      <c r="B554" s="1310" t="s">
        <v>1458</v>
      </c>
      <c r="C554" s="1310" t="s">
        <v>1643</v>
      </c>
      <c r="D554" s="1310" t="s">
        <v>1578</v>
      </c>
      <c r="E554" s="1310" t="s">
        <v>1650</v>
      </c>
      <c r="F554" s="1310" t="s">
        <v>1460</v>
      </c>
      <c r="G554" s="1310" t="s">
        <v>1517</v>
      </c>
      <c r="H554" s="1310" t="s">
        <v>1591</v>
      </c>
      <c r="I554" s="1310" t="s">
        <v>127</v>
      </c>
      <c r="J554" s="1310" t="s">
        <v>1529</v>
      </c>
      <c r="K554" s="1310" t="s">
        <v>1580</v>
      </c>
      <c r="L554" s="1310" t="s">
        <v>1601</v>
      </c>
      <c r="M554" s="1310" t="s">
        <v>1574</v>
      </c>
      <c r="N554" s="1310" t="s">
        <v>1636</v>
      </c>
      <c r="O554" s="1310" t="s">
        <v>1620</v>
      </c>
      <c r="P554" s="1310" t="s">
        <v>1568</v>
      </c>
      <c r="Q554" s="1310" t="s">
        <v>1517</v>
      </c>
      <c r="R554" s="1310" t="s">
        <v>1550</v>
      </c>
      <c r="S554" s="1310" t="s">
        <v>1505</v>
      </c>
      <c r="T554" s="1310" t="s">
        <v>131</v>
      </c>
      <c r="U554" s="1310" t="s">
        <v>1641</v>
      </c>
      <c r="V554" s="1310" t="s">
        <v>1586</v>
      </c>
      <c r="W554" s="1310" t="s">
        <v>1461</v>
      </c>
      <c r="X554" s="1310" t="s">
        <v>1553</v>
      </c>
      <c r="Y554" s="1310" t="s">
        <v>1546</v>
      </c>
      <c r="Z554" s="1310" t="s">
        <v>1586</v>
      </c>
      <c r="AA554" s="1310" t="s">
        <v>1573</v>
      </c>
      <c r="AB554" s="1310" t="s">
        <v>1598</v>
      </c>
      <c r="AC554" s="1310" t="s">
        <v>1517</v>
      </c>
      <c r="AD554" s="1310" t="s">
        <v>1656</v>
      </c>
      <c r="AE554" s="1310" t="s">
        <v>1560</v>
      </c>
      <c r="AF554" s="1310" t="s">
        <v>465</v>
      </c>
    </row>
    <row r="555" spans="1:32" x14ac:dyDescent="0.3">
      <c r="A555" s="1310" t="s">
        <v>1030</v>
      </c>
      <c r="B555" s="1310" t="s">
        <v>1568</v>
      </c>
      <c r="C555" s="1310" t="s">
        <v>1491</v>
      </c>
      <c r="D555" s="1310" t="s">
        <v>1564</v>
      </c>
      <c r="E555" s="1310" t="s">
        <v>1597</v>
      </c>
      <c r="F555" s="1310" t="s">
        <v>1602</v>
      </c>
      <c r="G555" s="1310" t="s">
        <v>1636</v>
      </c>
      <c r="H555" s="1310" t="s">
        <v>1659</v>
      </c>
      <c r="I555" s="1310" t="s">
        <v>1443</v>
      </c>
      <c r="J555" s="1310" t="s">
        <v>1450</v>
      </c>
      <c r="K555" s="1310" t="s">
        <v>1601</v>
      </c>
      <c r="L555" s="1310" t="s">
        <v>1486</v>
      </c>
      <c r="M555" s="1310" t="s">
        <v>1443</v>
      </c>
      <c r="N555" s="1310" t="s">
        <v>1450</v>
      </c>
      <c r="O555" s="1310" t="s">
        <v>1601</v>
      </c>
      <c r="P555" s="1310" t="s">
        <v>1497</v>
      </c>
      <c r="Q555" s="1310" t="s">
        <v>1579</v>
      </c>
      <c r="R555" s="1310" t="s">
        <v>1619</v>
      </c>
      <c r="S555" s="1310" t="s">
        <v>1480</v>
      </c>
      <c r="T555" s="1310" t="s">
        <v>131</v>
      </c>
      <c r="U555" s="1310" t="s">
        <v>1575</v>
      </c>
      <c r="V555" s="1310" t="s">
        <v>1463</v>
      </c>
      <c r="W555" s="1310" t="s">
        <v>1635</v>
      </c>
      <c r="X555" s="1310" t="s">
        <v>1605</v>
      </c>
      <c r="Y555" s="1310" t="s">
        <v>1584</v>
      </c>
      <c r="Z555" s="1310" t="s">
        <v>1479</v>
      </c>
      <c r="AA555" s="1310" t="s">
        <v>1493</v>
      </c>
      <c r="AB555" s="1310" t="s">
        <v>1640</v>
      </c>
      <c r="AC555" s="1310" t="s">
        <v>1470</v>
      </c>
      <c r="AD555" s="1310" t="s">
        <v>1553</v>
      </c>
      <c r="AE555" s="1310" t="s">
        <v>1465</v>
      </c>
      <c r="AF555" s="1310" t="s">
        <v>124</v>
      </c>
    </row>
    <row r="556" spans="1:32" x14ac:dyDescent="0.3">
      <c r="A556" s="1310" t="s">
        <v>1486</v>
      </c>
      <c r="B556" s="1310" t="s">
        <v>1523</v>
      </c>
      <c r="C556" s="1310" t="s">
        <v>1503</v>
      </c>
      <c r="D556" s="1310" t="s">
        <v>133</v>
      </c>
      <c r="E556" s="1310" t="s">
        <v>1496</v>
      </c>
      <c r="F556" s="1310" t="s">
        <v>1470</v>
      </c>
      <c r="G556" s="1310" t="s">
        <v>1487</v>
      </c>
      <c r="H556" s="1310" t="s">
        <v>1572</v>
      </c>
      <c r="I556" s="1310" t="s">
        <v>1576</v>
      </c>
      <c r="J556" s="1310" t="s">
        <v>1568</v>
      </c>
      <c r="K556" s="1310" t="s">
        <v>1494</v>
      </c>
      <c r="L556" s="1310" t="s">
        <v>1545</v>
      </c>
      <c r="M556" s="1310" t="s">
        <v>1592</v>
      </c>
      <c r="N556" s="1310" t="s">
        <v>126</v>
      </c>
      <c r="O556" s="1310" t="s">
        <v>1638</v>
      </c>
      <c r="P556" s="1310" t="s">
        <v>1525</v>
      </c>
      <c r="Q556" s="1310" t="s">
        <v>1637</v>
      </c>
      <c r="R556" s="1310" t="s">
        <v>1632</v>
      </c>
      <c r="S556" s="1310" t="s">
        <v>1463</v>
      </c>
      <c r="T556" s="1310" t="s">
        <v>1553</v>
      </c>
      <c r="U556" s="1310" t="s">
        <v>1646</v>
      </c>
      <c r="V556" s="1310" t="s">
        <v>1561</v>
      </c>
      <c r="W556" s="1310" t="s">
        <v>116</v>
      </c>
      <c r="X556" s="1310" t="s">
        <v>1548</v>
      </c>
      <c r="Y556" s="1310" t="s">
        <v>117</v>
      </c>
      <c r="Z556" s="1310" t="s">
        <v>116</v>
      </c>
      <c r="AA556" s="1310" t="s">
        <v>1550</v>
      </c>
      <c r="AB556" s="1310" t="s">
        <v>1478</v>
      </c>
      <c r="AC556" s="1310" t="s">
        <v>116</v>
      </c>
      <c r="AD556" s="1310" t="s">
        <v>1520</v>
      </c>
      <c r="AE556" s="1310" t="s">
        <v>1545</v>
      </c>
      <c r="AF556" s="1310" t="s">
        <v>1521</v>
      </c>
    </row>
    <row r="557" spans="1:32" x14ac:dyDescent="0.3">
      <c r="A557" s="1310" t="s">
        <v>1473</v>
      </c>
      <c r="B557" s="1310" t="s">
        <v>1568</v>
      </c>
      <c r="C557" s="1310" t="s">
        <v>1574</v>
      </c>
      <c r="D557" s="1310" t="s">
        <v>1543</v>
      </c>
      <c r="E557" s="1310" t="s">
        <v>1622</v>
      </c>
      <c r="F557" s="1310" t="s">
        <v>1521</v>
      </c>
      <c r="G557" s="1310" t="s">
        <v>1624</v>
      </c>
      <c r="H557" s="1310" t="s">
        <v>1535</v>
      </c>
      <c r="I557" s="1310" t="s">
        <v>1515</v>
      </c>
      <c r="J557" s="1310" t="s">
        <v>1636</v>
      </c>
      <c r="K557" s="1310" t="s">
        <v>1483</v>
      </c>
      <c r="L557" s="1310" t="s">
        <v>1589</v>
      </c>
      <c r="M557" s="1310" t="s">
        <v>113</v>
      </c>
      <c r="N557" s="1310" t="s">
        <v>1525</v>
      </c>
      <c r="O557" s="1310" t="s">
        <v>1487</v>
      </c>
      <c r="P557" s="1310" t="s">
        <v>1633</v>
      </c>
      <c r="Q557" s="1310" t="s">
        <v>1524</v>
      </c>
      <c r="R557" s="1310" t="s">
        <v>1603</v>
      </c>
      <c r="S557" s="1310" t="s">
        <v>1447</v>
      </c>
      <c r="T557" s="1310" t="s">
        <v>1579</v>
      </c>
      <c r="U557" s="1310" t="s">
        <v>122</v>
      </c>
      <c r="V557" s="1310" t="s">
        <v>1622</v>
      </c>
      <c r="W557" s="1310" t="s">
        <v>1030</v>
      </c>
      <c r="X557" s="1310" t="s">
        <v>1519</v>
      </c>
      <c r="Y557" s="1310" t="s">
        <v>1602</v>
      </c>
      <c r="Z557" s="1310" t="s">
        <v>1638</v>
      </c>
      <c r="AA557" s="1310" t="s">
        <v>131</v>
      </c>
      <c r="AB557" s="1310" t="s">
        <v>1622</v>
      </c>
      <c r="AC557" s="1310" t="s">
        <v>1510</v>
      </c>
      <c r="AD557" s="1310" t="s">
        <v>1541</v>
      </c>
      <c r="AE557" s="1310" t="s">
        <v>122</v>
      </c>
      <c r="AF557" s="1310" t="s">
        <v>1522</v>
      </c>
    </row>
    <row r="558" spans="1:32" x14ac:dyDescent="0.3">
      <c r="A558" s="1310" t="s">
        <v>1509</v>
      </c>
      <c r="B558" s="1310" t="s">
        <v>1586</v>
      </c>
      <c r="C558" s="1310" t="s">
        <v>1611</v>
      </c>
      <c r="D558" s="1310" t="s">
        <v>1543</v>
      </c>
      <c r="E558" s="1310" t="s">
        <v>1614</v>
      </c>
      <c r="F558" s="1310" t="s">
        <v>1446</v>
      </c>
      <c r="G558" s="1310" t="s">
        <v>1577</v>
      </c>
      <c r="H558" s="1310" t="s">
        <v>1587</v>
      </c>
      <c r="I558" s="1310" t="s">
        <v>1605</v>
      </c>
      <c r="J558" s="1310" t="s">
        <v>1511</v>
      </c>
      <c r="K558" s="1310" t="s">
        <v>1617</v>
      </c>
      <c r="L558" s="1310" t="s">
        <v>1638</v>
      </c>
      <c r="M558" s="1310" t="s">
        <v>1485</v>
      </c>
      <c r="N558" s="1310" t="s">
        <v>1460</v>
      </c>
      <c r="O558" s="1310" t="s">
        <v>1510</v>
      </c>
      <c r="P558" s="1310" t="s">
        <v>111</v>
      </c>
      <c r="Q558" s="1310" t="s">
        <v>1535</v>
      </c>
      <c r="R558" s="1310" t="s">
        <v>1607</v>
      </c>
      <c r="S558" s="1310" t="s">
        <v>1602</v>
      </c>
      <c r="T558" s="1310" t="s">
        <v>1532</v>
      </c>
      <c r="U558" s="1310" t="s">
        <v>1443</v>
      </c>
      <c r="V558" s="1310" t="s">
        <v>1450</v>
      </c>
      <c r="W558" s="1310" t="s">
        <v>263</v>
      </c>
      <c r="X558" s="1310" t="s">
        <v>6</v>
      </c>
      <c r="Y558" s="1310" t="s">
        <v>123</v>
      </c>
      <c r="Z558" s="1310" t="s">
        <v>1587</v>
      </c>
      <c r="AA558" s="1310" t="s">
        <v>131</v>
      </c>
      <c r="AB558" s="1310" t="s">
        <v>1520</v>
      </c>
      <c r="AC558" s="1310" t="s">
        <v>1583</v>
      </c>
      <c r="AD558" s="1310" t="s">
        <v>1626</v>
      </c>
      <c r="AE558" s="1310" t="s">
        <v>1473</v>
      </c>
      <c r="AF558" s="1310" t="s">
        <v>1443</v>
      </c>
    </row>
    <row r="559" spans="1:32" x14ac:dyDescent="0.3">
      <c r="A559" s="1310" t="s">
        <v>1450</v>
      </c>
      <c r="B559" s="1310" t="s">
        <v>1616</v>
      </c>
      <c r="C559" s="1310" t="s">
        <v>1520</v>
      </c>
      <c r="D559" s="1310" t="s">
        <v>6</v>
      </c>
      <c r="E559" s="1310" t="s">
        <v>1443</v>
      </c>
      <c r="F559" s="1310" t="s">
        <v>1450</v>
      </c>
      <c r="G559" s="1310" t="s">
        <v>1490</v>
      </c>
      <c r="H559" s="1310" t="s">
        <v>127</v>
      </c>
      <c r="I559" s="1310" t="s">
        <v>1503</v>
      </c>
      <c r="J559" s="1310" t="s">
        <v>1517</v>
      </c>
      <c r="K559" s="1310" t="s">
        <v>1564</v>
      </c>
      <c r="L559" s="1310" t="s">
        <v>1626</v>
      </c>
      <c r="M559" s="1310" t="s">
        <v>1502</v>
      </c>
      <c r="N559" s="1310" t="s">
        <v>1596</v>
      </c>
      <c r="O559" s="1310" t="s">
        <v>1603</v>
      </c>
      <c r="P559" s="1310" t="s">
        <v>1565</v>
      </c>
      <c r="Q559" s="1310" t="s">
        <v>1030</v>
      </c>
      <c r="R559" s="1310" t="s">
        <v>1649</v>
      </c>
      <c r="S559" s="1310" t="s">
        <v>1619</v>
      </c>
      <c r="T559" s="1310" t="s">
        <v>1479</v>
      </c>
      <c r="U559" s="1310" t="s">
        <v>131</v>
      </c>
      <c r="V559" s="1310" t="s">
        <v>1636</v>
      </c>
      <c r="W559" s="1310" t="s">
        <v>1587</v>
      </c>
      <c r="X559" s="1310" t="s">
        <v>1551</v>
      </c>
      <c r="Y559" s="1310" t="s">
        <v>1627</v>
      </c>
      <c r="Z559" s="1310" t="s">
        <v>1554</v>
      </c>
      <c r="AA559" s="1310" t="s">
        <v>1598</v>
      </c>
      <c r="AB559" s="1310" t="s">
        <v>1510</v>
      </c>
      <c r="AC559" s="1310" t="s">
        <v>1637</v>
      </c>
      <c r="AD559" s="1310" t="s">
        <v>1562</v>
      </c>
      <c r="AE559" s="1310" t="s">
        <v>1454</v>
      </c>
      <c r="AF559" s="1310" t="s">
        <v>1550</v>
      </c>
    </row>
    <row r="560" spans="1:32" x14ac:dyDescent="0.3">
      <c r="A560" s="1310" t="s">
        <v>1545</v>
      </c>
      <c r="B560" s="1310" t="s">
        <v>1560</v>
      </c>
      <c r="C560" s="1310" t="s">
        <v>1630</v>
      </c>
      <c r="D560" s="1310" t="s">
        <v>1577</v>
      </c>
      <c r="E560" s="1310" t="s">
        <v>1527</v>
      </c>
      <c r="F560" s="1310" t="s">
        <v>1615</v>
      </c>
      <c r="G560" s="1310" t="s">
        <v>1577</v>
      </c>
      <c r="H560" s="1310" t="s">
        <v>1614</v>
      </c>
      <c r="I560" s="1310" t="s">
        <v>1659</v>
      </c>
      <c r="J560" s="1310" t="s">
        <v>1463</v>
      </c>
      <c r="K560" s="1310" t="s">
        <v>1492</v>
      </c>
      <c r="L560" s="1310" t="s">
        <v>1581</v>
      </c>
      <c r="M560" s="1310" t="s">
        <v>1595</v>
      </c>
      <c r="N560" s="1310" t="s">
        <v>110</v>
      </c>
      <c r="O560" s="1310" t="s">
        <v>1532</v>
      </c>
      <c r="P560" s="1310" t="s">
        <v>1552</v>
      </c>
      <c r="Q560" s="1310" t="s">
        <v>1599</v>
      </c>
      <c r="R560" s="1310" t="s">
        <v>1482</v>
      </c>
      <c r="S560" s="1310" t="s">
        <v>1479</v>
      </c>
      <c r="T560" s="1310" t="s">
        <v>1550</v>
      </c>
      <c r="U560" s="1310" t="s">
        <v>1470</v>
      </c>
      <c r="V560" s="1310" t="s">
        <v>1584</v>
      </c>
      <c r="W560" s="1310" t="s">
        <v>1454</v>
      </c>
      <c r="X560" s="1310" t="s">
        <v>1603</v>
      </c>
      <c r="Y560" s="1310" t="s">
        <v>1027</v>
      </c>
      <c r="Z560" s="1310" t="s">
        <v>1605</v>
      </c>
      <c r="AA560" s="1310" t="s">
        <v>1654</v>
      </c>
      <c r="AB560" s="1310" t="s">
        <v>1641</v>
      </c>
      <c r="AC560" s="1310" t="s">
        <v>1645</v>
      </c>
      <c r="AD560" s="1310" t="s">
        <v>123</v>
      </c>
      <c r="AE560" s="1310" t="s">
        <v>1491</v>
      </c>
      <c r="AF560" s="1310" t="s">
        <v>1503</v>
      </c>
    </row>
    <row r="561" spans="1:32" x14ac:dyDescent="0.3">
      <c r="A561" s="1310" t="s">
        <v>1637</v>
      </c>
      <c r="B561" s="1310" t="s">
        <v>1443</v>
      </c>
      <c r="C561" s="1310" t="s">
        <v>1450</v>
      </c>
      <c r="D561" s="1310" t="s">
        <v>1522</v>
      </c>
      <c r="E561" s="1310" t="s">
        <v>1578</v>
      </c>
      <c r="F561" s="1310" t="s">
        <v>122</v>
      </c>
      <c r="G561" s="1310" t="s">
        <v>1457</v>
      </c>
      <c r="H561" s="1310" t="s">
        <v>114</v>
      </c>
      <c r="I561" s="1310" t="s">
        <v>1564</v>
      </c>
      <c r="J561" s="1310" t="s">
        <v>1556</v>
      </c>
      <c r="K561" s="1310" t="s">
        <v>112</v>
      </c>
      <c r="L561" s="1310" t="s">
        <v>1584</v>
      </c>
      <c r="M561" s="1310" t="s">
        <v>120</v>
      </c>
      <c r="N561" s="1310" t="s">
        <v>1544</v>
      </c>
      <c r="O561" s="1310" t="s">
        <v>1460</v>
      </c>
      <c r="P561" s="1310" t="s">
        <v>1481</v>
      </c>
      <c r="Q561" s="1310" t="s">
        <v>1642</v>
      </c>
      <c r="R561" s="1310" t="s">
        <v>1605</v>
      </c>
      <c r="S561" s="1310" t="s">
        <v>1539</v>
      </c>
      <c r="T561" s="1310" t="s">
        <v>1582</v>
      </c>
      <c r="U561" s="1310" t="s">
        <v>1447</v>
      </c>
      <c r="V561" s="1310" t="s">
        <v>1464</v>
      </c>
      <c r="W561" s="1310" t="s">
        <v>465</v>
      </c>
      <c r="X561" s="1310" t="s">
        <v>1592</v>
      </c>
      <c r="Y561" s="1310" t="s">
        <v>1586</v>
      </c>
      <c r="Z561" s="1310" t="s">
        <v>1588</v>
      </c>
      <c r="AA561" s="1310" t="s">
        <v>1636</v>
      </c>
      <c r="AB561" s="1310" t="s">
        <v>1474</v>
      </c>
      <c r="AC561" s="1310" t="s">
        <v>1486</v>
      </c>
      <c r="AD561" s="1310" t="s">
        <v>1570</v>
      </c>
      <c r="AE561" s="1310" t="s">
        <v>1540</v>
      </c>
      <c r="AF561" s="1310" t="s">
        <v>1645</v>
      </c>
    </row>
    <row r="562" spans="1:32" x14ac:dyDescent="0.3">
      <c r="A562" s="1310" t="s">
        <v>1448</v>
      </c>
      <c r="B562" s="1310" t="s">
        <v>1521</v>
      </c>
      <c r="C562" s="1310" t="s">
        <v>129</v>
      </c>
      <c r="D562" s="1310" t="s">
        <v>129</v>
      </c>
      <c r="E562" s="1310" t="s">
        <v>1563</v>
      </c>
      <c r="F562" s="1310" t="s">
        <v>1602</v>
      </c>
      <c r="G562" s="1310" t="s">
        <v>1602</v>
      </c>
      <c r="H562" s="1310" t="s">
        <v>1621</v>
      </c>
      <c r="I562" s="1310" t="s">
        <v>1605</v>
      </c>
      <c r="J562" s="1310" t="s">
        <v>125</v>
      </c>
      <c r="K562" s="1310" t="s">
        <v>1027</v>
      </c>
      <c r="L562" s="1310" t="s">
        <v>1580</v>
      </c>
      <c r="M562" s="1310" t="s">
        <v>1601</v>
      </c>
      <c r="N562" s="1310" t="s">
        <v>1526</v>
      </c>
      <c r="O562" s="1310" t="s">
        <v>1443</v>
      </c>
      <c r="P562" s="1310" t="s">
        <v>1450</v>
      </c>
      <c r="Q562" s="1310" t="s">
        <v>1601</v>
      </c>
      <c r="R562" s="1310" t="s">
        <v>1485</v>
      </c>
      <c r="S562" s="1310" t="s">
        <v>1636</v>
      </c>
      <c r="T562" s="1310" t="s">
        <v>1519</v>
      </c>
      <c r="U562" s="1310" t="s">
        <v>1579</v>
      </c>
      <c r="V562" s="1310" t="s">
        <v>130</v>
      </c>
      <c r="W562" s="1310" t="s">
        <v>1466</v>
      </c>
      <c r="X562" s="1310" t="s">
        <v>1636</v>
      </c>
      <c r="Y562" s="1310" t="s">
        <v>1480</v>
      </c>
      <c r="Z562" s="1310" t="s">
        <v>1636</v>
      </c>
      <c r="AA562" s="1310" t="s">
        <v>1564</v>
      </c>
      <c r="AB562" s="1310" t="s">
        <v>1644</v>
      </c>
      <c r="AC562" s="1310" t="s">
        <v>1595</v>
      </c>
      <c r="AD562" s="1310" t="s">
        <v>1536</v>
      </c>
      <c r="AE562" s="1310" t="s">
        <v>1461</v>
      </c>
      <c r="AF562" s="1310" t="s">
        <v>1601</v>
      </c>
    </row>
    <row r="563" spans="1:32" x14ac:dyDescent="0.3">
      <c r="A563" s="1310" t="s">
        <v>1556</v>
      </c>
      <c r="B563" s="1310" t="s">
        <v>1560</v>
      </c>
      <c r="C563" s="1310" t="s">
        <v>1557</v>
      </c>
      <c r="D563" s="1310" t="s">
        <v>6</v>
      </c>
      <c r="E563" s="1310" t="s">
        <v>1559</v>
      </c>
      <c r="F563" s="1310" t="s">
        <v>1573</v>
      </c>
      <c r="G563" s="1310" t="s">
        <v>1499</v>
      </c>
      <c r="H563" s="1310" t="s">
        <v>1572</v>
      </c>
      <c r="I563" s="1310" t="s">
        <v>1497</v>
      </c>
      <c r="J563" s="1310" t="s">
        <v>1534</v>
      </c>
      <c r="K563" s="1310" t="s">
        <v>1545</v>
      </c>
      <c r="L563" s="1310" t="s">
        <v>1445</v>
      </c>
      <c r="M563" s="1310" t="s">
        <v>1563</v>
      </c>
      <c r="N563" s="1310" t="s">
        <v>1623</v>
      </c>
      <c r="O563" s="1310" t="s">
        <v>1542</v>
      </c>
      <c r="P563" s="1310" t="s">
        <v>1515</v>
      </c>
      <c r="Q563" s="1310" t="s">
        <v>1569</v>
      </c>
      <c r="R563" s="1310" t="s">
        <v>125</v>
      </c>
      <c r="S563" s="1310" t="s">
        <v>1489</v>
      </c>
      <c r="T563" s="1310" t="s">
        <v>1609</v>
      </c>
      <c r="U563" s="1310" t="s">
        <v>1558</v>
      </c>
      <c r="V563" s="1310" t="s">
        <v>1466</v>
      </c>
      <c r="W563" s="1310" t="s">
        <v>1468</v>
      </c>
      <c r="X563" s="1310" t="s">
        <v>1462</v>
      </c>
      <c r="Y563" s="1310" t="s">
        <v>1635</v>
      </c>
      <c r="Z563" s="1310" t="s">
        <v>1620</v>
      </c>
      <c r="AA563" s="1310" t="s">
        <v>1618</v>
      </c>
      <c r="AB563" s="1310" t="s">
        <v>1566</v>
      </c>
      <c r="AC563" s="1310" t="s">
        <v>1449</v>
      </c>
      <c r="AD563" s="1310" t="s">
        <v>1560</v>
      </c>
      <c r="AE563" s="1310" t="s">
        <v>1569</v>
      </c>
      <c r="AF563" s="1310" t="s">
        <v>1443</v>
      </c>
    </row>
    <row r="564" spans="1:32" x14ac:dyDescent="0.3">
      <c r="A564" s="1310" t="s">
        <v>1450</v>
      </c>
      <c r="B564" s="1310" t="s">
        <v>132</v>
      </c>
      <c r="C564" s="1310" t="s">
        <v>1593</v>
      </c>
      <c r="D564" s="1310" t="s">
        <v>1517</v>
      </c>
      <c r="E564" s="1310" t="s">
        <v>1544</v>
      </c>
      <c r="F564" s="1310" t="s">
        <v>1580</v>
      </c>
      <c r="G564" s="1310" t="s">
        <v>1629</v>
      </c>
      <c r="H564" s="1310" t="s">
        <v>1459</v>
      </c>
      <c r="I564" s="1310" t="s">
        <v>1636</v>
      </c>
      <c r="J564" s="1310" t="s">
        <v>1633</v>
      </c>
      <c r="K564" s="1310" t="s">
        <v>1505</v>
      </c>
      <c r="L564" s="1310" t="s">
        <v>1647</v>
      </c>
      <c r="M564" s="1310" t="s">
        <v>1619</v>
      </c>
      <c r="N564" s="1310" t="s">
        <v>1494</v>
      </c>
      <c r="O564" s="1310" t="s">
        <v>1585</v>
      </c>
      <c r="P564" s="1310" t="s">
        <v>115</v>
      </c>
      <c r="Q564" s="1310" t="s">
        <v>1503</v>
      </c>
      <c r="R564" s="1310" t="s">
        <v>1571</v>
      </c>
      <c r="S564" s="1310" t="s">
        <v>1651</v>
      </c>
      <c r="T564" s="1310" t="s">
        <v>1548</v>
      </c>
      <c r="U564" s="1310" t="s">
        <v>1491</v>
      </c>
      <c r="V564" s="1310" t="s">
        <v>1548</v>
      </c>
      <c r="W564" s="1310" t="s">
        <v>1552</v>
      </c>
      <c r="X564" s="1310" t="s">
        <v>115</v>
      </c>
      <c r="Y564" s="1310" t="s">
        <v>1457</v>
      </c>
      <c r="Z564" s="1310" t="s">
        <v>1562</v>
      </c>
      <c r="AA564" s="1310" t="s">
        <v>1477</v>
      </c>
      <c r="AB564" s="1310" t="s">
        <v>1644</v>
      </c>
      <c r="AC564" s="1310" t="s">
        <v>1619</v>
      </c>
      <c r="AD564" s="1310" t="s">
        <v>1559</v>
      </c>
      <c r="AE564" s="1310" t="s">
        <v>1529</v>
      </c>
      <c r="AF564" s="1310" t="s">
        <v>1572</v>
      </c>
    </row>
    <row r="565" spans="1:32" x14ac:dyDescent="0.3">
      <c r="A565" s="1310" t="s">
        <v>1606</v>
      </c>
      <c r="B565" s="1310" t="s">
        <v>1561</v>
      </c>
      <c r="C565" s="1310" t="s">
        <v>124</v>
      </c>
      <c r="D565" s="1310" t="s">
        <v>1484</v>
      </c>
      <c r="E565" s="1310" t="s">
        <v>1566</v>
      </c>
      <c r="F565" s="1310" t="s">
        <v>1556</v>
      </c>
      <c r="G565" s="1310" t="s">
        <v>1645</v>
      </c>
      <c r="H565" s="1310" t="s">
        <v>1614</v>
      </c>
      <c r="I565" s="1310" t="s">
        <v>123</v>
      </c>
      <c r="J565" s="1310" t="s">
        <v>1646</v>
      </c>
      <c r="K565" s="1310" t="s">
        <v>1502</v>
      </c>
      <c r="L565" s="1310" t="s">
        <v>1453</v>
      </c>
      <c r="M565" s="1310" t="s">
        <v>1632</v>
      </c>
      <c r="N565" s="1310" t="s">
        <v>1503</v>
      </c>
      <c r="O565" s="1310" t="s">
        <v>1550</v>
      </c>
      <c r="P565" s="1310" t="s">
        <v>133</v>
      </c>
      <c r="Q565" s="1310" t="s">
        <v>1636</v>
      </c>
      <c r="R565" s="1310" t="s">
        <v>1453</v>
      </c>
      <c r="S565" s="1310" t="s">
        <v>1027</v>
      </c>
      <c r="T565" s="1310" t="s">
        <v>1512</v>
      </c>
      <c r="U565" s="1310" t="s">
        <v>131</v>
      </c>
      <c r="V565" s="1310" t="s">
        <v>1571</v>
      </c>
      <c r="W565" s="1310" t="s">
        <v>131</v>
      </c>
      <c r="X565" s="1310" t="s">
        <v>1610</v>
      </c>
      <c r="Y565" s="1310" t="s">
        <v>123</v>
      </c>
      <c r="Z565" s="1310" t="s">
        <v>131</v>
      </c>
      <c r="AA565" s="1310" t="s">
        <v>1614</v>
      </c>
      <c r="AB565" s="1310" t="s">
        <v>1636</v>
      </c>
      <c r="AC565" s="1310" t="s">
        <v>1460</v>
      </c>
      <c r="AD565" s="1310" t="s">
        <v>1532</v>
      </c>
      <c r="AE565" s="1310" t="s">
        <v>132</v>
      </c>
      <c r="AF565" s="1310" t="s">
        <v>1540</v>
      </c>
    </row>
    <row r="566" spans="1:32" x14ac:dyDescent="0.3">
      <c r="A566" s="1310" t="s">
        <v>131</v>
      </c>
      <c r="B566" s="1310" t="s">
        <v>1560</v>
      </c>
      <c r="C566" s="1310" t="s">
        <v>1503</v>
      </c>
      <c r="D566" s="1310" t="s">
        <v>1634</v>
      </c>
      <c r="E566" s="1310" t="s">
        <v>1575</v>
      </c>
      <c r="F566" s="1310" t="s">
        <v>1529</v>
      </c>
      <c r="G566" s="1310" t="s">
        <v>1548</v>
      </c>
      <c r="H566" s="1310" t="s">
        <v>1602</v>
      </c>
      <c r="I566" s="1310" t="s">
        <v>1654</v>
      </c>
      <c r="J566" s="1310" t="s">
        <v>6</v>
      </c>
      <c r="K566" s="1310" t="s">
        <v>1576</v>
      </c>
      <c r="L566" s="1310" t="s">
        <v>1579</v>
      </c>
      <c r="M566" s="1310" t="s">
        <v>1556</v>
      </c>
      <c r="N566" s="1310" t="s">
        <v>1621</v>
      </c>
      <c r="O566" s="1310" t="s">
        <v>1473</v>
      </c>
      <c r="P566" s="1310" t="s">
        <v>1538</v>
      </c>
      <c r="Q566" s="1310" t="s">
        <v>1565</v>
      </c>
      <c r="R566" s="1310" t="s">
        <v>1543</v>
      </c>
      <c r="S566" s="1310" t="s">
        <v>124</v>
      </c>
      <c r="T566" s="1310" t="s">
        <v>1484</v>
      </c>
      <c r="U566" s="1310" t="s">
        <v>1499</v>
      </c>
      <c r="V566" s="1310" t="s">
        <v>1523</v>
      </c>
      <c r="W566" s="1310" t="s">
        <v>1455</v>
      </c>
      <c r="X566" s="1310" t="s">
        <v>1504</v>
      </c>
      <c r="Y566" s="1310" t="s">
        <v>1473</v>
      </c>
      <c r="Z566" s="1310" t="s">
        <v>1448</v>
      </c>
      <c r="AA566" s="1310" t="s">
        <v>269</v>
      </c>
      <c r="AB566" s="1310" t="s">
        <v>1593</v>
      </c>
      <c r="AC566" s="1310" t="s">
        <v>1660</v>
      </c>
      <c r="AD566" s="1310" t="s">
        <v>1558</v>
      </c>
      <c r="AE566" s="1310" t="s">
        <v>1640</v>
      </c>
      <c r="AF566" s="1310" t="s">
        <v>1518</v>
      </c>
    </row>
    <row r="567" spans="1:32" x14ac:dyDescent="0.3">
      <c r="A567" s="1310" t="s">
        <v>1647</v>
      </c>
      <c r="B567" s="1310" t="s">
        <v>1482</v>
      </c>
      <c r="C567" s="1310" t="s">
        <v>121</v>
      </c>
      <c r="D567" s="1310" t="s">
        <v>1494</v>
      </c>
      <c r="E567" s="1310" t="s">
        <v>1571</v>
      </c>
      <c r="F567" s="1310" t="s">
        <v>1607</v>
      </c>
      <c r="G567" s="1310" t="s">
        <v>1490</v>
      </c>
      <c r="H567" s="1310" t="s">
        <v>1443</v>
      </c>
      <c r="I567" s="1310" t="s">
        <v>1450</v>
      </c>
      <c r="J567" s="1310" t="s">
        <v>1445</v>
      </c>
      <c r="K567" s="1310" t="s">
        <v>1553</v>
      </c>
      <c r="L567" s="1310" t="s">
        <v>1448</v>
      </c>
      <c r="M567" s="1310" t="s">
        <v>1656</v>
      </c>
      <c r="N567" s="1310" t="s">
        <v>1634</v>
      </c>
      <c r="O567" s="1310" t="s">
        <v>125</v>
      </c>
      <c r="P567" s="1310" t="s">
        <v>1640</v>
      </c>
      <c r="Q567" s="1310" t="s">
        <v>1642</v>
      </c>
      <c r="R567" s="1310" t="s">
        <v>124</v>
      </c>
      <c r="S567" s="1310" t="s">
        <v>125</v>
      </c>
      <c r="T567" s="1310" t="s">
        <v>1594</v>
      </c>
      <c r="U567" s="1310" t="s">
        <v>1453</v>
      </c>
      <c r="V567" s="1310" t="s">
        <v>1609</v>
      </c>
      <c r="W567" s="1310" t="s">
        <v>1636</v>
      </c>
      <c r="X567" s="1310" t="s">
        <v>1482</v>
      </c>
      <c r="Y567" s="1310" t="s">
        <v>112</v>
      </c>
      <c r="Z567" s="1310" t="s">
        <v>1500</v>
      </c>
      <c r="AA567" s="1310" t="s">
        <v>1529</v>
      </c>
      <c r="AB567" s="1310" t="s">
        <v>1603</v>
      </c>
      <c r="AC567" s="1310" t="s">
        <v>1482</v>
      </c>
      <c r="AD567" s="1310" t="s">
        <v>1502</v>
      </c>
      <c r="AE567" s="1310" t="s">
        <v>117</v>
      </c>
      <c r="AF567" s="1310" t="s">
        <v>1621</v>
      </c>
    </row>
    <row r="568" spans="1:32" x14ac:dyDescent="0.3">
      <c r="A568" s="1310" t="s">
        <v>1656</v>
      </c>
      <c r="B568" s="1310" t="s">
        <v>1528</v>
      </c>
      <c r="C568" s="1310" t="s">
        <v>1461</v>
      </c>
      <c r="D568" s="1310" t="s">
        <v>1510</v>
      </c>
      <c r="E568" s="1310" t="s">
        <v>1525</v>
      </c>
      <c r="F568" s="1310" t="s">
        <v>1603</v>
      </c>
      <c r="G568" s="1310" t="s">
        <v>124</v>
      </c>
      <c r="H568" s="1310" t="s">
        <v>1622</v>
      </c>
      <c r="I568" s="1310" t="s">
        <v>131</v>
      </c>
      <c r="J568" s="1310" t="s">
        <v>1451</v>
      </c>
      <c r="K568" s="1310" t="s">
        <v>263</v>
      </c>
      <c r="L568" s="1310" t="s">
        <v>132</v>
      </c>
      <c r="M568" s="1310" t="s">
        <v>131</v>
      </c>
      <c r="N568" s="1310" t="s">
        <v>465</v>
      </c>
      <c r="O568" s="1310" t="s">
        <v>132</v>
      </c>
      <c r="P568" s="1310" t="s">
        <v>1517</v>
      </c>
      <c r="Q568" s="1310" t="s">
        <v>1659</v>
      </c>
      <c r="R568" s="1310" t="s">
        <v>1468</v>
      </c>
      <c r="S568" s="1310" t="s">
        <v>1581</v>
      </c>
      <c r="T568" s="1310" t="s">
        <v>1550</v>
      </c>
      <c r="U568" s="1310" t="s">
        <v>113</v>
      </c>
      <c r="V568" s="1310" t="s">
        <v>1645</v>
      </c>
      <c r="W568" s="1310" t="s">
        <v>1484</v>
      </c>
      <c r="X568" s="1310" t="s">
        <v>1537</v>
      </c>
      <c r="Y568" s="1310" t="s">
        <v>1531</v>
      </c>
      <c r="Z568" s="1310" t="s">
        <v>115</v>
      </c>
      <c r="AA568" s="1310" t="s">
        <v>1589</v>
      </c>
      <c r="AB568" s="1310" t="s">
        <v>1457</v>
      </c>
      <c r="AC568" s="1310" t="s">
        <v>262</v>
      </c>
      <c r="AD568" s="1310" t="s">
        <v>1452</v>
      </c>
      <c r="AE568" s="1310" t="s">
        <v>1574</v>
      </c>
      <c r="AF568" s="1310" t="s">
        <v>1453</v>
      </c>
    </row>
    <row r="569" spans="1:32" x14ac:dyDescent="0.3">
      <c r="A569" s="1310" t="s">
        <v>1586</v>
      </c>
      <c r="B569" s="1310" t="s">
        <v>1653</v>
      </c>
      <c r="C569" s="1310" t="s">
        <v>1497</v>
      </c>
      <c r="D569" s="1310" t="s">
        <v>1549</v>
      </c>
      <c r="E569" s="1310" t="s">
        <v>1538</v>
      </c>
      <c r="F569" s="1310" t="s">
        <v>1637</v>
      </c>
      <c r="G569" s="1310" t="s">
        <v>1512</v>
      </c>
      <c r="H569" s="1310" t="s">
        <v>1645</v>
      </c>
      <c r="I569" s="1310" t="s">
        <v>1528</v>
      </c>
      <c r="J569" s="1310" t="s">
        <v>1658</v>
      </c>
      <c r="K569" s="1310" t="s">
        <v>1593</v>
      </c>
      <c r="L569" s="1310" t="s">
        <v>1537</v>
      </c>
      <c r="M569" s="1310" t="s">
        <v>1632</v>
      </c>
      <c r="N569" s="1310" t="s">
        <v>1647</v>
      </c>
      <c r="O569" s="1310" t="s">
        <v>1601</v>
      </c>
      <c r="P569" s="1310" t="s">
        <v>1554</v>
      </c>
      <c r="Q569" s="1310" t="s">
        <v>1639</v>
      </c>
      <c r="R569" s="1310" t="s">
        <v>1590</v>
      </c>
      <c r="S569" s="1310" t="s">
        <v>1572</v>
      </c>
      <c r="T569" s="1310" t="s">
        <v>1481</v>
      </c>
      <c r="U569" s="1310" t="s">
        <v>1499</v>
      </c>
      <c r="V569" s="1310" t="s">
        <v>1627</v>
      </c>
      <c r="W569" s="1310" t="s">
        <v>1533</v>
      </c>
      <c r="X569" s="1310" t="s">
        <v>1627</v>
      </c>
      <c r="Y569" s="1310" t="s">
        <v>1651</v>
      </c>
      <c r="Z569" s="1310" t="s">
        <v>1539</v>
      </c>
      <c r="AA569" s="1310" t="s">
        <v>127</v>
      </c>
      <c r="AB569" s="1310" t="s">
        <v>1613</v>
      </c>
      <c r="AC569" s="1310" t="s">
        <v>110</v>
      </c>
      <c r="AD569" s="1310" t="s">
        <v>1468</v>
      </c>
      <c r="AE569" s="1310" t="s">
        <v>1617</v>
      </c>
      <c r="AF569" s="1310" t="s">
        <v>1590</v>
      </c>
    </row>
    <row r="570" spans="1:32" x14ac:dyDescent="0.3">
      <c r="A570" s="1310" t="s">
        <v>1651</v>
      </c>
      <c r="B570" s="1310" t="s">
        <v>127</v>
      </c>
      <c r="C570" s="1310" t="s">
        <v>1636</v>
      </c>
      <c r="D570" s="1310" t="s">
        <v>1482</v>
      </c>
      <c r="E570" s="1310" t="s">
        <v>1614</v>
      </c>
      <c r="F570" s="1310" t="s">
        <v>6</v>
      </c>
      <c r="G570" s="1310" t="s">
        <v>1627</v>
      </c>
      <c r="H570" s="1310" t="s">
        <v>1624</v>
      </c>
      <c r="I570" s="1310" t="s">
        <v>1537</v>
      </c>
      <c r="J570" s="1310" t="s">
        <v>117</v>
      </c>
      <c r="K570" s="1310" t="s">
        <v>1465</v>
      </c>
      <c r="L570" s="1310" t="s">
        <v>1658</v>
      </c>
      <c r="M570" s="1310" t="s">
        <v>1489</v>
      </c>
      <c r="N570" s="1310" t="s">
        <v>1639</v>
      </c>
      <c r="O570" s="1310" t="s">
        <v>1603</v>
      </c>
      <c r="P570" s="1310" t="s">
        <v>1571</v>
      </c>
      <c r="Q570" s="1310" t="s">
        <v>1645</v>
      </c>
      <c r="R570" s="1310" t="s">
        <v>1472</v>
      </c>
      <c r="S570" s="1310" t="s">
        <v>1567</v>
      </c>
      <c r="T570" s="1310" t="s">
        <v>1619</v>
      </c>
      <c r="U570" s="1310" t="s">
        <v>1493</v>
      </c>
      <c r="V570" s="1310" t="s">
        <v>1640</v>
      </c>
      <c r="W570" s="1310" t="s">
        <v>1522</v>
      </c>
      <c r="X570" s="1310" t="s">
        <v>1510</v>
      </c>
      <c r="Y570" s="1310" t="s">
        <v>1518</v>
      </c>
      <c r="Z570" s="1310" t="s">
        <v>1565</v>
      </c>
      <c r="AA570" s="1310" t="s">
        <v>1461</v>
      </c>
      <c r="AB570" s="1310" t="s">
        <v>1532</v>
      </c>
      <c r="AC570" s="1310" t="s">
        <v>1658</v>
      </c>
      <c r="AD570" s="1310" t="s">
        <v>1649</v>
      </c>
      <c r="AE570" s="1310" t="s">
        <v>1519</v>
      </c>
      <c r="AF570" s="1310" t="s">
        <v>1504</v>
      </c>
    </row>
    <row r="571" spans="1:32" x14ac:dyDescent="0.3">
      <c r="A571" s="1310" t="s">
        <v>1583</v>
      </c>
      <c r="B571" s="1310" t="s">
        <v>1535</v>
      </c>
      <c r="C571" s="1310" t="s">
        <v>1536</v>
      </c>
      <c r="D571" s="1310" t="s">
        <v>1536</v>
      </c>
      <c r="E571" s="1310" t="s">
        <v>1473</v>
      </c>
      <c r="F571" s="1310" t="s">
        <v>114</v>
      </c>
      <c r="G571" s="1310" t="s">
        <v>1615</v>
      </c>
      <c r="H571" s="1310" t="s">
        <v>1637</v>
      </c>
      <c r="I571" s="1310" t="s">
        <v>1593</v>
      </c>
      <c r="J571" s="1310" t="s">
        <v>1451</v>
      </c>
      <c r="K571" s="1310" t="s">
        <v>1557</v>
      </c>
      <c r="L571" s="1310" t="s">
        <v>1539</v>
      </c>
      <c r="M571" s="1310" t="s">
        <v>1558</v>
      </c>
      <c r="N571" s="1310" t="s">
        <v>1551</v>
      </c>
      <c r="O571" s="1310" t="s">
        <v>1650</v>
      </c>
      <c r="P571" s="1310" t="s">
        <v>1505</v>
      </c>
      <c r="Q571" s="1310" t="s">
        <v>1459</v>
      </c>
      <c r="R571" s="1310" t="s">
        <v>1564</v>
      </c>
      <c r="S571" s="1310" t="s">
        <v>1491</v>
      </c>
      <c r="T571" s="1310" t="s">
        <v>1564</v>
      </c>
      <c r="U571" s="1310" t="s">
        <v>1511</v>
      </c>
      <c r="V571" s="1310" t="s">
        <v>1572</v>
      </c>
      <c r="W571" s="1310" t="s">
        <v>1580</v>
      </c>
      <c r="X571" s="1310" t="s">
        <v>1475</v>
      </c>
      <c r="Y571" s="1310" t="s">
        <v>1557</v>
      </c>
      <c r="Z571" s="1310" t="s">
        <v>131</v>
      </c>
      <c r="AA571" s="1310" t="s">
        <v>1557</v>
      </c>
      <c r="AB571" s="1310" t="s">
        <v>1617</v>
      </c>
      <c r="AC571" s="1310" t="s">
        <v>1464</v>
      </c>
      <c r="AD571" s="1310" t="s">
        <v>1660</v>
      </c>
      <c r="AE571" s="1310" t="s">
        <v>1635</v>
      </c>
      <c r="AF571" s="1310" t="s">
        <v>1482</v>
      </c>
    </row>
    <row r="572" spans="1:32" x14ac:dyDescent="0.3">
      <c r="A572" s="1310" t="s">
        <v>1459</v>
      </c>
      <c r="B572" s="1310" t="s">
        <v>1470</v>
      </c>
      <c r="C572" s="1310" t="s">
        <v>1477</v>
      </c>
      <c r="D572" s="1310" t="s">
        <v>1579</v>
      </c>
      <c r="E572" s="1310" t="s">
        <v>1586</v>
      </c>
      <c r="F572" s="1310" t="s">
        <v>1623</v>
      </c>
      <c r="G572" s="1310" t="s">
        <v>1629</v>
      </c>
      <c r="H572" s="1310" t="s">
        <v>1559</v>
      </c>
      <c r="I572" s="1310" t="s">
        <v>1631</v>
      </c>
      <c r="J572" s="1310" t="s">
        <v>1629</v>
      </c>
      <c r="K572" s="1310" t="s">
        <v>1650</v>
      </c>
      <c r="L572" s="1310" t="s">
        <v>125</v>
      </c>
      <c r="M572" s="1310" t="s">
        <v>1586</v>
      </c>
      <c r="N572" s="1310" t="s">
        <v>1608</v>
      </c>
      <c r="O572" s="1310" t="s">
        <v>1629</v>
      </c>
      <c r="P572" s="1310" t="s">
        <v>1509</v>
      </c>
      <c r="Q572" s="1310" t="s">
        <v>1624</v>
      </c>
      <c r="R572" s="1310" t="s">
        <v>1617</v>
      </c>
      <c r="S572" s="1310" t="s">
        <v>1574</v>
      </c>
      <c r="T572" s="1310" t="s">
        <v>1475</v>
      </c>
      <c r="U572" s="1310" t="s">
        <v>1536</v>
      </c>
      <c r="V572" s="1310" t="s">
        <v>114</v>
      </c>
      <c r="W572" s="1310" t="s">
        <v>1459</v>
      </c>
      <c r="X572" s="1310" t="s">
        <v>1640</v>
      </c>
      <c r="Y572" s="1310" t="s">
        <v>1652</v>
      </c>
      <c r="Z572" s="1310" t="s">
        <v>124</v>
      </c>
      <c r="AA572" s="1310" t="s">
        <v>1654</v>
      </c>
      <c r="AB572" s="1310" t="s">
        <v>1554</v>
      </c>
      <c r="AC572" s="1310" t="s">
        <v>1648</v>
      </c>
      <c r="AD572" s="1310" t="s">
        <v>1496</v>
      </c>
      <c r="AE572" s="1310" t="s">
        <v>1451</v>
      </c>
      <c r="AF572" s="1310" t="s">
        <v>1569</v>
      </c>
    </row>
    <row r="573" spans="1:32" x14ac:dyDescent="0.3">
      <c r="A573" s="1310" t="s">
        <v>1475</v>
      </c>
      <c r="B573" s="1310" t="s">
        <v>1534</v>
      </c>
      <c r="C573" s="1310" t="s">
        <v>1507</v>
      </c>
      <c r="D573" s="1310" t="s">
        <v>1575</v>
      </c>
      <c r="E573" s="1310" t="s">
        <v>1642</v>
      </c>
      <c r="F573" s="1310" t="s">
        <v>263</v>
      </c>
      <c r="G573" s="1310" t="s">
        <v>1480</v>
      </c>
      <c r="H573" s="1310" t="s">
        <v>1539</v>
      </c>
      <c r="I573" s="1310" t="s">
        <v>266</v>
      </c>
      <c r="J573" s="1310" t="s">
        <v>1550</v>
      </c>
      <c r="K573" s="1310" t="s">
        <v>1473</v>
      </c>
      <c r="L573" s="1310" t="s">
        <v>270</v>
      </c>
      <c r="M573" s="1310" t="s">
        <v>266</v>
      </c>
      <c r="N573" s="1310" t="s">
        <v>119</v>
      </c>
      <c r="O573" s="1310" t="s">
        <v>1503</v>
      </c>
      <c r="P573" s="1310" t="s">
        <v>1480</v>
      </c>
      <c r="Q573" s="1310" t="s">
        <v>1526</v>
      </c>
      <c r="R573" s="1310" t="s">
        <v>1574</v>
      </c>
      <c r="S573" s="1310" t="s">
        <v>1527</v>
      </c>
      <c r="T573" s="1310" t="s">
        <v>1530</v>
      </c>
      <c r="U573" s="1310" t="s">
        <v>1632</v>
      </c>
      <c r="V573" s="1310" t="s">
        <v>1491</v>
      </c>
      <c r="W573" s="1310" t="s">
        <v>1629</v>
      </c>
      <c r="X573" s="1310" t="s">
        <v>1652</v>
      </c>
      <c r="Y573" s="1310" t="s">
        <v>1450</v>
      </c>
      <c r="Z573" s="1310" t="s">
        <v>1651</v>
      </c>
      <c r="AA573" s="1310" t="s">
        <v>1495</v>
      </c>
      <c r="AB573" s="1310" t="s">
        <v>1464</v>
      </c>
      <c r="AC573" s="1310" t="s">
        <v>1557</v>
      </c>
      <c r="AD573" s="1310" t="s">
        <v>1617</v>
      </c>
      <c r="AE573" s="1310" t="s">
        <v>263</v>
      </c>
      <c r="AF573" s="1310" t="s">
        <v>1576</v>
      </c>
    </row>
    <row r="574" spans="1:32" x14ac:dyDescent="0.3">
      <c r="A574" s="1310" t="s">
        <v>1648</v>
      </c>
      <c r="B574" s="1310" t="s">
        <v>1521</v>
      </c>
      <c r="C574" s="1310" t="s">
        <v>1543</v>
      </c>
      <c r="D574" s="1310" t="s">
        <v>1027</v>
      </c>
      <c r="E574" s="1310" t="s">
        <v>268</v>
      </c>
      <c r="F574" s="1310" t="s">
        <v>1630</v>
      </c>
      <c r="G574" s="1310" t="s">
        <v>1461</v>
      </c>
      <c r="H574" s="1310" t="s">
        <v>1660</v>
      </c>
      <c r="I574" s="1310" t="s">
        <v>1624</v>
      </c>
      <c r="J574" s="1310" t="s">
        <v>1505</v>
      </c>
      <c r="K574" s="1310" t="s">
        <v>1504</v>
      </c>
      <c r="L574" s="1310" t="s">
        <v>1493</v>
      </c>
      <c r="M574" s="1310" t="s">
        <v>1654</v>
      </c>
      <c r="N574" s="1310" t="s">
        <v>124</v>
      </c>
      <c r="O574" s="1310" t="s">
        <v>1473</v>
      </c>
      <c r="P574" s="1310" t="s">
        <v>1490</v>
      </c>
      <c r="Q574" s="1310" t="s">
        <v>119</v>
      </c>
      <c r="R574" s="1310" t="s">
        <v>1535</v>
      </c>
      <c r="S574" s="1310" t="s">
        <v>1614</v>
      </c>
      <c r="T574" s="1310" t="s">
        <v>1487</v>
      </c>
      <c r="U574" s="1310" t="s">
        <v>127</v>
      </c>
      <c r="V574" s="1310" t="s">
        <v>1455</v>
      </c>
      <c r="W574" s="1310" t="s">
        <v>1577</v>
      </c>
      <c r="X574" s="1310" t="s">
        <v>1578</v>
      </c>
      <c r="Y574" s="1310" t="s">
        <v>1618</v>
      </c>
      <c r="Z574" s="1310" t="s">
        <v>1551</v>
      </c>
      <c r="AA574" s="1310" t="s">
        <v>130</v>
      </c>
      <c r="AB574" s="1310" t="s">
        <v>1537</v>
      </c>
      <c r="AC574" s="1310" t="s">
        <v>1604</v>
      </c>
      <c r="AD574" s="1310" t="s">
        <v>1549</v>
      </c>
      <c r="AE574" s="1310" t="s">
        <v>1533</v>
      </c>
      <c r="AF574" s="1310" t="s">
        <v>1459</v>
      </c>
    </row>
    <row r="575" spans="1:32" x14ac:dyDescent="0.3">
      <c r="A575" s="1310" t="s">
        <v>1489</v>
      </c>
      <c r="B575" s="1310" t="s">
        <v>1507</v>
      </c>
      <c r="C575" s="1310" t="s">
        <v>1455</v>
      </c>
      <c r="D575" s="1310" t="s">
        <v>1460</v>
      </c>
      <c r="E575" s="1310" t="s">
        <v>1656</v>
      </c>
      <c r="F575" s="1310" t="s">
        <v>1576</v>
      </c>
      <c r="G575" s="1310" t="s">
        <v>1444</v>
      </c>
      <c r="H575" s="1310" t="s">
        <v>1495</v>
      </c>
      <c r="I575" s="1310" t="s">
        <v>1446</v>
      </c>
      <c r="J575" s="1310" t="s">
        <v>110</v>
      </c>
      <c r="K575" s="1310" t="s">
        <v>1449</v>
      </c>
      <c r="L575" s="1310" t="s">
        <v>1579</v>
      </c>
      <c r="M575" s="1310" t="s">
        <v>1556</v>
      </c>
      <c r="N575" s="1310" t="s">
        <v>1526</v>
      </c>
      <c r="O575" s="1310" t="s">
        <v>1643</v>
      </c>
      <c r="P575" s="1310" t="s">
        <v>1494</v>
      </c>
      <c r="Q575" s="1310" t="s">
        <v>116</v>
      </c>
      <c r="R575" s="1310" t="s">
        <v>1465</v>
      </c>
      <c r="S575" s="1310" t="s">
        <v>1591</v>
      </c>
      <c r="T575" s="1310" t="s">
        <v>1456</v>
      </c>
      <c r="U575" s="1310" t="s">
        <v>1455</v>
      </c>
      <c r="V575" s="1310" t="s">
        <v>126</v>
      </c>
      <c r="W575" s="1310" t="s">
        <v>1607</v>
      </c>
      <c r="X575" s="1310" t="s">
        <v>1525</v>
      </c>
      <c r="Y575" s="1310" t="s">
        <v>1518</v>
      </c>
      <c r="Z575" s="1310" t="s">
        <v>116</v>
      </c>
      <c r="AA575" s="1310" t="s">
        <v>114</v>
      </c>
      <c r="AB575" s="1310" t="s">
        <v>1450</v>
      </c>
      <c r="AC575" s="1310" t="s">
        <v>1513</v>
      </c>
      <c r="AD575" s="1310" t="s">
        <v>115</v>
      </c>
      <c r="AE575" s="1310" t="s">
        <v>1526</v>
      </c>
      <c r="AF575" s="1310" t="s">
        <v>1581</v>
      </c>
    </row>
    <row r="576" spans="1:32" x14ac:dyDescent="0.3">
      <c r="A576" s="1310" t="s">
        <v>1468</v>
      </c>
      <c r="B576" s="1310" t="s">
        <v>1649</v>
      </c>
      <c r="C576" s="1310" t="s">
        <v>1530</v>
      </c>
      <c r="D576" s="1310" t="s">
        <v>1628</v>
      </c>
      <c r="E576" s="1310" t="s">
        <v>1476</v>
      </c>
      <c r="F576" s="1310" t="s">
        <v>1467</v>
      </c>
      <c r="G576" s="1310" t="s">
        <v>268</v>
      </c>
      <c r="H576" s="1310" t="s">
        <v>1617</v>
      </c>
      <c r="I576" s="1310" t="s">
        <v>263</v>
      </c>
      <c r="J576" s="1310" t="s">
        <v>1644</v>
      </c>
      <c r="K576" s="1310" t="s">
        <v>1553</v>
      </c>
      <c r="L576" s="1310" t="s">
        <v>1576</v>
      </c>
      <c r="M576" s="1310" t="s">
        <v>1650</v>
      </c>
      <c r="N576" s="1310" t="s">
        <v>110</v>
      </c>
      <c r="O576" s="1310" t="s">
        <v>1446</v>
      </c>
      <c r="P576" s="1310" t="s">
        <v>1597</v>
      </c>
      <c r="Q576" s="1310" t="s">
        <v>1453</v>
      </c>
      <c r="R576" s="1310" t="s">
        <v>1644</v>
      </c>
      <c r="S576" s="1310" t="s">
        <v>1553</v>
      </c>
      <c r="T576" s="1310" t="s">
        <v>1651</v>
      </c>
      <c r="U576" s="1310" t="s">
        <v>465</v>
      </c>
      <c r="V576" s="1310" t="s">
        <v>1613</v>
      </c>
      <c r="W576" s="1310" t="s">
        <v>1652</v>
      </c>
      <c r="X576" s="1310" t="s">
        <v>1473</v>
      </c>
      <c r="Y576" s="1310" t="s">
        <v>1598</v>
      </c>
      <c r="Z576" s="1310" t="s">
        <v>1479</v>
      </c>
      <c r="AA576" s="1310" t="s">
        <v>131</v>
      </c>
      <c r="AB576" s="1310" t="s">
        <v>1518</v>
      </c>
      <c r="AC576" s="1310" t="s">
        <v>1473</v>
      </c>
      <c r="AD576" s="1310" t="s">
        <v>1529</v>
      </c>
      <c r="AE576" s="1310" t="s">
        <v>1589</v>
      </c>
      <c r="AF576" s="1310" t="s">
        <v>1658</v>
      </c>
    </row>
    <row r="577" spans="1:32" x14ac:dyDescent="0.3">
      <c r="A577" s="1310" t="s">
        <v>1631</v>
      </c>
      <c r="B577" s="1310" t="s">
        <v>1573</v>
      </c>
      <c r="C577" s="1310" t="s">
        <v>1504</v>
      </c>
      <c r="D577" s="1310" t="s">
        <v>1614</v>
      </c>
      <c r="E577" s="1310" t="s">
        <v>1576</v>
      </c>
      <c r="F577" s="1310" t="s">
        <v>1513</v>
      </c>
      <c r="G577" s="1310" t="s">
        <v>1526</v>
      </c>
      <c r="H577" s="1310" t="s">
        <v>1591</v>
      </c>
      <c r="I577" s="1310" t="s">
        <v>1537</v>
      </c>
      <c r="J577" s="1310" t="s">
        <v>1576</v>
      </c>
      <c r="K577" s="1310" t="s">
        <v>1588</v>
      </c>
      <c r="L577" s="1310" t="s">
        <v>1548</v>
      </c>
      <c r="M577" s="1310" t="s">
        <v>1632</v>
      </c>
      <c r="N577" s="1310" t="s">
        <v>1456</v>
      </c>
      <c r="O577" s="1310" t="s">
        <v>263</v>
      </c>
      <c r="P577" s="1310" t="s">
        <v>1589</v>
      </c>
      <c r="Q577" s="1310" t="s">
        <v>1547</v>
      </c>
      <c r="R577" s="1310" t="s">
        <v>1619</v>
      </c>
      <c r="S577" s="1310" t="s">
        <v>1493</v>
      </c>
      <c r="T577" s="1310" t="s">
        <v>1591</v>
      </c>
      <c r="U577" s="1310" t="s">
        <v>1549</v>
      </c>
      <c r="V577" s="1310" t="s">
        <v>115</v>
      </c>
      <c r="W577" s="1310" t="s">
        <v>1518</v>
      </c>
      <c r="X577" s="1310" t="s">
        <v>1492</v>
      </c>
      <c r="Y577" s="1310" t="s">
        <v>116</v>
      </c>
      <c r="Z577" s="1310" t="s">
        <v>1555</v>
      </c>
      <c r="AA577" s="1310" t="s">
        <v>113</v>
      </c>
      <c r="AB577" s="1310" t="s">
        <v>1475</v>
      </c>
      <c r="AC577" s="1310" t="s">
        <v>1527</v>
      </c>
      <c r="AD577" s="1310" t="s">
        <v>1486</v>
      </c>
      <c r="AE577" s="1310" t="s">
        <v>1449</v>
      </c>
      <c r="AF577" s="1310" t="s">
        <v>1574</v>
      </c>
    </row>
    <row r="578" spans="1:32" x14ac:dyDescent="0.3">
      <c r="A578" s="1310" t="s">
        <v>1461</v>
      </c>
      <c r="B578" s="1310" t="s">
        <v>1595</v>
      </c>
      <c r="C578" s="1310" t="s">
        <v>1461</v>
      </c>
      <c r="D578" s="1310" t="s">
        <v>1444</v>
      </c>
      <c r="E578" s="1310" t="s">
        <v>1453</v>
      </c>
      <c r="F578" s="1310" t="s">
        <v>1539</v>
      </c>
      <c r="G578" s="1310" t="s">
        <v>1640</v>
      </c>
      <c r="H578" s="1310" t="s">
        <v>1484</v>
      </c>
      <c r="I578" s="1310" t="s">
        <v>1448</v>
      </c>
      <c r="J578" s="1310" t="s">
        <v>123</v>
      </c>
      <c r="K578" s="1310" t="s">
        <v>1558</v>
      </c>
      <c r="L578" s="1310" t="s">
        <v>118</v>
      </c>
      <c r="M578" s="1310" t="s">
        <v>1609</v>
      </c>
      <c r="N578" s="1310" t="s">
        <v>1630</v>
      </c>
      <c r="O578" s="1310" t="s">
        <v>1496</v>
      </c>
      <c r="P578" s="1310" t="s">
        <v>1560</v>
      </c>
      <c r="Q578" s="1310" t="s">
        <v>112</v>
      </c>
      <c r="R578" s="1310" t="s">
        <v>125</v>
      </c>
      <c r="S578" s="1310" t="s">
        <v>1505</v>
      </c>
      <c r="T578" s="1310" t="s">
        <v>1631</v>
      </c>
      <c r="U578" s="1310" t="s">
        <v>1630</v>
      </c>
      <c r="V578" s="1310" t="s">
        <v>1619</v>
      </c>
      <c r="W578" s="1310" t="s">
        <v>1659</v>
      </c>
      <c r="X578" s="1310" t="s">
        <v>1610</v>
      </c>
      <c r="Y578" s="1310" t="s">
        <v>1654</v>
      </c>
      <c r="Z578" s="1310" t="s">
        <v>1608</v>
      </c>
      <c r="AA578" s="1310" t="s">
        <v>1533</v>
      </c>
      <c r="AB578" s="1310" t="s">
        <v>1580</v>
      </c>
      <c r="AC578" s="1310" t="s">
        <v>1547</v>
      </c>
      <c r="AD578" s="1310" t="s">
        <v>1586</v>
      </c>
      <c r="AE578" s="1310" t="s">
        <v>1450</v>
      </c>
      <c r="AF578" s="1310" t="s">
        <v>1540</v>
      </c>
    </row>
    <row r="579" spans="1:32" x14ac:dyDescent="0.3">
      <c r="A579" s="1310" t="s">
        <v>1482</v>
      </c>
      <c r="B579" s="1310" t="s">
        <v>126</v>
      </c>
      <c r="C579" s="1310" t="s">
        <v>1548</v>
      </c>
      <c r="D579" s="1310" t="s">
        <v>1649</v>
      </c>
      <c r="E579" s="1310" t="s">
        <v>6</v>
      </c>
      <c r="F579" s="1310" t="s">
        <v>1565</v>
      </c>
      <c r="G579" s="1310" t="s">
        <v>1633</v>
      </c>
      <c r="H579" s="1310" t="s">
        <v>1545</v>
      </c>
      <c r="I579" s="1310" t="s">
        <v>1537</v>
      </c>
      <c r="J579" s="1310" t="s">
        <v>1502</v>
      </c>
      <c r="K579" s="1310" t="s">
        <v>1450</v>
      </c>
      <c r="L579" s="1310" t="s">
        <v>125</v>
      </c>
      <c r="M579" s="1310" t="s">
        <v>1629</v>
      </c>
      <c r="N579" s="1310" t="s">
        <v>1555</v>
      </c>
      <c r="O579" s="1310" t="s">
        <v>112</v>
      </c>
      <c r="P579" s="1310" t="s">
        <v>1608</v>
      </c>
      <c r="Q579" s="1310" t="s">
        <v>1503</v>
      </c>
      <c r="R579" s="1310" t="s">
        <v>1641</v>
      </c>
      <c r="S579" s="1310" t="s">
        <v>1533</v>
      </c>
      <c r="T579" s="1310" t="s">
        <v>1493</v>
      </c>
      <c r="U579" s="1310" t="s">
        <v>268</v>
      </c>
      <c r="V579" s="1310" t="s">
        <v>112</v>
      </c>
      <c r="W579" s="1310" t="s">
        <v>267</v>
      </c>
      <c r="X579" s="1310" t="s">
        <v>1514</v>
      </c>
      <c r="Y579" s="1310" t="s">
        <v>1480</v>
      </c>
      <c r="Z579" s="1310" t="s">
        <v>1467</v>
      </c>
      <c r="AA579" s="1310" t="s">
        <v>1631</v>
      </c>
      <c r="AB579" s="1310" t="s">
        <v>1567</v>
      </c>
      <c r="AC579" s="1310" t="s">
        <v>1480</v>
      </c>
      <c r="AD579" s="1310" t="s">
        <v>1536</v>
      </c>
      <c r="AE579" s="1310" t="s">
        <v>1619</v>
      </c>
      <c r="AF579" s="1310" t="s">
        <v>1521</v>
      </c>
    </row>
    <row r="580" spans="1:32" x14ac:dyDescent="0.3">
      <c r="A580" s="1310" t="s">
        <v>1561</v>
      </c>
      <c r="B580" s="1310" t="s">
        <v>1653</v>
      </c>
      <c r="C580" s="1310" t="s">
        <v>1610</v>
      </c>
      <c r="D580" s="1310" t="s">
        <v>465</v>
      </c>
      <c r="E580" s="1310" t="s">
        <v>1499</v>
      </c>
      <c r="F580" s="1310" t="s">
        <v>1646</v>
      </c>
      <c r="G580" s="1310" t="s">
        <v>1640</v>
      </c>
      <c r="H580" s="1310" t="s">
        <v>1535</v>
      </c>
      <c r="I580" s="1310" t="s">
        <v>1451</v>
      </c>
      <c r="J580" s="1310" t="s">
        <v>1444</v>
      </c>
      <c r="K580" s="1310" t="s">
        <v>1650</v>
      </c>
      <c r="L580" s="1310" t="s">
        <v>1660</v>
      </c>
      <c r="M580" s="1310" t="s">
        <v>1530</v>
      </c>
      <c r="N580" s="1310" t="s">
        <v>1640</v>
      </c>
      <c r="O580" s="1310" t="s">
        <v>1553</v>
      </c>
      <c r="P580" s="1310" t="s">
        <v>1505</v>
      </c>
      <c r="Q580" s="1310" t="s">
        <v>471</v>
      </c>
      <c r="R580" s="1310" t="s">
        <v>6</v>
      </c>
      <c r="S580" s="1310" t="s">
        <v>1631</v>
      </c>
      <c r="T580" s="1310" t="s">
        <v>1516</v>
      </c>
      <c r="U580" s="1310" t="s">
        <v>1496</v>
      </c>
      <c r="V580" s="1310" t="s">
        <v>1449</v>
      </c>
      <c r="W580" s="1310" t="s">
        <v>125</v>
      </c>
      <c r="X580" s="1310" t="s">
        <v>1651</v>
      </c>
      <c r="Y580" s="1310" t="s">
        <v>1660</v>
      </c>
      <c r="Z580" s="1310" t="s">
        <v>1534</v>
      </c>
      <c r="AA580" s="1310" t="s">
        <v>1619</v>
      </c>
      <c r="AB580" s="1310" t="s">
        <v>1555</v>
      </c>
      <c r="AC580" s="1310" t="s">
        <v>1642</v>
      </c>
      <c r="AD580" s="1310" t="s">
        <v>1505</v>
      </c>
      <c r="AE580" s="1310" t="s">
        <v>1564</v>
      </c>
      <c r="AF580" s="1310" t="s">
        <v>1474</v>
      </c>
    </row>
    <row r="581" spans="1:32" x14ac:dyDescent="0.3">
      <c r="A581" s="1310" t="s">
        <v>1547</v>
      </c>
      <c r="B581" s="1310" t="s">
        <v>1537</v>
      </c>
      <c r="C581" s="1310" t="s">
        <v>1464</v>
      </c>
      <c r="D581" s="1310" t="s">
        <v>1535</v>
      </c>
      <c r="E581" s="1310" t="s">
        <v>266</v>
      </c>
      <c r="F581" s="1310" t="s">
        <v>1628</v>
      </c>
      <c r="G581" s="1310" t="s">
        <v>1563</v>
      </c>
      <c r="H581" s="1310" t="s">
        <v>1543</v>
      </c>
      <c r="I581" s="1310" t="s">
        <v>1631</v>
      </c>
      <c r="J581" s="1310" t="s">
        <v>121</v>
      </c>
      <c r="K581" s="1310" t="s">
        <v>1455</v>
      </c>
      <c r="L581" s="1310" t="s">
        <v>1486</v>
      </c>
      <c r="M581" s="1310" t="s">
        <v>1631</v>
      </c>
      <c r="N581" s="1310" t="s">
        <v>1647</v>
      </c>
      <c r="O581" s="1310" t="s">
        <v>1630</v>
      </c>
      <c r="P581" s="1310" t="s">
        <v>1580</v>
      </c>
      <c r="Q581" s="1310" t="s">
        <v>1601</v>
      </c>
      <c r="R581" s="1310" t="s">
        <v>1500</v>
      </c>
      <c r="S581" s="1310" t="s">
        <v>1622</v>
      </c>
      <c r="T581" s="1310" t="s">
        <v>1575</v>
      </c>
      <c r="U581" s="1310" t="s">
        <v>1468</v>
      </c>
      <c r="V581" s="1310" t="s">
        <v>1563</v>
      </c>
      <c r="W581" s="1310" t="s">
        <v>1622</v>
      </c>
      <c r="X581" s="1310" t="s">
        <v>1494</v>
      </c>
      <c r="Y581" s="1310" t="s">
        <v>1504</v>
      </c>
      <c r="Z581" s="1310" t="s">
        <v>1529</v>
      </c>
      <c r="AA581" s="1310" t="s">
        <v>1614</v>
      </c>
      <c r="AB581" s="1310" t="s">
        <v>1643</v>
      </c>
      <c r="AC581" s="1310" t="s">
        <v>1468</v>
      </c>
      <c r="AD581" s="1310" t="s">
        <v>1600</v>
      </c>
      <c r="AE581" s="1310" t="s">
        <v>1481</v>
      </c>
      <c r="AF581" s="1310" t="s">
        <v>1572</v>
      </c>
    </row>
    <row r="582" spans="1:32" x14ac:dyDescent="0.3">
      <c r="A582" s="1310" t="s">
        <v>1447</v>
      </c>
      <c r="B582" s="1310" t="s">
        <v>1527</v>
      </c>
      <c r="C582" s="1310" t="s">
        <v>1489</v>
      </c>
      <c r="D582" s="1310" t="s">
        <v>1467</v>
      </c>
      <c r="E582" s="1310" t="s">
        <v>1497</v>
      </c>
      <c r="F582" s="1310" t="s">
        <v>1646</v>
      </c>
      <c r="G582" s="1310" t="s">
        <v>1503</v>
      </c>
      <c r="H582" s="1310" t="s">
        <v>1027</v>
      </c>
      <c r="I582" s="1310" t="s">
        <v>1649</v>
      </c>
      <c r="J582" s="1310" t="s">
        <v>1606</v>
      </c>
      <c r="K582" s="1310" t="s">
        <v>1511</v>
      </c>
      <c r="L582" s="1310" t="s">
        <v>1608</v>
      </c>
      <c r="M582" s="1310" t="s">
        <v>1646</v>
      </c>
      <c r="N582" s="1310" t="s">
        <v>119</v>
      </c>
      <c r="O582" s="1310" t="s">
        <v>1635</v>
      </c>
      <c r="P582" s="1310" t="s">
        <v>1549</v>
      </c>
      <c r="Q582" s="1310" t="s">
        <v>1644</v>
      </c>
      <c r="R582" s="1310" t="s">
        <v>1632</v>
      </c>
      <c r="S582" s="1310" t="s">
        <v>1600</v>
      </c>
      <c r="T582" s="1310" t="s">
        <v>1509</v>
      </c>
      <c r="U582" s="1310" t="s">
        <v>1554</v>
      </c>
      <c r="V582" s="1310" t="s">
        <v>1452</v>
      </c>
      <c r="W582" s="1310" t="s">
        <v>1621</v>
      </c>
      <c r="X582" s="1310" t="s">
        <v>1541</v>
      </c>
      <c r="Y582" s="1310" t="s">
        <v>1444</v>
      </c>
      <c r="Z582" s="1310" t="s">
        <v>465</v>
      </c>
      <c r="AA582" s="1310" t="s">
        <v>114</v>
      </c>
      <c r="AB582" s="1310" t="s">
        <v>1488</v>
      </c>
      <c r="AC582" s="1310" t="s">
        <v>1455</v>
      </c>
      <c r="AD582" s="1310" t="s">
        <v>1635</v>
      </c>
      <c r="AE582" s="1310" t="s">
        <v>1549</v>
      </c>
      <c r="AF582" s="1310" t="s">
        <v>1644</v>
      </c>
    </row>
    <row r="583" spans="1:32" x14ac:dyDescent="0.3">
      <c r="A583" s="1310" t="s">
        <v>1632</v>
      </c>
      <c r="B583" s="1310" t="s">
        <v>1600</v>
      </c>
      <c r="C583" s="1310" t="s">
        <v>1509</v>
      </c>
      <c r="D583" s="1310" t="s">
        <v>1554</v>
      </c>
      <c r="E583" s="1310" t="s">
        <v>1452</v>
      </c>
      <c r="F583" s="1310" t="s">
        <v>1621</v>
      </c>
      <c r="G583" s="1310" t="s">
        <v>1541</v>
      </c>
      <c r="H583" s="1310" t="s">
        <v>1444</v>
      </c>
      <c r="I583" s="1310" t="s">
        <v>465</v>
      </c>
      <c r="J583" s="1310" t="s">
        <v>114</v>
      </c>
      <c r="K583" s="1310" t="s">
        <v>1488</v>
      </c>
      <c r="L583" s="1310" t="s">
        <v>1443</v>
      </c>
      <c r="M583" s="1310" t="s">
        <v>122</v>
      </c>
      <c r="N583" s="1310" t="s">
        <v>1571</v>
      </c>
      <c r="O583" s="1310" t="s">
        <v>1562</v>
      </c>
      <c r="P583" s="1310" t="s">
        <v>1452</v>
      </c>
      <c r="Q583" s="1310" t="s">
        <v>1621</v>
      </c>
      <c r="R583" s="1310" t="s">
        <v>1541</v>
      </c>
      <c r="S583" s="1310" t="s">
        <v>1444</v>
      </c>
      <c r="T583" s="1310" t="s">
        <v>465</v>
      </c>
      <c r="U583" s="1310" t="s">
        <v>114</v>
      </c>
      <c r="V583" s="1310" t="s">
        <v>1488</v>
      </c>
      <c r="W583" s="1310" t="s">
        <v>1455</v>
      </c>
      <c r="X583" s="1310" t="s">
        <v>1635</v>
      </c>
      <c r="Y583" s="1310" t="s">
        <v>1549</v>
      </c>
      <c r="Z583" s="1310" t="s">
        <v>1644</v>
      </c>
      <c r="AA583" s="1310" t="s">
        <v>1632</v>
      </c>
      <c r="AB583" s="1310" t="s">
        <v>1600</v>
      </c>
      <c r="AC583" s="1310" t="s">
        <v>1509</v>
      </c>
      <c r="AD583" s="1310" t="s">
        <v>1554</v>
      </c>
      <c r="AE583" s="1310" t="s">
        <v>1452</v>
      </c>
      <c r="AF583" s="1310" t="s">
        <v>1621</v>
      </c>
    </row>
    <row r="584" spans="1:32" x14ac:dyDescent="0.3">
      <c r="A584" s="1310" t="s">
        <v>1541</v>
      </c>
      <c r="B584" s="1310" t="s">
        <v>1444</v>
      </c>
      <c r="C584" s="1310" t="s">
        <v>465</v>
      </c>
      <c r="D584" s="1310" t="s">
        <v>114</v>
      </c>
      <c r="E584" s="1310" t="s">
        <v>1488</v>
      </c>
      <c r="F584" s="1310" t="s">
        <v>1455</v>
      </c>
      <c r="G584" s="1310" t="s">
        <v>1635</v>
      </c>
      <c r="H584" s="1310" t="s">
        <v>1549</v>
      </c>
      <c r="I584" s="1310" t="s">
        <v>1644</v>
      </c>
      <c r="J584" s="1310" t="s">
        <v>1632</v>
      </c>
      <c r="K584" s="1310" t="s">
        <v>1600</v>
      </c>
      <c r="L584" s="1310" t="s">
        <v>1509</v>
      </c>
      <c r="M584" s="1310" t="s">
        <v>1554</v>
      </c>
      <c r="N584" s="1310" t="s">
        <v>1452</v>
      </c>
      <c r="O584" s="1310" t="s">
        <v>1622</v>
      </c>
      <c r="P584" s="1310" t="s">
        <v>1567</v>
      </c>
      <c r="Q584" s="1310" t="s">
        <v>1636</v>
      </c>
      <c r="R584" s="1310" t="s">
        <v>1480</v>
      </c>
      <c r="S584" s="1310" t="s">
        <v>1480</v>
      </c>
      <c r="T584" s="1310" t="s">
        <v>1601</v>
      </c>
      <c r="U584" s="1310" t="s">
        <v>1525</v>
      </c>
      <c r="V584" s="1310" t="s">
        <v>1637</v>
      </c>
      <c r="W584" s="1310" t="s">
        <v>1517</v>
      </c>
      <c r="X584" s="1310" t="s">
        <v>1529</v>
      </c>
      <c r="Y584" s="1310" t="s">
        <v>1569</v>
      </c>
      <c r="Z584" s="1310" t="s">
        <v>1581</v>
      </c>
      <c r="AA584" s="1310" t="s">
        <v>1479</v>
      </c>
      <c r="AB584" s="1310" t="s">
        <v>1461</v>
      </c>
      <c r="AC584" s="1310" t="s">
        <v>1521</v>
      </c>
      <c r="AD584" s="1310" t="s">
        <v>471</v>
      </c>
      <c r="AE584" s="1310" t="s">
        <v>1560</v>
      </c>
      <c r="AF584" s="1310" t="s">
        <v>1561</v>
      </c>
    </row>
    <row r="585" spans="1:32" x14ac:dyDescent="0.3">
      <c r="A585" s="1310" t="s">
        <v>1653</v>
      </c>
      <c r="B585" s="1310" t="s">
        <v>1528</v>
      </c>
      <c r="C585" s="1310" t="s">
        <v>1592</v>
      </c>
      <c r="D585" s="1310" t="s">
        <v>117</v>
      </c>
      <c r="E585" s="1310" t="s">
        <v>1654</v>
      </c>
      <c r="F585" s="1310" t="s">
        <v>264</v>
      </c>
      <c r="G585" s="1310" t="s">
        <v>1445</v>
      </c>
      <c r="H585" s="1310" t="s">
        <v>115</v>
      </c>
      <c r="I585" s="1310" t="s">
        <v>1639</v>
      </c>
      <c r="J585" s="1310" t="s">
        <v>1550</v>
      </c>
      <c r="K585" s="1310" t="s">
        <v>1511</v>
      </c>
      <c r="L585" s="1310" t="s">
        <v>1467</v>
      </c>
      <c r="M585" s="1310" t="s">
        <v>1575</v>
      </c>
      <c r="N585" s="1310" t="s">
        <v>1486</v>
      </c>
      <c r="O585" s="1310" t="s">
        <v>133</v>
      </c>
      <c r="P585" s="1310" t="s">
        <v>1612</v>
      </c>
      <c r="Q585" s="1310" t="s">
        <v>1638</v>
      </c>
      <c r="R585" s="1310" t="s">
        <v>120</v>
      </c>
      <c r="S585" s="1310" t="s">
        <v>1487</v>
      </c>
      <c r="T585" s="1310" t="s">
        <v>131</v>
      </c>
      <c r="U585" s="1310" t="s">
        <v>1556</v>
      </c>
      <c r="V585" s="1310" t="s">
        <v>1520</v>
      </c>
      <c r="W585" s="1310" t="s">
        <v>1630</v>
      </c>
      <c r="X585" s="1310" t="s">
        <v>1496</v>
      </c>
      <c r="Y585" s="1310" t="s">
        <v>1477</v>
      </c>
      <c r="Z585" s="1310" t="s">
        <v>1541</v>
      </c>
      <c r="AA585" s="1310" t="s">
        <v>1565</v>
      </c>
      <c r="AB585" s="1310" t="s">
        <v>1482</v>
      </c>
      <c r="AC585" s="1310" t="s">
        <v>1570</v>
      </c>
      <c r="AD585" s="1310" t="s">
        <v>1552</v>
      </c>
      <c r="AE585" s="1310" t="s">
        <v>1530</v>
      </c>
      <c r="AF585" s="1310" t="s">
        <v>1474</v>
      </c>
    </row>
    <row r="586" spans="1:32" x14ac:dyDescent="0.3">
      <c r="A586" s="1310" t="s">
        <v>1593</v>
      </c>
      <c r="B586" s="1310" t="s">
        <v>1610</v>
      </c>
      <c r="C586" s="1310" t="s">
        <v>1614</v>
      </c>
      <c r="D586" s="1310" t="s">
        <v>1546</v>
      </c>
      <c r="E586" s="1310" t="s">
        <v>1611</v>
      </c>
      <c r="F586" s="1310" t="s">
        <v>1489</v>
      </c>
      <c r="G586" s="1310" t="s">
        <v>1451</v>
      </c>
      <c r="H586" s="1310" t="s">
        <v>1655</v>
      </c>
      <c r="I586" s="1310" t="s">
        <v>1494</v>
      </c>
      <c r="J586" s="1310" t="s">
        <v>1593</v>
      </c>
      <c r="K586" s="1310" t="s">
        <v>1569</v>
      </c>
      <c r="L586" s="1310" t="s">
        <v>128</v>
      </c>
      <c r="M586" s="1310" t="s">
        <v>1480</v>
      </c>
      <c r="N586" s="1310" t="s">
        <v>1582</v>
      </c>
      <c r="O586" s="1310" t="s">
        <v>1613</v>
      </c>
      <c r="P586" s="1310" t="s">
        <v>1569</v>
      </c>
      <c r="Q586" s="1310" t="s">
        <v>1551</v>
      </c>
      <c r="R586" s="1310" t="s">
        <v>465</v>
      </c>
      <c r="S586" s="1310" t="s">
        <v>1457</v>
      </c>
      <c r="T586" s="1310" t="s">
        <v>1452</v>
      </c>
      <c r="U586" s="1310" t="s">
        <v>1483</v>
      </c>
      <c r="V586" s="1310" t="s">
        <v>1594</v>
      </c>
      <c r="W586" s="1310" t="s">
        <v>1623</v>
      </c>
      <c r="X586" s="1310" t="s">
        <v>1635</v>
      </c>
      <c r="Y586" s="1310" t="s">
        <v>1646</v>
      </c>
      <c r="Z586" s="1310" t="s">
        <v>1602</v>
      </c>
      <c r="AA586" s="1310" t="s">
        <v>1450</v>
      </c>
      <c r="AB586" s="1310" t="s">
        <v>133</v>
      </c>
      <c r="AC586" s="1310" t="s">
        <v>1587</v>
      </c>
      <c r="AD586" s="1310" t="s">
        <v>1491</v>
      </c>
      <c r="AE586" s="1310" t="s">
        <v>1454</v>
      </c>
      <c r="AF586" s="1310" t="s">
        <v>1543</v>
      </c>
    </row>
    <row r="587" spans="1:32" x14ac:dyDescent="0.3">
      <c r="A587" s="1310" t="s">
        <v>1494</v>
      </c>
      <c r="B587" s="1310" t="s">
        <v>1529</v>
      </c>
      <c r="C587" s="1310" t="s">
        <v>1640</v>
      </c>
      <c r="D587" s="1310" t="s">
        <v>1654</v>
      </c>
      <c r="E587" s="1310" t="s">
        <v>1466</v>
      </c>
      <c r="F587" s="1310" t="s">
        <v>1495</v>
      </c>
      <c r="G587" s="1310" t="s">
        <v>1583</v>
      </c>
      <c r="H587" s="1310" t="s">
        <v>1554</v>
      </c>
      <c r="I587" s="1310" t="s">
        <v>117</v>
      </c>
      <c r="J587" s="1310" t="s">
        <v>1502</v>
      </c>
      <c r="K587" s="1310" t="s">
        <v>1546</v>
      </c>
      <c r="L587" s="1310" t="s">
        <v>127</v>
      </c>
      <c r="M587" s="1310" t="s">
        <v>1618</v>
      </c>
      <c r="N587" s="1310" t="s">
        <v>113</v>
      </c>
      <c r="O587" s="1310" t="s">
        <v>1465</v>
      </c>
      <c r="P587" s="1310" t="s">
        <v>1645</v>
      </c>
      <c r="Q587" s="1310" t="s">
        <v>1459</v>
      </c>
      <c r="R587" s="1310" t="s">
        <v>1623</v>
      </c>
      <c r="S587" s="1310" t="s">
        <v>1565</v>
      </c>
      <c r="T587" s="1310" t="s">
        <v>1601</v>
      </c>
      <c r="U587" s="1310" t="s">
        <v>1565</v>
      </c>
      <c r="V587" s="1310" t="s">
        <v>1563</v>
      </c>
      <c r="W587" s="1310" t="s">
        <v>1640</v>
      </c>
      <c r="X587" s="1310" t="s">
        <v>1559</v>
      </c>
      <c r="Y587" s="1310" t="s">
        <v>1646</v>
      </c>
      <c r="Z587" s="1310" t="s">
        <v>1549</v>
      </c>
      <c r="AA587" s="1310" t="s">
        <v>1660</v>
      </c>
      <c r="AB587" s="1310" t="s">
        <v>1617</v>
      </c>
      <c r="AC587" s="1310" t="s">
        <v>1550</v>
      </c>
      <c r="AD587" s="1310" t="s">
        <v>1636</v>
      </c>
      <c r="AE587" s="1310" t="s">
        <v>1629</v>
      </c>
      <c r="AF587" s="1310" t="s">
        <v>133</v>
      </c>
    </row>
    <row r="588" spans="1:32" x14ac:dyDescent="0.3">
      <c r="A588" s="1310" t="s">
        <v>1613</v>
      </c>
      <c r="B588" s="1310" t="s">
        <v>1607</v>
      </c>
      <c r="C588" s="1310" t="s">
        <v>1496</v>
      </c>
      <c r="D588" s="1310" t="s">
        <v>1656</v>
      </c>
      <c r="E588" s="1310" t="s">
        <v>1473</v>
      </c>
      <c r="F588" s="1310" t="s">
        <v>1447</v>
      </c>
      <c r="G588" s="1310" t="s">
        <v>1503</v>
      </c>
      <c r="H588" s="1310" t="s">
        <v>1575</v>
      </c>
      <c r="I588" s="1310" t="s">
        <v>1562</v>
      </c>
      <c r="J588" s="1310" t="s">
        <v>1646</v>
      </c>
      <c r="K588" s="1310" t="s">
        <v>1618</v>
      </c>
      <c r="L588" s="1310" t="s">
        <v>1587</v>
      </c>
      <c r="M588" s="1310" t="s">
        <v>1525</v>
      </c>
      <c r="N588" s="1310" t="s">
        <v>1545</v>
      </c>
      <c r="O588" s="1310" t="s">
        <v>1535</v>
      </c>
      <c r="P588" s="1310" t="s">
        <v>264</v>
      </c>
      <c r="Q588" s="1310" t="s">
        <v>1628</v>
      </c>
      <c r="R588" s="1310" t="s">
        <v>1542</v>
      </c>
      <c r="S588" s="1310" t="s">
        <v>1631</v>
      </c>
      <c r="T588" s="1310" t="s">
        <v>122</v>
      </c>
      <c r="U588" s="1310" t="s">
        <v>125</v>
      </c>
      <c r="V588" s="1310" t="s">
        <v>1521</v>
      </c>
      <c r="W588" s="1310" t="s">
        <v>1615</v>
      </c>
      <c r="X588" s="1310" t="s">
        <v>1501</v>
      </c>
      <c r="Y588" s="1310" t="s">
        <v>1540</v>
      </c>
      <c r="Z588" s="1310" t="s">
        <v>1505</v>
      </c>
      <c r="AA588" s="1310" t="s">
        <v>1648</v>
      </c>
      <c r="AB588" s="1310" t="s">
        <v>1656</v>
      </c>
      <c r="AC588" s="1310" t="s">
        <v>1560</v>
      </c>
      <c r="AD588" s="1310" t="s">
        <v>1650</v>
      </c>
      <c r="AE588" s="1310" t="s">
        <v>117</v>
      </c>
      <c r="AF588" s="1310" t="s">
        <v>119</v>
      </c>
    </row>
    <row r="589" spans="1:32" x14ac:dyDescent="0.3">
      <c r="A589" s="1310" t="s">
        <v>1452</v>
      </c>
      <c r="B589" s="1310" t="s">
        <v>1589</v>
      </c>
      <c r="C589" s="1310" t="s">
        <v>1541</v>
      </c>
      <c r="D589" s="1310" t="s">
        <v>1496</v>
      </c>
      <c r="E589" s="1310" t="s">
        <v>1659</v>
      </c>
      <c r="F589" s="1310" t="s">
        <v>262</v>
      </c>
      <c r="G589" s="1310" t="s">
        <v>1658</v>
      </c>
      <c r="H589" s="1310" t="s">
        <v>1565</v>
      </c>
      <c r="I589" s="1310" t="s">
        <v>1509</v>
      </c>
      <c r="J589" s="1310" t="s">
        <v>1610</v>
      </c>
      <c r="K589" s="1310" t="s">
        <v>1570</v>
      </c>
      <c r="L589" s="1310" t="s">
        <v>1565</v>
      </c>
      <c r="M589" s="1310" t="s">
        <v>1447</v>
      </c>
      <c r="N589" s="1310" t="s">
        <v>1521</v>
      </c>
      <c r="O589" s="1310" t="s">
        <v>1651</v>
      </c>
      <c r="P589" s="1310" t="s">
        <v>1541</v>
      </c>
      <c r="Q589" s="1310" t="s">
        <v>1496</v>
      </c>
      <c r="R589" s="1310" t="s">
        <v>1533</v>
      </c>
      <c r="S589" s="1310" t="s">
        <v>1472</v>
      </c>
      <c r="T589" s="1310" t="s">
        <v>1574</v>
      </c>
      <c r="U589" s="1310" t="s">
        <v>1500</v>
      </c>
      <c r="V589" s="1310" t="s">
        <v>1452</v>
      </c>
      <c r="W589" s="1310" t="s">
        <v>1583</v>
      </c>
      <c r="X589" s="1310" t="s">
        <v>1460</v>
      </c>
      <c r="Y589" s="1310" t="s">
        <v>1512</v>
      </c>
      <c r="Z589" s="1310" t="s">
        <v>1522</v>
      </c>
      <c r="AA589" s="1310" t="s">
        <v>1514</v>
      </c>
      <c r="AB589" s="1310" t="s">
        <v>1027</v>
      </c>
      <c r="AC589" s="1310" t="s">
        <v>1540</v>
      </c>
      <c r="AD589" s="1310" t="s">
        <v>1648</v>
      </c>
      <c r="AE589" s="1310" t="s">
        <v>1518</v>
      </c>
      <c r="AF589" s="1310" t="s">
        <v>1574</v>
      </c>
    </row>
    <row r="590" spans="1:32" x14ac:dyDescent="0.3">
      <c r="A590" s="1310" t="s">
        <v>1558</v>
      </c>
      <c r="B590" s="1310" t="s">
        <v>1452</v>
      </c>
      <c r="C590" s="1310" t="s">
        <v>131</v>
      </c>
      <c r="D590" s="1310" t="s">
        <v>1645</v>
      </c>
      <c r="E590" s="1310" t="s">
        <v>1487</v>
      </c>
      <c r="F590" s="1310" t="s">
        <v>1545</v>
      </c>
      <c r="G590" s="1310" t="s">
        <v>465</v>
      </c>
      <c r="H590" s="1310" t="s">
        <v>126</v>
      </c>
      <c r="I590" s="1310" t="s">
        <v>1583</v>
      </c>
      <c r="J590" s="1310" t="s">
        <v>1485</v>
      </c>
      <c r="K590" s="1310" t="s">
        <v>1550</v>
      </c>
      <c r="L590" s="1310" t="s">
        <v>1591</v>
      </c>
      <c r="M590" s="1310" t="s">
        <v>1553</v>
      </c>
      <c r="N590" s="1310" t="s">
        <v>1549</v>
      </c>
      <c r="O590" s="1310" t="s">
        <v>1588</v>
      </c>
      <c r="P590" s="1310" t="s">
        <v>1549</v>
      </c>
      <c r="Q590" s="1310" t="s">
        <v>1568</v>
      </c>
      <c r="R590" s="1310" t="s">
        <v>1530</v>
      </c>
      <c r="S590" s="1310" t="s">
        <v>1632</v>
      </c>
      <c r="T590" s="1310" t="s">
        <v>110</v>
      </c>
      <c r="U590" s="1310" t="s">
        <v>130</v>
      </c>
      <c r="V590" s="1310" t="s">
        <v>1541</v>
      </c>
      <c r="W590" s="1310" t="s">
        <v>1596</v>
      </c>
      <c r="X590" s="1310" t="s">
        <v>1580</v>
      </c>
      <c r="Y590" s="1310" t="s">
        <v>117</v>
      </c>
      <c r="Z590" s="1310" t="s">
        <v>1461</v>
      </c>
      <c r="AA590" s="1310" t="s">
        <v>266</v>
      </c>
      <c r="AB590" s="1310" t="s">
        <v>1625</v>
      </c>
      <c r="AC590" s="1310" t="s">
        <v>1565</v>
      </c>
      <c r="AD590" s="1310" t="s">
        <v>1451</v>
      </c>
      <c r="AE590" s="1310" t="s">
        <v>1499</v>
      </c>
      <c r="AF590" s="1310" t="s">
        <v>1544</v>
      </c>
    </row>
    <row r="591" spans="1:32" x14ac:dyDescent="0.3">
      <c r="A591" s="1310" t="s">
        <v>1498</v>
      </c>
      <c r="B591" s="1310" t="s">
        <v>1476</v>
      </c>
      <c r="C591" s="1310" t="s">
        <v>116</v>
      </c>
      <c r="D591" s="1310" t="s">
        <v>1623</v>
      </c>
      <c r="E591" s="1310" t="s">
        <v>1518</v>
      </c>
      <c r="F591" s="1310" t="s">
        <v>1567</v>
      </c>
      <c r="G591" s="1310" t="s">
        <v>1576</v>
      </c>
      <c r="H591" s="1310" t="s">
        <v>1559</v>
      </c>
      <c r="I591" s="1310" t="s">
        <v>1544</v>
      </c>
      <c r="J591" s="1310" t="s">
        <v>1576</v>
      </c>
      <c r="K591" s="1310" t="s">
        <v>1651</v>
      </c>
      <c r="L591" s="1310" t="s">
        <v>1545</v>
      </c>
      <c r="M591" s="1310" t="s">
        <v>1594</v>
      </c>
      <c r="N591" s="1310" t="s">
        <v>1448</v>
      </c>
      <c r="O591" s="1310" t="s">
        <v>1583</v>
      </c>
      <c r="P591" s="1310" t="s">
        <v>1536</v>
      </c>
      <c r="Q591" s="1310" t="s">
        <v>1597</v>
      </c>
      <c r="R591" s="1310" t="s">
        <v>1472</v>
      </c>
      <c r="S591" s="1310" t="s">
        <v>1584</v>
      </c>
      <c r="T591" s="1310" t="s">
        <v>1616</v>
      </c>
      <c r="U591" s="1310" t="s">
        <v>1607</v>
      </c>
      <c r="V591" s="1310" t="s">
        <v>1526</v>
      </c>
      <c r="W591" s="1310" t="s">
        <v>1648</v>
      </c>
      <c r="X591" s="1310" t="s">
        <v>1637</v>
      </c>
      <c r="Y591" s="1310" t="s">
        <v>1558</v>
      </c>
      <c r="Z591" s="1310" t="s">
        <v>1507</v>
      </c>
      <c r="AA591" s="1310" t="s">
        <v>1540</v>
      </c>
      <c r="AB591" s="1310" t="s">
        <v>1594</v>
      </c>
      <c r="AC591" s="1310" t="s">
        <v>1607</v>
      </c>
      <c r="AD591" s="1310" t="s">
        <v>1526</v>
      </c>
      <c r="AE591" s="1310" t="s">
        <v>1526</v>
      </c>
      <c r="AF591" s="1310" t="s">
        <v>131</v>
      </c>
    </row>
    <row r="592" spans="1:32" x14ac:dyDescent="0.3">
      <c r="A592" s="1310" t="s">
        <v>1538</v>
      </c>
      <c r="B592" s="1310" t="s">
        <v>1658</v>
      </c>
      <c r="C592" s="1310" t="s">
        <v>117</v>
      </c>
      <c r="D592" s="1310" t="s">
        <v>267</v>
      </c>
      <c r="E592" s="1310" t="s">
        <v>1573</v>
      </c>
      <c r="F592" s="1310" t="s">
        <v>1544</v>
      </c>
      <c r="G592" s="1310" t="s">
        <v>1547</v>
      </c>
      <c r="H592" s="1310" t="s">
        <v>1485</v>
      </c>
      <c r="I592" s="1310" t="s">
        <v>1535</v>
      </c>
      <c r="J592" s="1310" t="s">
        <v>113</v>
      </c>
      <c r="K592" s="1310" t="s">
        <v>1551</v>
      </c>
      <c r="L592" s="1310" t="s">
        <v>110</v>
      </c>
      <c r="M592" s="1310" t="s">
        <v>1569</v>
      </c>
      <c r="N592" s="1310" t="s">
        <v>1573</v>
      </c>
      <c r="O592" s="1310" t="s">
        <v>270</v>
      </c>
      <c r="P592" s="1310" t="s">
        <v>129</v>
      </c>
      <c r="Q592" s="1310" t="s">
        <v>1537</v>
      </c>
      <c r="R592" s="1310" t="s">
        <v>1545</v>
      </c>
      <c r="S592" s="1310" t="s">
        <v>1591</v>
      </c>
      <c r="T592" s="1310" t="s">
        <v>1541</v>
      </c>
      <c r="U592" s="1310" t="s">
        <v>1515</v>
      </c>
      <c r="V592" s="1310" t="s">
        <v>1470</v>
      </c>
      <c r="W592" s="1310" t="s">
        <v>266</v>
      </c>
      <c r="X592" s="1310" t="s">
        <v>115</v>
      </c>
      <c r="Y592" s="1310" t="s">
        <v>262</v>
      </c>
      <c r="Z592" s="1310" t="s">
        <v>1509</v>
      </c>
      <c r="AA592" s="1310" t="s">
        <v>1509</v>
      </c>
      <c r="AB592" s="1310" t="s">
        <v>1591</v>
      </c>
      <c r="AC592" s="1310" t="s">
        <v>1627</v>
      </c>
      <c r="AD592" s="1310" t="s">
        <v>115</v>
      </c>
      <c r="AE592" s="1310" t="s">
        <v>268</v>
      </c>
      <c r="AF592" s="1310" t="s">
        <v>1451</v>
      </c>
    </row>
    <row r="593" spans="1:32" x14ac:dyDescent="0.3">
      <c r="A593" s="1310" t="s">
        <v>111</v>
      </c>
      <c r="B593" s="1310" t="s">
        <v>1490</v>
      </c>
      <c r="C593" s="1310" t="s">
        <v>1595</v>
      </c>
      <c r="D593" s="1310" t="s">
        <v>1587</v>
      </c>
      <c r="E593" s="1310" t="s">
        <v>1522</v>
      </c>
      <c r="F593" s="1310" t="s">
        <v>1457</v>
      </c>
      <c r="G593" s="1310" t="s">
        <v>1483</v>
      </c>
      <c r="H593" s="1310" t="s">
        <v>1546</v>
      </c>
      <c r="I593" s="1310" t="s">
        <v>1652</v>
      </c>
      <c r="J593" s="1310" t="s">
        <v>1483</v>
      </c>
      <c r="K593" s="1310" t="s">
        <v>130</v>
      </c>
      <c r="L593" s="1310" t="s">
        <v>1559</v>
      </c>
      <c r="M593" s="1310" t="s">
        <v>1646</v>
      </c>
      <c r="N593" s="1310" t="s">
        <v>1572</v>
      </c>
      <c r="O593" s="1310" t="s">
        <v>1579</v>
      </c>
      <c r="P593" s="1310" t="s">
        <v>1473</v>
      </c>
      <c r="Q593" s="1310" t="s">
        <v>123</v>
      </c>
      <c r="R593" s="1310" t="s">
        <v>125</v>
      </c>
      <c r="S593" s="1310" t="s">
        <v>1648</v>
      </c>
      <c r="T593" s="1310" t="s">
        <v>1599</v>
      </c>
      <c r="U593" s="1310" t="s">
        <v>1551</v>
      </c>
      <c r="V593" s="1310" t="s">
        <v>1480</v>
      </c>
      <c r="W593" s="1310" t="s">
        <v>1518</v>
      </c>
      <c r="X593" s="1310" t="s">
        <v>1545</v>
      </c>
      <c r="Y593" s="1310" t="s">
        <v>1627</v>
      </c>
      <c r="Z593" s="1310" t="s">
        <v>117</v>
      </c>
      <c r="AA593" s="1310" t="s">
        <v>121</v>
      </c>
      <c r="AB593" s="1310" t="s">
        <v>1643</v>
      </c>
      <c r="AC593" s="1310" t="s">
        <v>1566</v>
      </c>
      <c r="AD593" s="1310" t="s">
        <v>120</v>
      </c>
      <c r="AE593" s="1310" t="s">
        <v>1606</v>
      </c>
      <c r="AF593" s="1310" t="s">
        <v>1597</v>
      </c>
    </row>
    <row r="594" spans="1:32" x14ac:dyDescent="0.3">
      <c r="A594" s="1310" t="s">
        <v>1492</v>
      </c>
      <c r="B594" s="1310" t="s">
        <v>1504</v>
      </c>
      <c r="C594" s="1310" t="s">
        <v>1647</v>
      </c>
      <c r="D594" s="1310" t="s">
        <v>1627</v>
      </c>
      <c r="E594" s="1310" t="s">
        <v>1491</v>
      </c>
      <c r="F594" s="1310" t="s">
        <v>1483</v>
      </c>
      <c r="G594" s="1310" t="s">
        <v>1533</v>
      </c>
      <c r="H594" s="1310" t="s">
        <v>1590</v>
      </c>
      <c r="I594" s="1310" t="s">
        <v>1472</v>
      </c>
      <c r="J594" s="1310" t="s">
        <v>1562</v>
      </c>
      <c r="K594" s="1310" t="s">
        <v>1480</v>
      </c>
      <c r="L594" s="1310" t="s">
        <v>1467</v>
      </c>
      <c r="M594" s="1310" t="s">
        <v>1659</v>
      </c>
      <c r="N594" s="1310" t="s">
        <v>1565</v>
      </c>
      <c r="O594" s="1310" t="s">
        <v>1532</v>
      </c>
      <c r="P594" s="1310" t="s">
        <v>1590</v>
      </c>
      <c r="Q594" s="1310" t="s">
        <v>1651</v>
      </c>
      <c r="R594" s="1310" t="s">
        <v>124</v>
      </c>
      <c r="S594" s="1310" t="s">
        <v>1572</v>
      </c>
      <c r="T594" s="1310" t="s">
        <v>1474</v>
      </c>
      <c r="U594" s="1310" t="s">
        <v>266</v>
      </c>
      <c r="V594" s="1310" t="s">
        <v>1618</v>
      </c>
      <c r="W594" s="1310" t="s">
        <v>1473</v>
      </c>
      <c r="X594" s="1310" t="s">
        <v>268</v>
      </c>
      <c r="Y594" s="1310" t="s">
        <v>1547</v>
      </c>
      <c r="Z594" s="1310" t="s">
        <v>1607</v>
      </c>
      <c r="AA594" s="1310" t="s">
        <v>1555</v>
      </c>
      <c r="AB594" s="1310" t="s">
        <v>1649</v>
      </c>
      <c r="AC594" s="1310" t="s">
        <v>1595</v>
      </c>
      <c r="AD594" s="1310" t="s">
        <v>1596</v>
      </c>
      <c r="AE594" s="1310" t="s">
        <v>1583</v>
      </c>
      <c r="AF594" s="1310" t="s">
        <v>268</v>
      </c>
    </row>
    <row r="595" spans="1:32" x14ac:dyDescent="0.3">
      <c r="A595" s="1310" t="s">
        <v>1630</v>
      </c>
      <c r="B595" s="1310" t="s">
        <v>1448</v>
      </c>
      <c r="C595" s="1310" t="s">
        <v>1521</v>
      </c>
      <c r="D595" s="1310" t="s">
        <v>1620</v>
      </c>
      <c r="E595" s="1310" t="s">
        <v>1479</v>
      </c>
      <c r="F595" s="1310" t="s">
        <v>6</v>
      </c>
      <c r="G595" s="1310" t="s">
        <v>1630</v>
      </c>
      <c r="H595" s="1310" t="s">
        <v>1548</v>
      </c>
      <c r="I595" s="1310" t="s">
        <v>117</v>
      </c>
      <c r="J595" s="1310" t="s">
        <v>1474</v>
      </c>
      <c r="K595" s="1310" t="s">
        <v>1493</v>
      </c>
      <c r="L595" s="1310" t="s">
        <v>1607</v>
      </c>
      <c r="M595" s="1310" t="s">
        <v>1524</v>
      </c>
      <c r="N595" s="1310" t="s">
        <v>1447</v>
      </c>
      <c r="O595" s="1310" t="s">
        <v>113</v>
      </c>
      <c r="P595" s="1310" t="s">
        <v>1582</v>
      </c>
      <c r="Q595" s="1310" t="s">
        <v>116</v>
      </c>
      <c r="R595" s="1310" t="s">
        <v>1454</v>
      </c>
      <c r="S595" s="1310" t="s">
        <v>1450</v>
      </c>
      <c r="T595" s="1310" t="s">
        <v>1573</v>
      </c>
      <c r="U595" s="1310" t="s">
        <v>1495</v>
      </c>
      <c r="V595" s="1310" t="s">
        <v>1598</v>
      </c>
      <c r="W595" s="1310" t="s">
        <v>116</v>
      </c>
      <c r="X595" s="1310" t="s">
        <v>1485</v>
      </c>
      <c r="Y595" s="1310" t="s">
        <v>1504</v>
      </c>
      <c r="Z595" s="1310" t="s">
        <v>1530</v>
      </c>
      <c r="AA595" s="1310" t="s">
        <v>1515</v>
      </c>
      <c r="AB595" s="1310" t="s">
        <v>1450</v>
      </c>
      <c r="AC595" s="1310" t="s">
        <v>1561</v>
      </c>
      <c r="AD595" s="1310" t="s">
        <v>1576</v>
      </c>
      <c r="AE595" s="1310" t="s">
        <v>1650</v>
      </c>
      <c r="AF595" s="1310" t="s">
        <v>1448</v>
      </c>
    </row>
    <row r="596" spans="1:32" x14ac:dyDescent="0.3">
      <c r="A596" s="1310" t="s">
        <v>1444</v>
      </c>
      <c r="B596" s="1310" t="s">
        <v>1614</v>
      </c>
      <c r="C596" s="1310" t="s">
        <v>1468</v>
      </c>
      <c r="D596" s="1310" t="s">
        <v>126</v>
      </c>
      <c r="E596" s="1310" t="s">
        <v>1568</v>
      </c>
      <c r="F596" s="1310" t="s">
        <v>1523</v>
      </c>
      <c r="G596" s="1310" t="s">
        <v>1570</v>
      </c>
      <c r="H596" s="1310" t="s">
        <v>1468</v>
      </c>
      <c r="I596" s="1310" t="s">
        <v>1650</v>
      </c>
      <c r="J596" s="1310" t="s">
        <v>1468</v>
      </c>
      <c r="K596" s="1310" t="s">
        <v>1640</v>
      </c>
      <c r="L596" s="1310" t="s">
        <v>124</v>
      </c>
      <c r="M596" s="1310" t="s">
        <v>1580</v>
      </c>
      <c r="N596" s="1310" t="s">
        <v>1493</v>
      </c>
      <c r="O596" s="1310" t="s">
        <v>1548</v>
      </c>
      <c r="P596" s="1310" t="s">
        <v>1505</v>
      </c>
      <c r="Q596" s="1310" t="s">
        <v>1527</v>
      </c>
      <c r="R596" s="1310" t="s">
        <v>1479</v>
      </c>
      <c r="S596" s="1310" t="s">
        <v>1633</v>
      </c>
      <c r="T596" s="1310" t="s">
        <v>1645</v>
      </c>
      <c r="U596" s="1310" t="s">
        <v>1650</v>
      </c>
      <c r="V596" s="1310" t="s">
        <v>1603</v>
      </c>
      <c r="W596" s="1310" t="s">
        <v>1633</v>
      </c>
      <c r="X596" s="1310" t="s">
        <v>1573</v>
      </c>
      <c r="Y596" s="1310" t="s">
        <v>1540</v>
      </c>
      <c r="Z596" s="1310" t="s">
        <v>1544</v>
      </c>
      <c r="AA596" s="1310" t="s">
        <v>1633</v>
      </c>
      <c r="AB596" s="1310" t="s">
        <v>1591</v>
      </c>
      <c r="AC596" s="1310" t="s">
        <v>1589</v>
      </c>
      <c r="AD596" s="1310" t="s">
        <v>113</v>
      </c>
      <c r="AE596" s="1310" t="s">
        <v>269</v>
      </c>
      <c r="AF596" s="1310" t="s">
        <v>1508</v>
      </c>
    </row>
    <row r="597" spans="1:32" x14ac:dyDescent="0.3">
      <c r="A597" s="1310" t="s">
        <v>1536</v>
      </c>
      <c r="B597" s="1310" t="s">
        <v>1519</v>
      </c>
      <c r="C597" s="1310" t="s">
        <v>1636</v>
      </c>
      <c r="D597" s="1310" t="s">
        <v>1611</v>
      </c>
      <c r="E597" s="1310" t="s">
        <v>1471</v>
      </c>
      <c r="F597" s="1310" t="s">
        <v>1552</v>
      </c>
      <c r="G597" s="1310" t="s">
        <v>1511</v>
      </c>
      <c r="H597" s="1310" t="s">
        <v>465</v>
      </c>
      <c r="I597" s="1310" t="s">
        <v>1526</v>
      </c>
      <c r="J597" s="1310" t="s">
        <v>1609</v>
      </c>
      <c r="K597" s="1310" t="s">
        <v>1645</v>
      </c>
      <c r="L597" s="1310" t="s">
        <v>1550</v>
      </c>
      <c r="M597" s="1310" t="s">
        <v>113</v>
      </c>
      <c r="N597" s="1310" t="s">
        <v>1639</v>
      </c>
      <c r="O597" s="1310" t="s">
        <v>1027</v>
      </c>
      <c r="P597" s="1310" t="s">
        <v>1551</v>
      </c>
      <c r="Q597" s="1310" t="s">
        <v>1517</v>
      </c>
      <c r="R597" s="1310" t="s">
        <v>1656</v>
      </c>
      <c r="S597" s="1310" t="s">
        <v>1609</v>
      </c>
      <c r="T597" s="1310" t="s">
        <v>1505</v>
      </c>
      <c r="U597" s="1310" t="s">
        <v>1501</v>
      </c>
      <c r="V597" s="1310" t="s">
        <v>1529</v>
      </c>
      <c r="W597" s="1310" t="s">
        <v>1634</v>
      </c>
      <c r="X597" s="1310" t="s">
        <v>1568</v>
      </c>
      <c r="Y597" s="1310" t="s">
        <v>1563</v>
      </c>
      <c r="Z597" s="1310" t="s">
        <v>1592</v>
      </c>
      <c r="AA597" s="1310" t="s">
        <v>1501</v>
      </c>
      <c r="AB597" s="1310" t="s">
        <v>1655</v>
      </c>
      <c r="AC597" s="1310" t="s">
        <v>1607</v>
      </c>
      <c r="AD597" s="1310" t="s">
        <v>1552</v>
      </c>
      <c r="AE597" s="1310" t="s">
        <v>1489</v>
      </c>
      <c r="AF597" s="1310" t="s">
        <v>1568</v>
      </c>
    </row>
    <row r="598" spans="1:32" x14ac:dyDescent="0.3">
      <c r="A598" s="1310" t="s">
        <v>269</v>
      </c>
      <c r="B598" s="1310" t="s">
        <v>1577</v>
      </c>
      <c r="C598" s="1310" t="s">
        <v>1575</v>
      </c>
      <c r="D598" s="1310" t="s">
        <v>1584</v>
      </c>
      <c r="E598" s="1310" t="s">
        <v>1632</v>
      </c>
      <c r="F598" s="1310" t="s">
        <v>1608</v>
      </c>
      <c r="G598" s="1310" t="s">
        <v>1625</v>
      </c>
      <c r="H598" s="1310" t="s">
        <v>1587</v>
      </c>
      <c r="I598" s="1310" t="s">
        <v>1456</v>
      </c>
      <c r="J598" s="1310" t="s">
        <v>1609</v>
      </c>
      <c r="K598" s="1310" t="s">
        <v>1543</v>
      </c>
      <c r="L598" s="1310" t="s">
        <v>1481</v>
      </c>
      <c r="M598" s="1310" t="s">
        <v>130</v>
      </c>
      <c r="N598" s="1310" t="s">
        <v>111</v>
      </c>
      <c r="O598" s="1310" t="s">
        <v>1552</v>
      </c>
      <c r="P598" s="1310" t="s">
        <v>1516</v>
      </c>
      <c r="Q598" s="1310" t="s">
        <v>1565</v>
      </c>
      <c r="R598" s="1310" t="s">
        <v>1557</v>
      </c>
      <c r="S598" s="1310" t="s">
        <v>1540</v>
      </c>
      <c r="T598" s="1310" t="s">
        <v>1623</v>
      </c>
      <c r="U598" s="1310" t="s">
        <v>1525</v>
      </c>
      <c r="V598" s="1310" t="s">
        <v>1636</v>
      </c>
      <c r="W598" s="1310" t="s">
        <v>1626</v>
      </c>
      <c r="X598" s="1310" t="s">
        <v>130</v>
      </c>
      <c r="Y598" s="1310" t="s">
        <v>1577</v>
      </c>
      <c r="Z598" s="1310" t="s">
        <v>1603</v>
      </c>
      <c r="AA598" s="1310" t="s">
        <v>1596</v>
      </c>
      <c r="AB598" s="1310" t="s">
        <v>1496</v>
      </c>
      <c r="AC598" s="1310" t="s">
        <v>1463</v>
      </c>
      <c r="AD598" s="1310" t="s">
        <v>1513</v>
      </c>
      <c r="AE598" s="1310" t="s">
        <v>1602</v>
      </c>
      <c r="AF598" s="1310" t="s">
        <v>1646</v>
      </c>
    </row>
    <row r="599" spans="1:32" x14ac:dyDescent="0.3">
      <c r="A599" s="1310" t="s">
        <v>1575</v>
      </c>
      <c r="B599" s="1310" t="s">
        <v>1459</v>
      </c>
      <c r="C599" s="1310" t="s">
        <v>1027</v>
      </c>
      <c r="D599" s="1310" t="s">
        <v>1552</v>
      </c>
      <c r="E599" s="1310" t="s">
        <v>1456</v>
      </c>
      <c r="F599" s="1310" t="s">
        <v>1593</v>
      </c>
      <c r="G599" s="1310" t="s">
        <v>1556</v>
      </c>
      <c r="H599" s="1310" t="s">
        <v>1620</v>
      </c>
      <c r="I599" s="1310" t="s">
        <v>1510</v>
      </c>
      <c r="J599" s="1310" t="s">
        <v>1518</v>
      </c>
      <c r="K599" s="1310" t="s">
        <v>465</v>
      </c>
      <c r="L599" s="1310" t="s">
        <v>1601</v>
      </c>
      <c r="M599" s="1310" t="s">
        <v>1592</v>
      </c>
      <c r="N599" s="1310" t="s">
        <v>1478</v>
      </c>
      <c r="O599" s="1310" t="s">
        <v>1637</v>
      </c>
      <c r="P599" s="1310" t="s">
        <v>1577</v>
      </c>
      <c r="Q599" s="1310" t="s">
        <v>1474</v>
      </c>
      <c r="R599" s="1310" t="s">
        <v>1527</v>
      </c>
      <c r="S599" s="1310" t="s">
        <v>1464</v>
      </c>
      <c r="T599" s="1310" t="s">
        <v>1506</v>
      </c>
      <c r="U599" s="1310" t="s">
        <v>1448</v>
      </c>
      <c r="V599" s="1310" t="s">
        <v>1541</v>
      </c>
      <c r="W599" s="1310" t="s">
        <v>1623</v>
      </c>
      <c r="X599" s="1310" t="s">
        <v>1594</v>
      </c>
      <c r="Y599" s="1310" t="s">
        <v>6</v>
      </c>
      <c r="Z599" s="1310" t="s">
        <v>1550</v>
      </c>
      <c r="AA599" s="1310" t="s">
        <v>1463</v>
      </c>
      <c r="AB599" s="1310" t="s">
        <v>1563</v>
      </c>
      <c r="AC599" s="1310" t="s">
        <v>1563</v>
      </c>
      <c r="AD599" s="1310" t="s">
        <v>1633</v>
      </c>
      <c r="AE599" s="1310" t="s">
        <v>1612</v>
      </c>
      <c r="AF599" s="1310" t="s">
        <v>1468</v>
      </c>
    </row>
    <row r="600" spans="1:32" x14ac:dyDescent="0.3">
      <c r="A600" s="1310" t="s">
        <v>1548</v>
      </c>
      <c r="B600" s="1310" t="s">
        <v>1546</v>
      </c>
      <c r="C600" s="1310" t="s">
        <v>1456</v>
      </c>
      <c r="D600" s="1310" t="s">
        <v>1656</v>
      </c>
      <c r="E600" s="1310" t="s">
        <v>1640</v>
      </c>
      <c r="F600" s="1310" t="s">
        <v>1489</v>
      </c>
      <c r="G600" s="1310" t="s">
        <v>1468</v>
      </c>
      <c r="H600" s="1310" t="s">
        <v>1508</v>
      </c>
      <c r="I600" s="1310" t="s">
        <v>1600</v>
      </c>
      <c r="J600" s="1310" t="s">
        <v>1452</v>
      </c>
      <c r="K600" s="1310" t="s">
        <v>1447</v>
      </c>
      <c r="L600" s="1310" t="s">
        <v>130</v>
      </c>
      <c r="M600" s="1310" t="s">
        <v>1475</v>
      </c>
      <c r="N600" s="1310" t="s">
        <v>1560</v>
      </c>
      <c r="O600" s="1310" t="s">
        <v>1653</v>
      </c>
      <c r="P600" s="1310" t="s">
        <v>1520</v>
      </c>
      <c r="Q600" s="1310" t="s">
        <v>1537</v>
      </c>
      <c r="R600" s="1310" t="s">
        <v>1571</v>
      </c>
      <c r="S600" s="1310" t="s">
        <v>1447</v>
      </c>
      <c r="T600" s="1310" t="s">
        <v>1468</v>
      </c>
      <c r="U600" s="1310" t="s">
        <v>127</v>
      </c>
      <c r="V600" s="1310" t="s">
        <v>1510</v>
      </c>
      <c r="W600" s="1310" t="s">
        <v>1635</v>
      </c>
      <c r="X600" s="1310" t="s">
        <v>1619</v>
      </c>
      <c r="Y600" s="1310" t="s">
        <v>1532</v>
      </c>
      <c r="Z600" s="1310" t="s">
        <v>1632</v>
      </c>
      <c r="AA600" s="1310" t="s">
        <v>111</v>
      </c>
      <c r="AB600" s="1310" t="s">
        <v>1517</v>
      </c>
      <c r="AC600" s="1310" t="s">
        <v>1547</v>
      </c>
      <c r="AD600" s="1310" t="s">
        <v>270</v>
      </c>
      <c r="AE600" s="1310" t="s">
        <v>1604</v>
      </c>
      <c r="AF600" s="1310" t="s">
        <v>1598</v>
      </c>
    </row>
    <row r="601" spans="1:32" x14ac:dyDescent="0.3">
      <c r="A601" s="1310" t="s">
        <v>1566</v>
      </c>
      <c r="B601" s="1310" t="s">
        <v>1544</v>
      </c>
      <c r="C601" s="1310" t="s">
        <v>1453</v>
      </c>
      <c r="D601" s="1310" t="s">
        <v>1476</v>
      </c>
      <c r="E601" s="1310" t="s">
        <v>1491</v>
      </c>
      <c r="F601" s="1310" t="s">
        <v>1484</v>
      </c>
      <c r="G601" s="1310" t="s">
        <v>1468</v>
      </c>
      <c r="H601" s="1310" t="s">
        <v>1612</v>
      </c>
      <c r="I601" s="1310" t="s">
        <v>1468</v>
      </c>
      <c r="J601" s="1310" t="s">
        <v>1027</v>
      </c>
      <c r="K601" s="1310" t="s">
        <v>131</v>
      </c>
      <c r="L601" s="1310" t="s">
        <v>1555</v>
      </c>
      <c r="M601" s="1310" t="s">
        <v>1546</v>
      </c>
      <c r="N601" s="1310" t="s">
        <v>1551</v>
      </c>
      <c r="O601" s="1310" t="s">
        <v>1510</v>
      </c>
      <c r="P601" s="1310" t="s">
        <v>1640</v>
      </c>
      <c r="Q601" s="1310" t="s">
        <v>1620</v>
      </c>
      <c r="R601" s="1310" t="s">
        <v>1517</v>
      </c>
      <c r="S601" s="1310" t="s">
        <v>1615</v>
      </c>
      <c r="T601" s="1310" t="s">
        <v>1583</v>
      </c>
      <c r="U601" s="1310" t="s">
        <v>1607</v>
      </c>
      <c r="V601" s="1310" t="s">
        <v>1583</v>
      </c>
      <c r="W601" s="1310" t="s">
        <v>1637</v>
      </c>
      <c r="X601" s="1310" t="s">
        <v>1609</v>
      </c>
      <c r="Y601" s="1310" t="s">
        <v>1614</v>
      </c>
      <c r="Z601" s="1310" t="s">
        <v>1526</v>
      </c>
      <c r="AA601" s="1310" t="s">
        <v>132</v>
      </c>
      <c r="AB601" s="1310" t="s">
        <v>1627</v>
      </c>
      <c r="AC601" s="1310" t="s">
        <v>1552</v>
      </c>
      <c r="AD601" s="1310" t="s">
        <v>1557</v>
      </c>
      <c r="AE601" s="1310" t="s">
        <v>1649</v>
      </c>
      <c r="AF601" s="1310" t="s">
        <v>1457</v>
      </c>
    </row>
    <row r="602" spans="1:32" x14ac:dyDescent="0.3">
      <c r="A602" s="1310" t="s">
        <v>1571</v>
      </c>
      <c r="B602" s="1310" t="s">
        <v>1485</v>
      </c>
      <c r="C602" s="1310" t="s">
        <v>1540</v>
      </c>
      <c r="D602" s="1310" t="s">
        <v>1463</v>
      </c>
      <c r="E602" s="1310" t="s">
        <v>1542</v>
      </c>
      <c r="F602" s="1310" t="s">
        <v>1551</v>
      </c>
      <c r="G602" s="1310" t="s">
        <v>1629</v>
      </c>
      <c r="H602" s="1310" t="s">
        <v>132</v>
      </c>
      <c r="I602" s="1310" t="s">
        <v>1516</v>
      </c>
      <c r="J602" s="1310" t="s">
        <v>1548</v>
      </c>
      <c r="K602" s="1310" t="s">
        <v>1629</v>
      </c>
      <c r="L602" s="1310" t="s">
        <v>1489</v>
      </c>
      <c r="M602" s="1310" t="s">
        <v>1553</v>
      </c>
      <c r="N602" s="1310" t="s">
        <v>122</v>
      </c>
      <c r="O602" s="1310" t="s">
        <v>1586</v>
      </c>
      <c r="P602" s="1310" t="s">
        <v>1615</v>
      </c>
      <c r="Q602" s="1310" t="s">
        <v>1523</v>
      </c>
      <c r="R602" s="1310" t="s">
        <v>1466</v>
      </c>
      <c r="S602" s="1310" t="s">
        <v>1505</v>
      </c>
      <c r="T602" s="1310" t="s">
        <v>1494</v>
      </c>
      <c r="U602" s="1310" t="s">
        <v>1565</v>
      </c>
      <c r="V602" s="1310" t="s">
        <v>1500</v>
      </c>
      <c r="W602" s="1310" t="s">
        <v>1488</v>
      </c>
      <c r="X602" s="1310" t="s">
        <v>1463</v>
      </c>
      <c r="Y602" s="1310" t="s">
        <v>1653</v>
      </c>
      <c r="Z602" s="1310" t="s">
        <v>118</v>
      </c>
      <c r="AA602" s="1310" t="s">
        <v>1619</v>
      </c>
      <c r="AB602" s="1310" t="s">
        <v>1490</v>
      </c>
      <c r="AC602" s="1310" t="s">
        <v>1580</v>
      </c>
      <c r="AD602" s="1310" t="s">
        <v>1554</v>
      </c>
      <c r="AE602" s="1310" t="s">
        <v>1527</v>
      </c>
      <c r="AF602" s="1310" t="s">
        <v>1633</v>
      </c>
    </row>
    <row r="603" spans="1:32" x14ac:dyDescent="0.3">
      <c r="A603" s="1310" t="s">
        <v>1474</v>
      </c>
      <c r="B603" s="1310" t="s">
        <v>1479</v>
      </c>
      <c r="C603" s="1310" t="s">
        <v>1607</v>
      </c>
      <c r="D603" s="1310" t="s">
        <v>1596</v>
      </c>
      <c r="E603" s="1310" t="s">
        <v>132</v>
      </c>
      <c r="F603" s="1310" t="s">
        <v>1464</v>
      </c>
      <c r="G603" s="1310" t="s">
        <v>1606</v>
      </c>
      <c r="H603" s="1310" t="s">
        <v>117</v>
      </c>
      <c r="I603" s="1310" t="s">
        <v>1607</v>
      </c>
      <c r="J603" s="1310" t="s">
        <v>1637</v>
      </c>
      <c r="K603" s="1310" t="s">
        <v>1575</v>
      </c>
      <c r="L603" s="1310" t="s">
        <v>1622</v>
      </c>
      <c r="M603" s="1310" t="s">
        <v>1637</v>
      </c>
      <c r="N603" s="1310" t="s">
        <v>1510</v>
      </c>
      <c r="O603" s="1310" t="s">
        <v>1601</v>
      </c>
      <c r="P603" s="1310" t="s">
        <v>1474</v>
      </c>
      <c r="Q603" s="1310" t="s">
        <v>1517</v>
      </c>
      <c r="R603" s="1310" t="s">
        <v>1493</v>
      </c>
      <c r="S603" s="1310" t="s">
        <v>1519</v>
      </c>
      <c r="T603" s="1310" t="s">
        <v>1547</v>
      </c>
      <c r="U603" s="1310" t="s">
        <v>1569</v>
      </c>
      <c r="V603" s="1310" t="s">
        <v>1537</v>
      </c>
      <c r="W603" s="1310" t="s">
        <v>1655</v>
      </c>
      <c r="X603" s="1310" t="s">
        <v>112</v>
      </c>
      <c r="Y603" s="1310" t="s">
        <v>1509</v>
      </c>
      <c r="Z603" s="1310" t="s">
        <v>1030</v>
      </c>
      <c r="AA603" s="1310" t="s">
        <v>1565</v>
      </c>
      <c r="AB603" s="1310" t="s">
        <v>1634</v>
      </c>
      <c r="AC603" s="1310" t="s">
        <v>1549</v>
      </c>
      <c r="AD603" s="1310" t="s">
        <v>1638</v>
      </c>
      <c r="AE603" s="1310" t="s">
        <v>1524</v>
      </c>
      <c r="AF603" s="1310" t="s">
        <v>1463</v>
      </c>
    </row>
    <row r="604" spans="1:32" x14ac:dyDescent="0.3">
      <c r="A604" s="1310" t="s">
        <v>1630</v>
      </c>
      <c r="B604" s="1310" t="s">
        <v>1640</v>
      </c>
      <c r="C604" s="1310" t="s">
        <v>1555</v>
      </c>
      <c r="D604" s="1310" t="s">
        <v>1523</v>
      </c>
      <c r="E604" s="1310" t="s">
        <v>1557</v>
      </c>
      <c r="F604" s="1310" t="s">
        <v>1659</v>
      </c>
      <c r="G604" s="1310" t="s">
        <v>1490</v>
      </c>
      <c r="H604" s="1310" t="s">
        <v>1595</v>
      </c>
      <c r="I604" s="1310" t="s">
        <v>1467</v>
      </c>
      <c r="J604" s="1310" t="s">
        <v>122</v>
      </c>
      <c r="K604" s="1310" t="s">
        <v>1461</v>
      </c>
      <c r="L604" s="1310" t="s">
        <v>1571</v>
      </c>
      <c r="M604" s="1310" t="s">
        <v>1520</v>
      </c>
      <c r="N604" s="1310" t="s">
        <v>1454</v>
      </c>
      <c r="O604" s="1310" t="s">
        <v>1506</v>
      </c>
      <c r="P604" s="1310" t="s">
        <v>1519</v>
      </c>
      <c r="Q604" s="1310" t="s">
        <v>270</v>
      </c>
      <c r="R604" s="1310" t="s">
        <v>1549</v>
      </c>
      <c r="S604" s="1310" t="s">
        <v>1619</v>
      </c>
      <c r="T604" s="1310" t="s">
        <v>1505</v>
      </c>
      <c r="U604" s="1310" t="s">
        <v>1443</v>
      </c>
      <c r="V604" s="1310" t="s">
        <v>1450</v>
      </c>
      <c r="W604" s="1310" t="s">
        <v>1574</v>
      </c>
      <c r="X604" s="1310" t="s">
        <v>1541</v>
      </c>
      <c r="Y604" s="1310" t="s">
        <v>111</v>
      </c>
      <c r="Z604" s="1310" t="s">
        <v>1622</v>
      </c>
      <c r="AA604" s="1310" t="s">
        <v>1572</v>
      </c>
      <c r="AB604" s="1310" t="s">
        <v>1603</v>
      </c>
      <c r="AC604" s="1310" t="s">
        <v>1615</v>
      </c>
      <c r="AD604" s="1310" t="s">
        <v>1521</v>
      </c>
      <c r="AE604" s="1310" t="s">
        <v>1561</v>
      </c>
      <c r="AF604" s="1310" t="s">
        <v>1607</v>
      </c>
    </row>
    <row r="605" spans="1:32" x14ac:dyDescent="0.3">
      <c r="A605" s="1310" t="s">
        <v>1660</v>
      </c>
      <c r="B605" s="1310" t="s">
        <v>1626</v>
      </c>
      <c r="C605" s="1310" t="s">
        <v>1463</v>
      </c>
      <c r="D605" s="1310" t="s">
        <v>1557</v>
      </c>
      <c r="E605" s="1310" t="s">
        <v>465</v>
      </c>
      <c r="F605" s="1310" t="s">
        <v>1542</v>
      </c>
      <c r="G605" s="1310" t="s">
        <v>1561</v>
      </c>
      <c r="H605" s="1310" t="s">
        <v>1573</v>
      </c>
      <c r="I605" s="1310" t="s">
        <v>1506</v>
      </c>
      <c r="J605" s="1310" t="s">
        <v>1463</v>
      </c>
      <c r="K605" s="1310" t="s">
        <v>1492</v>
      </c>
      <c r="L605" s="1310" t="s">
        <v>1557</v>
      </c>
      <c r="M605" s="1310" t="s">
        <v>1591</v>
      </c>
      <c r="N605" s="1310" t="s">
        <v>1585</v>
      </c>
      <c r="O605" s="1310" t="s">
        <v>1542</v>
      </c>
      <c r="P605" s="1310" t="s">
        <v>1479</v>
      </c>
      <c r="Q605" s="1310" t="s">
        <v>1556</v>
      </c>
      <c r="R605" s="1310" t="s">
        <v>1463</v>
      </c>
      <c r="S605" s="1310" t="s">
        <v>1451</v>
      </c>
      <c r="T605" s="1310" t="s">
        <v>1606</v>
      </c>
      <c r="U605" s="1310" t="s">
        <v>1487</v>
      </c>
      <c r="V605" s="1310" t="s">
        <v>118</v>
      </c>
      <c r="W605" s="1310" t="s">
        <v>1579</v>
      </c>
      <c r="X605" s="1310" t="s">
        <v>1549</v>
      </c>
      <c r="Y605" s="1310" t="s">
        <v>1480</v>
      </c>
      <c r="Z605" s="1310" t="s">
        <v>117</v>
      </c>
      <c r="AA605" s="1310" t="s">
        <v>1543</v>
      </c>
      <c r="AB605" s="1310" t="s">
        <v>1553</v>
      </c>
      <c r="AC605" s="1310" t="s">
        <v>1552</v>
      </c>
      <c r="AD605" s="1310" t="s">
        <v>1526</v>
      </c>
      <c r="AE605" s="1310" t="s">
        <v>1027</v>
      </c>
      <c r="AF605" s="1310" t="s">
        <v>1475</v>
      </c>
    </row>
    <row r="606" spans="1:32" x14ac:dyDescent="0.3">
      <c r="A606" s="1310" t="s">
        <v>1529</v>
      </c>
      <c r="B606" s="1310" t="s">
        <v>1588</v>
      </c>
      <c r="C606" s="1310" t="s">
        <v>1608</v>
      </c>
      <c r="D606" s="1310" t="s">
        <v>1027</v>
      </c>
      <c r="E606" s="1310" t="s">
        <v>1550</v>
      </c>
      <c r="F606" s="1310" t="s">
        <v>1499</v>
      </c>
      <c r="G606" s="1310" t="s">
        <v>1545</v>
      </c>
      <c r="H606" s="1310" t="s">
        <v>1619</v>
      </c>
      <c r="I606" s="1310" t="s">
        <v>1501</v>
      </c>
      <c r="J606" s="1310" t="s">
        <v>1622</v>
      </c>
      <c r="K606" s="1310" t="s">
        <v>125</v>
      </c>
      <c r="L606" s="1310" t="s">
        <v>1443</v>
      </c>
      <c r="M606" s="1310" t="s">
        <v>1450</v>
      </c>
      <c r="N606" s="1310" t="s">
        <v>1631</v>
      </c>
      <c r="O606" s="1310" t="s">
        <v>1645</v>
      </c>
      <c r="P606" s="1310" t="s">
        <v>1622</v>
      </c>
      <c r="Q606" s="1310" t="s">
        <v>1630</v>
      </c>
      <c r="R606" s="1310" t="s">
        <v>1551</v>
      </c>
      <c r="S606" s="1310" t="s">
        <v>1590</v>
      </c>
      <c r="T606" s="1310" t="s">
        <v>1622</v>
      </c>
      <c r="U606" s="1310" t="s">
        <v>1643</v>
      </c>
      <c r="V606" s="1310" t="s">
        <v>465</v>
      </c>
      <c r="W606" s="1310" t="s">
        <v>1510</v>
      </c>
      <c r="X606" s="1310" t="s">
        <v>1637</v>
      </c>
      <c r="Y606" s="1310" t="s">
        <v>1602</v>
      </c>
      <c r="Z606" s="1310" t="s">
        <v>1657</v>
      </c>
      <c r="AA606" s="1310" t="s">
        <v>1638</v>
      </c>
      <c r="AB606" s="1310" t="s">
        <v>1532</v>
      </c>
      <c r="AC606" s="1310" t="s">
        <v>1653</v>
      </c>
      <c r="AD606" s="1310" t="s">
        <v>131</v>
      </c>
      <c r="AE606" s="1310" t="s">
        <v>1556</v>
      </c>
      <c r="AF606" s="1310" t="s">
        <v>1602</v>
      </c>
    </row>
    <row r="607" spans="1:32" x14ac:dyDescent="0.3">
      <c r="A607" s="1310" t="s">
        <v>1542</v>
      </c>
      <c r="B607" s="1310" t="s">
        <v>111</v>
      </c>
      <c r="C607" s="1310" t="s">
        <v>1588</v>
      </c>
      <c r="D607" s="1310" t="s">
        <v>1638</v>
      </c>
      <c r="E607" s="1310" t="s">
        <v>1554</v>
      </c>
      <c r="F607" s="1310" t="s">
        <v>1543</v>
      </c>
      <c r="G607" s="1310" t="s">
        <v>6</v>
      </c>
      <c r="H607" s="1310" t="s">
        <v>122</v>
      </c>
      <c r="I607" s="1310" t="s">
        <v>1570</v>
      </c>
      <c r="J607" s="1310" t="s">
        <v>1626</v>
      </c>
      <c r="K607" s="1310" t="s">
        <v>1555</v>
      </c>
      <c r="L607" s="1310" t="s">
        <v>1443</v>
      </c>
      <c r="M607" s="1310" t="s">
        <v>1450</v>
      </c>
      <c r="N607" s="1310" t="s">
        <v>121</v>
      </c>
      <c r="O607" s="1310" t="s">
        <v>1604</v>
      </c>
      <c r="P607" s="1310" t="s">
        <v>1463</v>
      </c>
      <c r="Q607" s="1310" t="s">
        <v>1502</v>
      </c>
      <c r="R607" s="1310" t="s">
        <v>1526</v>
      </c>
      <c r="S607" s="1310" t="s">
        <v>1634</v>
      </c>
      <c r="T607" s="1310" t="s">
        <v>1493</v>
      </c>
      <c r="U607" s="1310" t="s">
        <v>114</v>
      </c>
      <c r="V607" s="1310" t="s">
        <v>1560</v>
      </c>
      <c r="W607" s="1310" t="s">
        <v>1618</v>
      </c>
      <c r="X607" s="1310" t="s">
        <v>1546</v>
      </c>
      <c r="Y607" s="1310" t="s">
        <v>1464</v>
      </c>
      <c r="Z607" s="1310" t="s">
        <v>1632</v>
      </c>
      <c r="AA607" s="1310" t="s">
        <v>1573</v>
      </c>
      <c r="AB607" s="1310" t="s">
        <v>1567</v>
      </c>
      <c r="AC607" s="1310" t="s">
        <v>1566</v>
      </c>
      <c r="AD607" s="1310" t="s">
        <v>1640</v>
      </c>
      <c r="AE607" s="1310" t="s">
        <v>1478</v>
      </c>
      <c r="AF607" s="1310" t="s">
        <v>1640</v>
      </c>
    </row>
    <row r="608" spans="1:32" x14ac:dyDescent="0.3">
      <c r="A608" s="1310" t="s">
        <v>1632</v>
      </c>
      <c r="B608" s="1310" t="s">
        <v>115</v>
      </c>
      <c r="C608" s="1310" t="s">
        <v>1517</v>
      </c>
      <c r="D608" s="1310" t="s">
        <v>1476</v>
      </c>
      <c r="E608" s="1310" t="s">
        <v>1443</v>
      </c>
      <c r="F608" s="1310" t="s">
        <v>1450</v>
      </c>
      <c r="G608" s="1310" t="s">
        <v>1601</v>
      </c>
      <c r="H608" s="1310" t="s">
        <v>1527</v>
      </c>
      <c r="I608" s="1310" t="s">
        <v>1647</v>
      </c>
      <c r="J608" s="1310" t="s">
        <v>1582</v>
      </c>
      <c r="K608" s="1310" t="s">
        <v>1622</v>
      </c>
      <c r="L608" s="1310" t="s">
        <v>1646</v>
      </c>
      <c r="M608" s="1310" t="s">
        <v>1636</v>
      </c>
      <c r="N608" s="1310" t="s">
        <v>1460</v>
      </c>
      <c r="O608" s="1310" t="s">
        <v>1610</v>
      </c>
      <c r="P608" s="1310" t="s">
        <v>132</v>
      </c>
      <c r="Q608" s="1310" t="s">
        <v>131</v>
      </c>
      <c r="R608" s="1310" t="s">
        <v>1457</v>
      </c>
      <c r="S608" s="1310" t="s">
        <v>1562</v>
      </c>
      <c r="T608" s="1310" t="s">
        <v>1637</v>
      </c>
      <c r="U608" s="1310" t="s">
        <v>1573</v>
      </c>
      <c r="V608" s="1310" t="s">
        <v>1443</v>
      </c>
      <c r="W608" s="1310" t="s">
        <v>1450</v>
      </c>
      <c r="X608" s="1310" t="s">
        <v>269</v>
      </c>
      <c r="Y608" s="1310" t="s">
        <v>1635</v>
      </c>
      <c r="Z608" s="1310" t="s">
        <v>1548</v>
      </c>
      <c r="AA608" s="1310" t="s">
        <v>1635</v>
      </c>
      <c r="AB608" s="1310" t="s">
        <v>1579</v>
      </c>
      <c r="AC608" s="1310" t="s">
        <v>1578</v>
      </c>
      <c r="AD608" s="1310" t="s">
        <v>1516</v>
      </c>
      <c r="AE608" s="1310" t="s">
        <v>1563</v>
      </c>
      <c r="AF608" s="1310" t="s">
        <v>1500</v>
      </c>
    </row>
    <row r="609" spans="1:32" x14ac:dyDescent="0.3">
      <c r="A609" s="1310" t="s">
        <v>1443</v>
      </c>
      <c r="B609" s="1310" t="s">
        <v>1450</v>
      </c>
      <c r="C609" s="1310" t="s">
        <v>1501</v>
      </c>
      <c r="D609" s="1310" t="s">
        <v>1471</v>
      </c>
      <c r="E609" s="1310" t="s">
        <v>1496</v>
      </c>
      <c r="F609" s="1310" t="s">
        <v>1531</v>
      </c>
      <c r="G609" s="1310" t="s">
        <v>1516</v>
      </c>
      <c r="H609" s="1310" t="s">
        <v>1655</v>
      </c>
      <c r="I609" s="1310" t="s">
        <v>1536</v>
      </c>
      <c r="J609" s="1310" t="s">
        <v>1498</v>
      </c>
      <c r="K609" s="1310" t="s">
        <v>1470</v>
      </c>
      <c r="L609" s="1310" t="s">
        <v>133</v>
      </c>
      <c r="M609" s="1310" t="s">
        <v>1638</v>
      </c>
      <c r="N609" s="1310" t="s">
        <v>1559</v>
      </c>
      <c r="O609" s="1310" t="s">
        <v>266</v>
      </c>
      <c r="P609" s="1310" t="s">
        <v>128</v>
      </c>
      <c r="Q609" s="1310" t="s">
        <v>1651</v>
      </c>
      <c r="R609" s="1310" t="s">
        <v>1563</v>
      </c>
      <c r="S609" s="1310" t="s">
        <v>1455</v>
      </c>
      <c r="T609" s="1310" t="s">
        <v>1466</v>
      </c>
      <c r="U609" s="1310" t="s">
        <v>1605</v>
      </c>
      <c r="V609" s="1310" t="s">
        <v>1521</v>
      </c>
      <c r="W609" s="1310" t="s">
        <v>1541</v>
      </c>
      <c r="X609" s="1310" t="s">
        <v>1443</v>
      </c>
      <c r="Y609" s="1310" t="s">
        <v>1450</v>
      </c>
      <c r="Z609" s="1310" t="s">
        <v>132</v>
      </c>
      <c r="AA609" s="1310" t="s">
        <v>1544</v>
      </c>
      <c r="AB609" s="1310" t="s">
        <v>1575</v>
      </c>
      <c r="AC609" s="1310" t="s">
        <v>132</v>
      </c>
      <c r="AD609" s="1310" t="s">
        <v>1546</v>
      </c>
      <c r="AE609" s="1310" t="s">
        <v>1594</v>
      </c>
      <c r="AF609" s="1310" t="s">
        <v>1610</v>
      </c>
    </row>
    <row r="610" spans="1:32" x14ac:dyDescent="0.3">
      <c r="A610" s="1310" t="s">
        <v>1468</v>
      </c>
      <c r="B610" s="1310" t="s">
        <v>1544</v>
      </c>
      <c r="C610" s="1310" t="s">
        <v>132</v>
      </c>
      <c r="D610" s="1310" t="s">
        <v>1562</v>
      </c>
      <c r="E610" s="1310" t="s">
        <v>1630</v>
      </c>
      <c r="F610" s="1310" t="s">
        <v>1551</v>
      </c>
      <c r="G610" s="1310" t="s">
        <v>1510</v>
      </c>
      <c r="H610" s="1310" t="s">
        <v>1470</v>
      </c>
      <c r="I610" s="1310" t="s">
        <v>1448</v>
      </c>
      <c r="J610" s="1310" t="s">
        <v>1581</v>
      </c>
      <c r="K610" s="1310" t="s">
        <v>1627</v>
      </c>
      <c r="L610" s="1310" t="s">
        <v>1639</v>
      </c>
      <c r="M610" s="1310" t="s">
        <v>117</v>
      </c>
      <c r="N610" s="1310" t="s">
        <v>1577</v>
      </c>
      <c r="O610" s="1310" t="s">
        <v>1651</v>
      </c>
      <c r="P610" s="1310" t="s">
        <v>1659</v>
      </c>
      <c r="Q610" s="1310" t="s">
        <v>1630</v>
      </c>
      <c r="R610" s="1310" t="s">
        <v>128</v>
      </c>
      <c r="S610" s="1310" t="s">
        <v>1572</v>
      </c>
      <c r="T610" s="1310" t="s">
        <v>1629</v>
      </c>
      <c r="U610" s="1310" t="s">
        <v>1489</v>
      </c>
      <c r="V610" s="1310" t="s">
        <v>1494</v>
      </c>
      <c r="W610" s="1310" t="s">
        <v>1615</v>
      </c>
      <c r="X610" s="1310" t="s">
        <v>1537</v>
      </c>
      <c r="Y610" s="1310" t="s">
        <v>1451</v>
      </c>
      <c r="Z610" s="1310" t="s">
        <v>1521</v>
      </c>
      <c r="AA610" s="1310" t="s">
        <v>1660</v>
      </c>
      <c r="AB610" s="1310" t="s">
        <v>1472</v>
      </c>
      <c r="AC610" s="1310" t="s">
        <v>1450</v>
      </c>
      <c r="AD610" s="1310" t="s">
        <v>1567</v>
      </c>
      <c r="AE610" s="1310" t="s">
        <v>1604</v>
      </c>
      <c r="AF610" s="1310" t="s">
        <v>1469</v>
      </c>
    </row>
    <row r="611" spans="1:32" x14ac:dyDescent="0.3">
      <c r="A611" s="1310" t="s">
        <v>1458</v>
      </c>
      <c r="B611" s="1310" t="s">
        <v>270</v>
      </c>
      <c r="C611" s="1310" t="s">
        <v>1467</v>
      </c>
      <c r="D611" s="1310" t="s">
        <v>1567</v>
      </c>
      <c r="E611" s="1310" t="s">
        <v>129</v>
      </c>
      <c r="F611" s="1310" t="s">
        <v>270</v>
      </c>
      <c r="G611" s="1310" t="s">
        <v>1660</v>
      </c>
      <c r="H611" s="1310" t="s">
        <v>130</v>
      </c>
      <c r="I611" s="1310" t="s">
        <v>1538</v>
      </c>
      <c r="J611" s="1310" t="s">
        <v>1569</v>
      </c>
      <c r="K611" s="1310" t="s">
        <v>1636</v>
      </c>
      <c r="L611" s="1310" t="s">
        <v>1460</v>
      </c>
      <c r="M611" s="1310" t="s">
        <v>1512</v>
      </c>
      <c r="N611" s="1310" t="s">
        <v>132</v>
      </c>
      <c r="O611" s="1310" t="s">
        <v>1571</v>
      </c>
      <c r="P611" s="1310" t="s">
        <v>1640</v>
      </c>
      <c r="Q611" s="1310" t="s">
        <v>6</v>
      </c>
      <c r="R611" s="1310" t="s">
        <v>1501</v>
      </c>
      <c r="S611" s="1310" t="s">
        <v>1443</v>
      </c>
      <c r="T611" s="1310" t="s">
        <v>1450</v>
      </c>
      <c r="U611" s="1310" t="s">
        <v>1629</v>
      </c>
      <c r="V611" s="1310" t="s">
        <v>1447</v>
      </c>
      <c r="W611" s="1310" t="s">
        <v>131</v>
      </c>
      <c r="X611" s="1310" t="s">
        <v>1488</v>
      </c>
      <c r="Y611" s="1310" t="s">
        <v>1561</v>
      </c>
      <c r="Z611" s="1310" t="s">
        <v>1566</v>
      </c>
      <c r="AA611" s="1310" t="s">
        <v>1551</v>
      </c>
      <c r="AB611" s="1310" t="s">
        <v>1499</v>
      </c>
      <c r="AC611" s="1310" t="s">
        <v>1466</v>
      </c>
      <c r="AD611" s="1310" t="s">
        <v>1491</v>
      </c>
      <c r="AE611" s="1310" t="s">
        <v>1624</v>
      </c>
      <c r="AF611" s="1310" t="s">
        <v>1611</v>
      </c>
    </row>
    <row r="612" spans="1:32" x14ac:dyDescent="0.3">
      <c r="A612" s="1310" t="s">
        <v>1561</v>
      </c>
      <c r="B612" s="1310" t="s">
        <v>465</v>
      </c>
      <c r="C612" s="1310" t="s">
        <v>1630</v>
      </c>
      <c r="D612" s="1310" t="s">
        <v>1492</v>
      </c>
      <c r="E612" s="1310" t="s">
        <v>1564</v>
      </c>
      <c r="F612" s="1310" t="s">
        <v>1518</v>
      </c>
      <c r="G612" s="1310" t="s">
        <v>1476</v>
      </c>
      <c r="H612" s="1310" t="s">
        <v>1575</v>
      </c>
      <c r="I612" s="1310" t="s">
        <v>1588</v>
      </c>
      <c r="J612" s="1310" t="s">
        <v>1453</v>
      </c>
      <c r="K612" s="1310" t="s">
        <v>1641</v>
      </c>
      <c r="L612" s="1310" t="s">
        <v>1624</v>
      </c>
      <c r="M612" s="1310" t="s">
        <v>1604</v>
      </c>
      <c r="N612" s="1310" t="s">
        <v>1604</v>
      </c>
      <c r="O612" s="1310" t="s">
        <v>1556</v>
      </c>
      <c r="P612" s="1310" t="s">
        <v>1509</v>
      </c>
      <c r="Q612" s="1310" t="s">
        <v>1552</v>
      </c>
      <c r="R612" s="1310" t="s">
        <v>1523</v>
      </c>
      <c r="S612" s="1310" t="s">
        <v>1578</v>
      </c>
      <c r="T612" s="1310" t="s">
        <v>1655</v>
      </c>
      <c r="U612" s="1310" t="s">
        <v>1460</v>
      </c>
      <c r="V612" s="1310" t="s">
        <v>129</v>
      </c>
      <c r="W612" s="1310" t="s">
        <v>1471</v>
      </c>
      <c r="X612" s="1310" t="s">
        <v>1529</v>
      </c>
      <c r="Y612" s="1310" t="s">
        <v>1587</v>
      </c>
      <c r="Z612" s="1310" t="s">
        <v>1541</v>
      </c>
      <c r="AA612" s="1310" t="s">
        <v>1522</v>
      </c>
      <c r="AB612" s="1310" t="s">
        <v>1576</v>
      </c>
      <c r="AC612" s="1310" t="s">
        <v>1541</v>
      </c>
      <c r="AD612" s="1310" t="s">
        <v>1561</v>
      </c>
      <c r="AE612" s="1310" t="s">
        <v>1602</v>
      </c>
      <c r="AF612" s="1310" t="s">
        <v>1544</v>
      </c>
    </row>
    <row r="613" spans="1:32" x14ac:dyDescent="0.3">
      <c r="A613" s="1310" t="s">
        <v>1517</v>
      </c>
      <c r="B613" s="1310" t="s">
        <v>1630</v>
      </c>
      <c r="C613" s="1310" t="s">
        <v>1501</v>
      </c>
      <c r="D613" s="1310" t="s">
        <v>132</v>
      </c>
      <c r="E613" s="1310" t="s">
        <v>1523</v>
      </c>
      <c r="F613" s="1310" t="s">
        <v>1581</v>
      </c>
      <c r="G613" s="1310" t="s">
        <v>1571</v>
      </c>
      <c r="H613" s="1310" t="s">
        <v>1630</v>
      </c>
      <c r="I613" s="1310" t="s">
        <v>1483</v>
      </c>
      <c r="J613" s="1310" t="s">
        <v>1517</v>
      </c>
      <c r="K613" s="1310" t="s">
        <v>1490</v>
      </c>
      <c r="L613" s="1310" t="s">
        <v>1443</v>
      </c>
      <c r="M613" s="1310" t="s">
        <v>1450</v>
      </c>
      <c r="N613" s="1310" t="s">
        <v>1461</v>
      </c>
      <c r="O613" s="1310" t="s">
        <v>1614</v>
      </c>
      <c r="P613" s="1310" t="s">
        <v>124</v>
      </c>
      <c r="Q613" s="1310" t="s">
        <v>1633</v>
      </c>
      <c r="R613" s="1310" t="s">
        <v>1622</v>
      </c>
      <c r="S613" s="1310" t="s">
        <v>1649</v>
      </c>
      <c r="T613" s="1310" t="s">
        <v>1551</v>
      </c>
      <c r="U613" s="1310" t="s">
        <v>1646</v>
      </c>
      <c r="V613" s="1310" t="s">
        <v>1595</v>
      </c>
      <c r="W613" s="1310" t="s">
        <v>1502</v>
      </c>
      <c r="X613" s="1310" t="s">
        <v>1615</v>
      </c>
      <c r="Y613" s="1310" t="s">
        <v>1454</v>
      </c>
      <c r="Z613" s="1310" t="s">
        <v>1638</v>
      </c>
      <c r="AA613" s="1310" t="s">
        <v>1568</v>
      </c>
      <c r="AB613" s="1310" t="s">
        <v>1532</v>
      </c>
      <c r="AC613" s="1310" t="s">
        <v>1474</v>
      </c>
      <c r="AD613" s="1310" t="s">
        <v>1521</v>
      </c>
      <c r="AE613" s="1310" t="s">
        <v>1566</v>
      </c>
      <c r="AF613" s="1310" t="s">
        <v>1654</v>
      </c>
    </row>
    <row r="614" spans="1:32" x14ac:dyDescent="0.3">
      <c r="A614" s="1310" t="s">
        <v>1559</v>
      </c>
      <c r="B614" s="1310" t="s">
        <v>1602</v>
      </c>
      <c r="C614" s="1310" t="s">
        <v>1542</v>
      </c>
      <c r="D614" s="1310" t="s">
        <v>1480</v>
      </c>
      <c r="E614" s="1310" t="s">
        <v>1564</v>
      </c>
      <c r="F614" s="1310" t="s">
        <v>1628</v>
      </c>
      <c r="G614" s="1310" t="s">
        <v>1524</v>
      </c>
      <c r="H614" s="1310" t="s">
        <v>1479</v>
      </c>
      <c r="I614" s="1310" t="s">
        <v>1496</v>
      </c>
      <c r="J614" s="1310" t="s">
        <v>1550</v>
      </c>
      <c r="K614" s="1310" t="s">
        <v>1644</v>
      </c>
      <c r="L614" s="1310" t="s">
        <v>1586</v>
      </c>
      <c r="M614" s="1310" t="s">
        <v>122</v>
      </c>
      <c r="N614" s="1310" t="s">
        <v>1582</v>
      </c>
      <c r="O614" s="1310" t="s">
        <v>121</v>
      </c>
      <c r="P614" s="1310" t="s">
        <v>1573</v>
      </c>
      <c r="Q614" s="1310" t="s">
        <v>1573</v>
      </c>
      <c r="R614" s="1310" t="s">
        <v>1507</v>
      </c>
      <c r="S614" s="1310" t="s">
        <v>1550</v>
      </c>
      <c r="T614" s="1310" t="s">
        <v>1454</v>
      </c>
      <c r="U614" s="1310" t="s">
        <v>114</v>
      </c>
      <c r="V614" s="1310" t="s">
        <v>1531</v>
      </c>
      <c r="W614" s="1310" t="s">
        <v>1447</v>
      </c>
      <c r="X614" s="1310" t="s">
        <v>1551</v>
      </c>
      <c r="Y614" s="1310" t="s">
        <v>1467</v>
      </c>
      <c r="Z614" s="1310" t="s">
        <v>129</v>
      </c>
      <c r="AA614" s="1310" t="s">
        <v>1468</v>
      </c>
      <c r="AB614" s="1310" t="s">
        <v>465</v>
      </c>
      <c r="AC614" s="1310" t="s">
        <v>1570</v>
      </c>
      <c r="AD614" s="1310" t="s">
        <v>1474</v>
      </c>
      <c r="AE614" s="1310" t="s">
        <v>1461</v>
      </c>
      <c r="AF614" s="1310" t="s">
        <v>1647</v>
      </c>
    </row>
    <row r="615" spans="1:32" x14ac:dyDescent="0.3">
      <c r="A615" s="1310" t="s">
        <v>1478</v>
      </c>
      <c r="B615" s="1310" t="s">
        <v>1580</v>
      </c>
      <c r="C615" s="1310" t="s">
        <v>1601</v>
      </c>
      <c r="D615" s="1310" t="s">
        <v>1454</v>
      </c>
      <c r="E615" s="1310" t="s">
        <v>1636</v>
      </c>
      <c r="F615" s="1310" t="s">
        <v>1448</v>
      </c>
      <c r="G615" s="1310" t="s">
        <v>1579</v>
      </c>
      <c r="H615" s="1310" t="s">
        <v>1491</v>
      </c>
      <c r="I615" s="1310" t="s">
        <v>1503</v>
      </c>
      <c r="J615" s="1310" t="s">
        <v>1583</v>
      </c>
      <c r="K615" s="1310" t="s">
        <v>1628</v>
      </c>
      <c r="L615" s="1310" t="s">
        <v>1622</v>
      </c>
      <c r="M615" s="1310" t="s">
        <v>1537</v>
      </c>
      <c r="N615" s="1310" t="s">
        <v>1640</v>
      </c>
      <c r="O615" s="1310" t="s">
        <v>1636</v>
      </c>
      <c r="P615" s="1310" t="s">
        <v>1588</v>
      </c>
      <c r="Q615" s="1310" t="s">
        <v>124</v>
      </c>
      <c r="R615" s="1310" t="s">
        <v>1027</v>
      </c>
      <c r="S615" s="1310" t="s">
        <v>1548</v>
      </c>
      <c r="T615" s="1310" t="s">
        <v>262</v>
      </c>
      <c r="U615" s="1310" t="s">
        <v>1492</v>
      </c>
      <c r="V615" s="1310" t="s">
        <v>1621</v>
      </c>
      <c r="W615" s="1310" t="s">
        <v>131</v>
      </c>
      <c r="X615" s="1310" t="s">
        <v>1466</v>
      </c>
      <c r="Y615" s="1310" t="s">
        <v>1576</v>
      </c>
      <c r="Z615" s="1310" t="s">
        <v>1446</v>
      </c>
      <c r="AA615" s="1310" t="s">
        <v>1547</v>
      </c>
      <c r="AB615" s="1310" t="s">
        <v>1607</v>
      </c>
      <c r="AC615" s="1310" t="s">
        <v>1492</v>
      </c>
      <c r="AD615" s="1310" t="s">
        <v>465</v>
      </c>
      <c r="AE615" s="1310" t="s">
        <v>1605</v>
      </c>
      <c r="AF615" s="1310" t="s">
        <v>1530</v>
      </c>
    </row>
    <row r="616" spans="1:32" x14ac:dyDescent="0.3">
      <c r="A616" s="1310" t="s">
        <v>1498</v>
      </c>
      <c r="B616" s="1310" t="s">
        <v>1549</v>
      </c>
      <c r="C616" s="1310" t="s">
        <v>1630</v>
      </c>
      <c r="D616" s="1310" t="s">
        <v>1509</v>
      </c>
      <c r="E616" s="1310" t="s">
        <v>1520</v>
      </c>
      <c r="F616" s="1310" t="s">
        <v>1587</v>
      </c>
      <c r="G616" s="1310" t="s">
        <v>1455</v>
      </c>
      <c r="H616" s="1310" t="s">
        <v>1635</v>
      </c>
      <c r="I616" s="1310" t="s">
        <v>1586</v>
      </c>
      <c r="J616" s="1310" t="s">
        <v>1632</v>
      </c>
      <c r="K616" s="1310" t="s">
        <v>1443</v>
      </c>
      <c r="L616" s="1310" t="s">
        <v>1450</v>
      </c>
      <c r="M616" s="1310" t="s">
        <v>114</v>
      </c>
      <c r="N616" s="1310" t="s">
        <v>111</v>
      </c>
      <c r="O616" s="1310" t="s">
        <v>1591</v>
      </c>
      <c r="P616" s="1310" t="s">
        <v>1501</v>
      </c>
      <c r="Q616" s="1310" t="s">
        <v>1561</v>
      </c>
      <c r="R616" s="1310" t="s">
        <v>133</v>
      </c>
      <c r="S616" s="1310" t="s">
        <v>1654</v>
      </c>
      <c r="T616" s="1310" t="s">
        <v>1570</v>
      </c>
      <c r="U616" s="1310" t="s">
        <v>1580</v>
      </c>
      <c r="V616" s="1310" t="s">
        <v>1622</v>
      </c>
      <c r="W616" s="1310" t="s">
        <v>1559</v>
      </c>
      <c r="X616" s="1310" t="s">
        <v>1607</v>
      </c>
      <c r="Y616" s="1310" t="s">
        <v>1622</v>
      </c>
      <c r="Z616" s="1310" t="s">
        <v>1568</v>
      </c>
      <c r="AA616" s="1310" t="s">
        <v>1607</v>
      </c>
      <c r="AB616" s="1310" t="s">
        <v>1660</v>
      </c>
      <c r="AC616" s="1310" t="s">
        <v>1596</v>
      </c>
      <c r="AD616" s="1310" t="s">
        <v>1460</v>
      </c>
      <c r="AE616" s="1310" t="s">
        <v>1557</v>
      </c>
      <c r="AF616" s="1310" t="s">
        <v>1646</v>
      </c>
    </row>
    <row r="617" spans="1:32" x14ac:dyDescent="0.3">
      <c r="A617" s="1310" t="s">
        <v>111</v>
      </c>
      <c r="B617" s="1310" t="s">
        <v>1448</v>
      </c>
      <c r="C617" s="1310" t="s">
        <v>1460</v>
      </c>
      <c r="D617" s="1310" t="s">
        <v>1516</v>
      </c>
      <c r="E617" s="1310" t="s">
        <v>1585</v>
      </c>
      <c r="F617" s="1310" t="s">
        <v>1633</v>
      </c>
      <c r="G617" s="1310" t="s">
        <v>1541</v>
      </c>
      <c r="H617" s="1310" t="s">
        <v>1581</v>
      </c>
      <c r="I617" s="1310" t="s">
        <v>1567</v>
      </c>
      <c r="J617" s="1310" t="s">
        <v>1590</v>
      </c>
      <c r="K617" s="1310" t="s">
        <v>1626</v>
      </c>
      <c r="L617" s="1310" t="s">
        <v>1540</v>
      </c>
      <c r="M617" s="1310" t="s">
        <v>1507</v>
      </c>
      <c r="N617" s="1310" t="s">
        <v>118</v>
      </c>
      <c r="O617" s="1310" t="s">
        <v>1658</v>
      </c>
      <c r="P617" s="1310" t="s">
        <v>1445</v>
      </c>
      <c r="Q617" s="1310" t="s">
        <v>1560</v>
      </c>
      <c r="R617" s="1310" t="s">
        <v>1597</v>
      </c>
      <c r="S617" s="1310" t="s">
        <v>1529</v>
      </c>
      <c r="T617" s="1310" t="s">
        <v>1491</v>
      </c>
      <c r="U617" s="1310" t="s">
        <v>1566</v>
      </c>
      <c r="V617" s="1310" t="s">
        <v>1628</v>
      </c>
      <c r="W617" s="1310" t="s">
        <v>1553</v>
      </c>
      <c r="X617" s="1310" t="s">
        <v>1598</v>
      </c>
      <c r="Y617" s="1310" t="s">
        <v>1461</v>
      </c>
      <c r="Z617" s="1310" t="s">
        <v>1573</v>
      </c>
      <c r="AA617" s="1310" t="s">
        <v>1467</v>
      </c>
      <c r="AB617" s="1310" t="s">
        <v>1460</v>
      </c>
      <c r="AC617" s="1310" t="s">
        <v>1501</v>
      </c>
      <c r="AD617" s="1310" t="s">
        <v>1595</v>
      </c>
      <c r="AE617" s="1310" t="s">
        <v>1589</v>
      </c>
      <c r="AF617" s="1310" t="s">
        <v>131</v>
      </c>
    </row>
    <row r="618" spans="1:32" x14ac:dyDescent="0.3">
      <c r="A618" s="1310" t="s">
        <v>1612</v>
      </c>
      <c r="B618" s="1310" t="s">
        <v>465</v>
      </c>
      <c r="C618" s="1310" t="s">
        <v>1632</v>
      </c>
      <c r="D618" s="1310" t="s">
        <v>1655</v>
      </c>
      <c r="E618" s="1310" t="s">
        <v>1571</v>
      </c>
      <c r="F618" s="1310" t="s">
        <v>1501</v>
      </c>
      <c r="G618" s="1310" t="s">
        <v>122</v>
      </c>
      <c r="H618" s="1310" t="s">
        <v>1492</v>
      </c>
      <c r="I618" s="1310" t="s">
        <v>1645</v>
      </c>
      <c r="J618" s="1310" t="s">
        <v>1660</v>
      </c>
      <c r="K618" s="1310" t="s">
        <v>6</v>
      </c>
      <c r="L618" s="1310" t="s">
        <v>1579</v>
      </c>
      <c r="M618" s="1310" t="s">
        <v>1613</v>
      </c>
      <c r="N618" s="1310" t="s">
        <v>1644</v>
      </c>
      <c r="O618" s="1310" t="s">
        <v>1575</v>
      </c>
      <c r="P618" s="1310" t="s">
        <v>122</v>
      </c>
      <c r="Q618" s="1310" t="s">
        <v>1483</v>
      </c>
      <c r="R618" s="1310" t="s">
        <v>111</v>
      </c>
      <c r="S618" s="1310" t="s">
        <v>132</v>
      </c>
      <c r="T618" s="1310" t="s">
        <v>1503</v>
      </c>
      <c r="U618" s="1310" t="s">
        <v>1590</v>
      </c>
      <c r="V618" s="1310" t="s">
        <v>1551</v>
      </c>
      <c r="W618" s="1310" t="s">
        <v>1499</v>
      </c>
      <c r="X618" s="1310" t="s">
        <v>1653</v>
      </c>
      <c r="Y618" s="1310" t="s">
        <v>1615</v>
      </c>
      <c r="Z618" s="1310" t="s">
        <v>1610</v>
      </c>
      <c r="AA618" s="1310" t="s">
        <v>1642</v>
      </c>
      <c r="AB618" s="1310" t="s">
        <v>1446</v>
      </c>
      <c r="AC618" s="1310" t="s">
        <v>1445</v>
      </c>
      <c r="AD618" s="1310" t="s">
        <v>1644</v>
      </c>
      <c r="AE618" s="1310" t="s">
        <v>1635</v>
      </c>
      <c r="AF618" s="1310" t="s">
        <v>1583</v>
      </c>
    </row>
    <row r="619" spans="1:32" x14ac:dyDescent="0.3">
      <c r="A619" s="1310" t="s">
        <v>128</v>
      </c>
      <c r="B619" s="1310" t="s">
        <v>1534</v>
      </c>
      <c r="C619" s="1310" t="s">
        <v>1528</v>
      </c>
      <c r="D619" s="1310" t="s">
        <v>1572</v>
      </c>
      <c r="E619" s="1310" t="s">
        <v>1589</v>
      </c>
      <c r="F619" s="1310" t="s">
        <v>1555</v>
      </c>
      <c r="G619" s="1310" t="s">
        <v>121</v>
      </c>
      <c r="H619" s="1310" t="s">
        <v>1629</v>
      </c>
      <c r="I619" s="1310" t="s">
        <v>1640</v>
      </c>
      <c r="J619" s="1310" t="s">
        <v>1526</v>
      </c>
      <c r="K619" s="1310" t="s">
        <v>1463</v>
      </c>
      <c r="L619" s="1310" t="s">
        <v>1605</v>
      </c>
      <c r="M619" s="1310" t="s">
        <v>1481</v>
      </c>
      <c r="N619" s="1310" t="s">
        <v>1448</v>
      </c>
      <c r="O619" s="1310" t="s">
        <v>1465</v>
      </c>
      <c r="P619" s="1310" t="s">
        <v>117</v>
      </c>
      <c r="Q619" s="1310" t="s">
        <v>1495</v>
      </c>
      <c r="R619" s="1310" t="s">
        <v>1609</v>
      </c>
      <c r="S619" s="1310" t="s">
        <v>1566</v>
      </c>
      <c r="T619" s="1310" t="s">
        <v>1453</v>
      </c>
      <c r="U619" s="1310" t="s">
        <v>1521</v>
      </c>
      <c r="V619" s="1310" t="s">
        <v>1636</v>
      </c>
      <c r="W619" s="1310" t="s">
        <v>1551</v>
      </c>
      <c r="X619" s="1310" t="s">
        <v>1603</v>
      </c>
      <c r="Y619" s="1310" t="s">
        <v>1509</v>
      </c>
      <c r="Z619" s="1310" t="s">
        <v>1623</v>
      </c>
      <c r="AA619" s="1310" t="s">
        <v>112</v>
      </c>
      <c r="AB619" s="1310" t="s">
        <v>128</v>
      </c>
      <c r="AC619" s="1310" t="s">
        <v>1501</v>
      </c>
      <c r="AD619" s="1310" t="s">
        <v>1618</v>
      </c>
      <c r="AE619" s="1310" t="s">
        <v>1472</v>
      </c>
      <c r="AF619" s="1310" t="s">
        <v>1622</v>
      </c>
    </row>
    <row r="620" spans="1:32" x14ac:dyDescent="0.3">
      <c r="A620" s="1310" t="s">
        <v>1602</v>
      </c>
      <c r="B620" s="1310" t="s">
        <v>1622</v>
      </c>
      <c r="C620" s="1310" t="s">
        <v>1623</v>
      </c>
      <c r="D620" s="1310" t="s">
        <v>128</v>
      </c>
      <c r="E620" s="1310" t="s">
        <v>1645</v>
      </c>
      <c r="F620" s="1310" t="s">
        <v>1607</v>
      </c>
      <c r="G620" s="1310" t="s">
        <v>1515</v>
      </c>
      <c r="H620" s="1310" t="s">
        <v>1515</v>
      </c>
      <c r="I620" s="1310" t="s">
        <v>1602</v>
      </c>
      <c r="J620" s="1310" t="s">
        <v>1640</v>
      </c>
      <c r="K620" s="1310" t="s">
        <v>1491</v>
      </c>
      <c r="L620" s="1310" t="s">
        <v>1652</v>
      </c>
      <c r="M620" s="1310" t="s">
        <v>1517</v>
      </c>
      <c r="N620" s="1310" t="s">
        <v>1537</v>
      </c>
      <c r="O620" s="1310" t="s">
        <v>1468</v>
      </c>
      <c r="P620" s="1310" t="s">
        <v>130</v>
      </c>
      <c r="Q620" s="1310" t="s">
        <v>1515</v>
      </c>
      <c r="R620" s="1310" t="s">
        <v>111</v>
      </c>
      <c r="S620" s="1310" t="s">
        <v>117</v>
      </c>
      <c r="T620" s="1310" t="s">
        <v>1561</v>
      </c>
      <c r="U620" s="1310" t="s">
        <v>1618</v>
      </c>
      <c r="V620" s="1310" t="s">
        <v>1617</v>
      </c>
      <c r="W620" s="1310" t="s">
        <v>1582</v>
      </c>
      <c r="X620" s="1310" t="s">
        <v>1595</v>
      </c>
      <c r="Y620" s="1310" t="s">
        <v>1551</v>
      </c>
      <c r="Z620" s="1310" t="s">
        <v>127</v>
      </c>
      <c r="AA620" s="1310" t="s">
        <v>265</v>
      </c>
      <c r="AB620" s="1310" t="s">
        <v>1498</v>
      </c>
      <c r="AC620" s="1310" t="s">
        <v>264</v>
      </c>
      <c r="AD620" s="1310" t="s">
        <v>1623</v>
      </c>
      <c r="AE620" s="1310" t="s">
        <v>1457</v>
      </c>
      <c r="AF620" s="1310" t="s">
        <v>1618</v>
      </c>
    </row>
    <row r="621" spans="1:32" x14ac:dyDescent="0.3">
      <c r="A621" s="1310" t="s">
        <v>1618</v>
      </c>
      <c r="B621" s="1310" t="s">
        <v>1581</v>
      </c>
      <c r="C621" s="1310" t="s">
        <v>1453</v>
      </c>
      <c r="D621" s="1310" t="s">
        <v>1465</v>
      </c>
      <c r="E621" s="1310" t="s">
        <v>1586</v>
      </c>
      <c r="F621" s="1310" t="s">
        <v>1599</v>
      </c>
      <c r="G621" s="1310" t="s">
        <v>1466</v>
      </c>
      <c r="H621" s="1310" t="s">
        <v>1516</v>
      </c>
      <c r="I621" s="1310" t="s">
        <v>1548</v>
      </c>
      <c r="J621" s="1310" t="s">
        <v>1508</v>
      </c>
      <c r="K621" s="1310" t="s">
        <v>1521</v>
      </c>
      <c r="L621" s="1310" t="s">
        <v>1601</v>
      </c>
      <c r="M621" s="1310" t="s">
        <v>1508</v>
      </c>
      <c r="N621" s="1310" t="s">
        <v>1505</v>
      </c>
      <c r="O621" s="1310" t="s">
        <v>471</v>
      </c>
      <c r="P621" s="1310" t="s">
        <v>1615</v>
      </c>
      <c r="Q621" s="1310" t="s">
        <v>1491</v>
      </c>
      <c r="R621" s="1310" t="s">
        <v>1636</v>
      </c>
      <c r="S621" s="1310" t="s">
        <v>1643</v>
      </c>
      <c r="T621" s="1310" t="s">
        <v>1602</v>
      </c>
      <c r="U621" s="1310" t="s">
        <v>1510</v>
      </c>
      <c r="V621" s="1310" t="s">
        <v>1550</v>
      </c>
      <c r="W621" s="1310" t="s">
        <v>1506</v>
      </c>
      <c r="X621" s="1310" t="s">
        <v>1612</v>
      </c>
      <c r="Y621" s="1310" t="s">
        <v>130</v>
      </c>
      <c r="Z621" s="1310" t="s">
        <v>132</v>
      </c>
      <c r="AA621" s="1310" t="s">
        <v>1531</v>
      </c>
      <c r="AB621" s="1310" t="s">
        <v>118</v>
      </c>
      <c r="AC621" s="1310" t="s">
        <v>127</v>
      </c>
      <c r="AD621" s="1310" t="s">
        <v>1443</v>
      </c>
      <c r="AE621" s="1310" t="s">
        <v>1450</v>
      </c>
      <c r="AF621" s="1310" t="s">
        <v>1547</v>
      </c>
    </row>
    <row r="622" spans="1:32" x14ac:dyDescent="0.3">
      <c r="A622" s="1310" t="s">
        <v>1460</v>
      </c>
      <c r="B622" s="1310" t="s">
        <v>1602</v>
      </c>
      <c r="C622" s="1310" t="s">
        <v>269</v>
      </c>
      <c r="D622" s="1310" t="s">
        <v>1636</v>
      </c>
      <c r="E622" s="1310" t="s">
        <v>1580</v>
      </c>
      <c r="F622" s="1310" t="s">
        <v>1508</v>
      </c>
      <c r="G622" s="1310" t="s">
        <v>1630</v>
      </c>
      <c r="H622" s="1310" t="s">
        <v>110</v>
      </c>
      <c r="I622" s="1310" t="s">
        <v>1637</v>
      </c>
      <c r="J622" s="1310" t="s">
        <v>118</v>
      </c>
      <c r="K622" s="1310" t="s">
        <v>1544</v>
      </c>
      <c r="L622" s="1310" t="s">
        <v>1585</v>
      </c>
      <c r="M622" s="1310" t="s">
        <v>1621</v>
      </c>
      <c r="N622" s="1310" t="s">
        <v>132</v>
      </c>
      <c r="O622" s="1310" t="s">
        <v>1603</v>
      </c>
      <c r="P622" s="1310" t="s">
        <v>1622</v>
      </c>
      <c r="Q622" s="1310" t="s">
        <v>1648</v>
      </c>
      <c r="R622" s="1310" t="s">
        <v>1607</v>
      </c>
      <c r="S622" s="1310" t="s">
        <v>1637</v>
      </c>
      <c r="T622" s="1310" t="s">
        <v>1599</v>
      </c>
      <c r="U622" s="1310" t="s">
        <v>1542</v>
      </c>
      <c r="V622" s="1310" t="s">
        <v>1602</v>
      </c>
      <c r="W622" s="1310" t="s">
        <v>1654</v>
      </c>
      <c r="X622" s="1310" t="s">
        <v>1588</v>
      </c>
      <c r="Y622" s="1310" t="s">
        <v>1636</v>
      </c>
      <c r="Z622" s="1310" t="s">
        <v>1475</v>
      </c>
      <c r="AA622" s="1310" t="s">
        <v>1496</v>
      </c>
      <c r="AB622" s="1310" t="s">
        <v>1650</v>
      </c>
      <c r="AC622" s="1310" t="s">
        <v>1543</v>
      </c>
      <c r="AD622" s="1310" t="s">
        <v>114</v>
      </c>
      <c r="AE622" s="1310" t="s">
        <v>1551</v>
      </c>
      <c r="AF622" s="1310" t="s">
        <v>1463</v>
      </c>
    </row>
    <row r="623" spans="1:32" x14ac:dyDescent="0.3">
      <c r="A623" s="1310" t="s">
        <v>1472</v>
      </c>
      <c r="B623" s="1310" t="s">
        <v>1628</v>
      </c>
      <c r="C623" s="1310" t="s">
        <v>117</v>
      </c>
      <c r="D623" s="1310" t="s">
        <v>1497</v>
      </c>
      <c r="E623" s="1310" t="s">
        <v>1577</v>
      </c>
      <c r="F623" s="1310" t="s">
        <v>1590</v>
      </c>
      <c r="G623" s="1310" t="s">
        <v>1566</v>
      </c>
      <c r="H623" s="1310" t="s">
        <v>1653</v>
      </c>
      <c r="I623" s="1310" t="s">
        <v>1528</v>
      </c>
      <c r="J623" s="1310" t="s">
        <v>1519</v>
      </c>
      <c r="K623" s="1310" t="s">
        <v>118</v>
      </c>
      <c r="L623" s="1310" t="s">
        <v>1456</v>
      </c>
      <c r="M623" s="1310" t="s">
        <v>1636</v>
      </c>
      <c r="N623" s="1310" t="s">
        <v>126</v>
      </c>
      <c r="O623" s="1310" t="s">
        <v>1553</v>
      </c>
      <c r="P623" s="1310" t="s">
        <v>128</v>
      </c>
      <c r="Q623" s="1310" t="s">
        <v>1458</v>
      </c>
      <c r="R623" s="1310" t="s">
        <v>1539</v>
      </c>
      <c r="S623" s="1310" t="s">
        <v>1599</v>
      </c>
      <c r="T623" s="1310" t="s">
        <v>1473</v>
      </c>
      <c r="U623" s="1310" t="s">
        <v>1554</v>
      </c>
      <c r="V623" s="1310" t="s">
        <v>1517</v>
      </c>
      <c r="W623" s="1310" t="s">
        <v>268</v>
      </c>
      <c r="X623" s="1310" t="s">
        <v>1585</v>
      </c>
      <c r="Y623" s="1310" t="s">
        <v>1564</v>
      </c>
      <c r="Z623" s="1310" t="s">
        <v>1468</v>
      </c>
      <c r="AA623" s="1310" t="s">
        <v>1513</v>
      </c>
      <c r="AB623" s="1310" t="s">
        <v>1618</v>
      </c>
      <c r="AC623" s="1310" t="s">
        <v>1480</v>
      </c>
      <c r="AD623" s="1310" t="s">
        <v>131</v>
      </c>
      <c r="AE623" s="1310" t="s">
        <v>1577</v>
      </c>
      <c r="AF623" s="1310" t="s">
        <v>1649</v>
      </c>
    </row>
    <row r="624" spans="1:32" x14ac:dyDescent="0.3">
      <c r="A624" s="1310" t="s">
        <v>1478</v>
      </c>
      <c r="B624" s="1310" t="s">
        <v>115</v>
      </c>
      <c r="C624" s="1310" t="s">
        <v>1603</v>
      </c>
      <c r="D624" s="1310" t="s">
        <v>1543</v>
      </c>
      <c r="E624" s="1310" t="s">
        <v>1474</v>
      </c>
      <c r="F624" s="1310" t="s">
        <v>1538</v>
      </c>
      <c r="G624" s="1310" t="s">
        <v>1660</v>
      </c>
      <c r="H624" s="1310" t="s">
        <v>115</v>
      </c>
      <c r="I624" s="1310" t="s">
        <v>129</v>
      </c>
      <c r="J624" s="1310" t="s">
        <v>1580</v>
      </c>
      <c r="K624" s="1310" t="s">
        <v>123</v>
      </c>
      <c r="L624" s="1310" t="s">
        <v>1650</v>
      </c>
      <c r="M624" s="1310" t="s">
        <v>1580</v>
      </c>
      <c r="N624" s="1310" t="s">
        <v>115</v>
      </c>
      <c r="O624" s="1310" t="s">
        <v>1506</v>
      </c>
      <c r="P624" s="1310" t="s">
        <v>1515</v>
      </c>
      <c r="Q624" s="1310" t="s">
        <v>1608</v>
      </c>
      <c r="R624" s="1310" t="s">
        <v>1566</v>
      </c>
      <c r="S624" s="1310" t="s">
        <v>1475</v>
      </c>
      <c r="T624" s="1310" t="s">
        <v>1572</v>
      </c>
      <c r="U624" s="1310" t="s">
        <v>1588</v>
      </c>
      <c r="V624" s="1310" t="s">
        <v>1574</v>
      </c>
      <c r="W624" s="1310" t="s">
        <v>125</v>
      </c>
      <c r="X624" s="1310" t="s">
        <v>1549</v>
      </c>
      <c r="Y624" s="1310" t="s">
        <v>1516</v>
      </c>
      <c r="Z624" s="1310" t="s">
        <v>1607</v>
      </c>
      <c r="AA624" s="1310" t="s">
        <v>1577</v>
      </c>
      <c r="AB624" s="1310" t="s">
        <v>1583</v>
      </c>
      <c r="AC624" s="1310" t="s">
        <v>1454</v>
      </c>
      <c r="AD624" s="1310" t="s">
        <v>131</v>
      </c>
      <c r="AE624" s="1310" t="s">
        <v>1556</v>
      </c>
      <c r="AF624" s="1310" t="s">
        <v>1558</v>
      </c>
    </row>
    <row r="625" spans="1:32" x14ac:dyDescent="0.3">
      <c r="A625" s="1310" t="s">
        <v>1594</v>
      </c>
      <c r="B625" s="1310" t="s">
        <v>1582</v>
      </c>
      <c r="C625" s="1310" t="s">
        <v>121</v>
      </c>
      <c r="D625" s="1310" t="s">
        <v>1654</v>
      </c>
      <c r="E625" s="1310" t="s">
        <v>1548</v>
      </c>
      <c r="F625" s="1310" t="s">
        <v>1507</v>
      </c>
      <c r="G625" s="1310" t="s">
        <v>1633</v>
      </c>
      <c r="H625" s="1310" t="s">
        <v>1576</v>
      </c>
      <c r="I625" s="1310" t="s">
        <v>1590</v>
      </c>
      <c r="J625" s="1310" t="s">
        <v>1624</v>
      </c>
      <c r="K625" s="1310" t="s">
        <v>1579</v>
      </c>
      <c r="L625" s="1310" t="s">
        <v>1540</v>
      </c>
      <c r="M625" s="1310" t="s">
        <v>1562</v>
      </c>
      <c r="N625" s="1310" t="s">
        <v>1449</v>
      </c>
      <c r="O625" s="1310" t="s">
        <v>1451</v>
      </c>
      <c r="P625" s="1310" t="s">
        <v>1606</v>
      </c>
      <c r="Q625" s="1310" t="s">
        <v>1527</v>
      </c>
      <c r="R625" s="1310" t="s">
        <v>1557</v>
      </c>
      <c r="S625" s="1310" t="s">
        <v>1546</v>
      </c>
      <c r="T625" s="1310" t="s">
        <v>1641</v>
      </c>
      <c r="U625" s="1310" t="s">
        <v>1497</v>
      </c>
      <c r="V625" s="1310" t="s">
        <v>1580</v>
      </c>
      <c r="W625" s="1310" t="s">
        <v>1657</v>
      </c>
      <c r="X625" s="1310" t="s">
        <v>1500</v>
      </c>
      <c r="Y625" s="1310" t="s">
        <v>1577</v>
      </c>
      <c r="Z625" s="1310" t="s">
        <v>1454</v>
      </c>
      <c r="AA625" s="1310" t="s">
        <v>1455</v>
      </c>
      <c r="AB625" s="1310" t="s">
        <v>1584</v>
      </c>
      <c r="AC625" s="1310" t="s">
        <v>127</v>
      </c>
      <c r="AD625" s="1310" t="s">
        <v>1572</v>
      </c>
      <c r="AE625" s="1310" t="s">
        <v>1468</v>
      </c>
      <c r="AF625" s="1310" t="s">
        <v>1564</v>
      </c>
    </row>
    <row r="626" spans="1:32" x14ac:dyDescent="0.3">
      <c r="A626" s="1310" t="s">
        <v>1504</v>
      </c>
      <c r="B626" s="1310" t="s">
        <v>1530</v>
      </c>
      <c r="C626" s="1310" t="s">
        <v>1613</v>
      </c>
      <c r="D626" s="1310" t="s">
        <v>1630</v>
      </c>
      <c r="E626" s="1310" t="s">
        <v>1627</v>
      </c>
      <c r="F626" s="1310" t="s">
        <v>1648</v>
      </c>
      <c r="G626" s="1310" t="s">
        <v>1592</v>
      </c>
      <c r="H626" s="1310" t="s">
        <v>1528</v>
      </c>
      <c r="I626" s="1310" t="s">
        <v>1526</v>
      </c>
      <c r="J626" s="1310" t="s">
        <v>1642</v>
      </c>
      <c r="K626" s="1310" t="s">
        <v>1568</v>
      </c>
      <c r="L626" s="1310" t="s">
        <v>1523</v>
      </c>
      <c r="M626" s="1310" t="s">
        <v>1542</v>
      </c>
      <c r="N626" s="1310" t="s">
        <v>1526</v>
      </c>
      <c r="O626" s="1310" t="s">
        <v>1572</v>
      </c>
      <c r="P626" s="1310" t="s">
        <v>1483</v>
      </c>
      <c r="Q626" s="1310" t="s">
        <v>1564</v>
      </c>
      <c r="R626" s="1310" t="s">
        <v>1482</v>
      </c>
      <c r="S626" s="1310" t="s">
        <v>1588</v>
      </c>
      <c r="T626" s="1310" t="s">
        <v>1595</v>
      </c>
      <c r="U626" s="1310" t="s">
        <v>116</v>
      </c>
      <c r="V626" s="1310" t="s">
        <v>1510</v>
      </c>
      <c r="W626" s="1310" t="s">
        <v>1526</v>
      </c>
      <c r="X626" s="1310" t="s">
        <v>1579</v>
      </c>
      <c r="Y626" s="1310" t="s">
        <v>1629</v>
      </c>
      <c r="Z626" s="1310" t="s">
        <v>1525</v>
      </c>
      <c r="AA626" s="1310" t="s">
        <v>1482</v>
      </c>
      <c r="AB626" s="1310" t="s">
        <v>112</v>
      </c>
      <c r="AC626" s="1310" t="s">
        <v>1451</v>
      </c>
      <c r="AD626" s="1310" t="s">
        <v>123</v>
      </c>
      <c r="AE626" s="1310" t="s">
        <v>1584</v>
      </c>
      <c r="AF626" s="1310" t="s">
        <v>1507</v>
      </c>
    </row>
    <row r="627" spans="1:32" x14ac:dyDescent="0.3">
      <c r="A627" s="1310" t="s">
        <v>1558</v>
      </c>
      <c r="B627" s="1310" t="s">
        <v>1457</v>
      </c>
      <c r="C627" s="1310" t="s">
        <v>116</v>
      </c>
      <c r="D627" s="1310" t="s">
        <v>1449</v>
      </c>
      <c r="E627" s="1310" t="s">
        <v>1554</v>
      </c>
      <c r="F627" s="1310" t="s">
        <v>1447</v>
      </c>
      <c r="G627" s="1310" t="s">
        <v>114</v>
      </c>
      <c r="H627" s="1310" t="s">
        <v>1461</v>
      </c>
      <c r="I627" s="1310" t="s">
        <v>1626</v>
      </c>
      <c r="J627" s="1310" t="s">
        <v>1513</v>
      </c>
      <c r="K627" s="1310" t="s">
        <v>1461</v>
      </c>
      <c r="L627" s="1310" t="s">
        <v>1469</v>
      </c>
      <c r="M627" s="1310" t="s">
        <v>1483</v>
      </c>
      <c r="N627" s="1310" t="s">
        <v>1463</v>
      </c>
      <c r="O627" s="1310" t="s">
        <v>1629</v>
      </c>
      <c r="P627" s="1310" t="s">
        <v>1649</v>
      </c>
      <c r="Q627" s="1310" t="s">
        <v>1516</v>
      </c>
      <c r="R627" s="1310" t="s">
        <v>1558</v>
      </c>
      <c r="S627" s="1310" t="s">
        <v>1660</v>
      </c>
      <c r="T627" s="1310" t="s">
        <v>1490</v>
      </c>
      <c r="U627" s="1310" t="s">
        <v>1589</v>
      </c>
      <c r="V627" s="1310" t="s">
        <v>114</v>
      </c>
      <c r="W627" s="1310" t="s">
        <v>1467</v>
      </c>
      <c r="X627" s="1310" t="s">
        <v>1587</v>
      </c>
      <c r="Y627" s="1310" t="s">
        <v>1494</v>
      </c>
      <c r="Z627" s="1310" t="s">
        <v>1603</v>
      </c>
      <c r="AA627" s="1310" t="s">
        <v>1559</v>
      </c>
      <c r="AB627" s="1310" t="s">
        <v>1460</v>
      </c>
      <c r="AC627" s="1310" t="s">
        <v>1468</v>
      </c>
      <c r="AD627" s="1310" t="s">
        <v>1526</v>
      </c>
      <c r="AE627" s="1310" t="s">
        <v>1581</v>
      </c>
      <c r="AF627" s="1310" t="s">
        <v>1636</v>
      </c>
    </row>
    <row r="628" spans="1:32" x14ac:dyDescent="0.3">
      <c r="A628" s="1310" t="s">
        <v>1471</v>
      </c>
      <c r="B628" s="1310" t="s">
        <v>1616</v>
      </c>
      <c r="C628" s="1310" t="s">
        <v>1554</v>
      </c>
      <c r="D628" s="1310" t="s">
        <v>1648</v>
      </c>
      <c r="E628" s="1310" t="s">
        <v>1648</v>
      </c>
      <c r="F628" s="1310" t="s">
        <v>1530</v>
      </c>
      <c r="G628" s="1310" t="s">
        <v>1567</v>
      </c>
      <c r="H628" s="1310" t="s">
        <v>1540</v>
      </c>
      <c r="I628" s="1310" t="s">
        <v>1625</v>
      </c>
      <c r="J628" s="1310" t="s">
        <v>1588</v>
      </c>
      <c r="K628" s="1310" t="s">
        <v>1553</v>
      </c>
      <c r="L628" s="1310" t="s">
        <v>114</v>
      </c>
      <c r="M628" s="1310" t="s">
        <v>1472</v>
      </c>
      <c r="N628" s="1310" t="s">
        <v>1637</v>
      </c>
      <c r="O628" s="1310" t="s">
        <v>1485</v>
      </c>
      <c r="P628" s="1310" t="s">
        <v>1511</v>
      </c>
      <c r="Q628" s="1310" t="s">
        <v>1584</v>
      </c>
      <c r="R628" s="1310" t="s">
        <v>1547</v>
      </c>
      <c r="S628" s="1310" t="s">
        <v>1601</v>
      </c>
      <c r="T628" s="1310" t="s">
        <v>119</v>
      </c>
      <c r="U628" s="1310" t="s">
        <v>1492</v>
      </c>
      <c r="V628" s="1310" t="s">
        <v>1453</v>
      </c>
      <c r="W628" s="1310" t="s">
        <v>1452</v>
      </c>
      <c r="X628" s="1310" t="s">
        <v>1480</v>
      </c>
      <c r="Y628" s="1310" t="s">
        <v>1448</v>
      </c>
      <c r="Z628" s="1310" t="s">
        <v>267</v>
      </c>
      <c r="AA628" s="1310" t="s">
        <v>1653</v>
      </c>
      <c r="AB628" s="1310" t="s">
        <v>1546</v>
      </c>
      <c r="AC628" s="1310" t="s">
        <v>1476</v>
      </c>
      <c r="AD628" s="1310" t="s">
        <v>1606</v>
      </c>
      <c r="AE628" s="1310" t="s">
        <v>1541</v>
      </c>
      <c r="AF628" s="1310" t="s">
        <v>116</v>
      </c>
    </row>
    <row r="629" spans="1:32" x14ac:dyDescent="0.3">
      <c r="A629" s="1310" t="s">
        <v>1526</v>
      </c>
      <c r="B629" s="1310" t="s">
        <v>1574</v>
      </c>
      <c r="C629" s="1310" t="s">
        <v>1528</v>
      </c>
      <c r="D629" s="1310" t="s">
        <v>1553</v>
      </c>
      <c r="E629" s="1310" t="s">
        <v>1572</v>
      </c>
      <c r="F629" s="1310" t="s">
        <v>1613</v>
      </c>
      <c r="G629" s="1310" t="s">
        <v>1536</v>
      </c>
      <c r="H629" s="1310" t="s">
        <v>1473</v>
      </c>
      <c r="I629" s="1310" t="s">
        <v>1526</v>
      </c>
      <c r="J629" s="1310" t="s">
        <v>1586</v>
      </c>
      <c r="K629" s="1310" t="s">
        <v>1518</v>
      </c>
      <c r="L629" s="1310" t="s">
        <v>1462</v>
      </c>
      <c r="M629" s="1310" t="s">
        <v>1503</v>
      </c>
      <c r="N629" s="1310" t="s">
        <v>1572</v>
      </c>
      <c r="O629" s="1310" t="s">
        <v>1560</v>
      </c>
      <c r="P629" s="1310" t="s">
        <v>1495</v>
      </c>
      <c r="Q629" s="1310" t="s">
        <v>1483</v>
      </c>
      <c r="R629" s="1310" t="s">
        <v>1606</v>
      </c>
      <c r="S629" s="1310" t="s">
        <v>122</v>
      </c>
      <c r="T629" s="1310" t="s">
        <v>1646</v>
      </c>
      <c r="U629" s="1310" t="s">
        <v>115</v>
      </c>
      <c r="V629" s="1310" t="s">
        <v>1549</v>
      </c>
      <c r="W629" s="1310" t="s">
        <v>265</v>
      </c>
      <c r="X629" s="1310" t="s">
        <v>1447</v>
      </c>
      <c r="Y629" s="1310" t="s">
        <v>116</v>
      </c>
      <c r="Z629" s="1310" t="s">
        <v>1493</v>
      </c>
      <c r="AA629" s="1310" t="s">
        <v>1579</v>
      </c>
      <c r="AB629" s="1310" t="s">
        <v>1544</v>
      </c>
      <c r="AC629" s="1310" t="s">
        <v>1658</v>
      </c>
      <c r="AD629" s="1310" t="s">
        <v>1592</v>
      </c>
      <c r="AE629" s="1310" t="s">
        <v>132</v>
      </c>
      <c r="AF629" s="1310" t="s">
        <v>268</v>
      </c>
    </row>
    <row r="630" spans="1:32" x14ac:dyDescent="0.3">
      <c r="A630" s="1310" t="s">
        <v>1526</v>
      </c>
      <c r="B630" s="1310" t="s">
        <v>266</v>
      </c>
      <c r="C630" s="1310" t="s">
        <v>1552</v>
      </c>
      <c r="D630" s="1310" t="s">
        <v>110</v>
      </c>
      <c r="E630" s="1310" t="s">
        <v>1467</v>
      </c>
      <c r="F630" s="1310" t="s">
        <v>1554</v>
      </c>
      <c r="G630" s="1310" t="s">
        <v>1559</v>
      </c>
      <c r="H630" s="1310" t="s">
        <v>1631</v>
      </c>
      <c r="I630" s="1310" t="s">
        <v>1644</v>
      </c>
      <c r="J630" s="1310" t="s">
        <v>6</v>
      </c>
      <c r="K630" s="1310" t="s">
        <v>1625</v>
      </c>
      <c r="L630" s="1310" t="s">
        <v>1482</v>
      </c>
      <c r="M630" s="1310" t="s">
        <v>1633</v>
      </c>
      <c r="N630" s="1310" t="s">
        <v>1477</v>
      </c>
      <c r="O630" s="1310" t="s">
        <v>1548</v>
      </c>
      <c r="P630" s="1310" t="s">
        <v>1526</v>
      </c>
      <c r="Q630" s="1310" t="s">
        <v>1630</v>
      </c>
      <c r="R630" s="1310" t="s">
        <v>116</v>
      </c>
      <c r="S630" s="1310" t="s">
        <v>1461</v>
      </c>
      <c r="T630" s="1310" t="s">
        <v>1512</v>
      </c>
      <c r="U630" s="1310" t="s">
        <v>1554</v>
      </c>
      <c r="V630" s="1310" t="s">
        <v>1459</v>
      </c>
      <c r="W630" s="1310" t="s">
        <v>1595</v>
      </c>
      <c r="X630" s="1310" t="s">
        <v>1459</v>
      </c>
      <c r="Y630" s="1310" t="s">
        <v>1622</v>
      </c>
      <c r="Z630" s="1310" t="s">
        <v>1621</v>
      </c>
      <c r="AA630" s="1310" t="s">
        <v>1643</v>
      </c>
      <c r="AB630" s="1310" t="s">
        <v>1627</v>
      </c>
      <c r="AC630" s="1310" t="s">
        <v>1494</v>
      </c>
      <c r="AD630" s="1310" t="s">
        <v>1486</v>
      </c>
      <c r="AE630" s="1310" t="s">
        <v>1461</v>
      </c>
      <c r="AF630" s="1310" t="s">
        <v>1449</v>
      </c>
    </row>
    <row r="631" spans="1:32" x14ac:dyDescent="0.3">
      <c r="A631" s="1310" t="s">
        <v>1451</v>
      </c>
      <c r="B631" s="1310" t="s">
        <v>1654</v>
      </c>
      <c r="C631" s="1310" t="s">
        <v>1632</v>
      </c>
      <c r="D631" s="1310" t="s">
        <v>1568</v>
      </c>
      <c r="E631" s="1310" t="s">
        <v>126</v>
      </c>
      <c r="F631" s="1310" t="s">
        <v>1579</v>
      </c>
      <c r="G631" s="1310" t="s">
        <v>1649</v>
      </c>
      <c r="H631" s="1310" t="s">
        <v>1450</v>
      </c>
      <c r="I631" s="1310" t="s">
        <v>1589</v>
      </c>
      <c r="J631" s="1310" t="s">
        <v>116</v>
      </c>
      <c r="K631" s="1310" t="s">
        <v>1650</v>
      </c>
      <c r="L631" s="1310" t="s">
        <v>1646</v>
      </c>
      <c r="M631" s="1310" t="s">
        <v>1572</v>
      </c>
      <c r="N631" s="1310" t="s">
        <v>1599</v>
      </c>
      <c r="O631" s="1310" t="s">
        <v>262</v>
      </c>
      <c r="P631" s="1310" t="s">
        <v>1451</v>
      </c>
      <c r="Q631" s="1310" t="s">
        <v>1465</v>
      </c>
      <c r="R631" s="1310" t="s">
        <v>1453</v>
      </c>
      <c r="S631" s="1310" t="s">
        <v>1626</v>
      </c>
      <c r="T631" s="1310" t="s">
        <v>115</v>
      </c>
      <c r="U631" s="1310" t="s">
        <v>1551</v>
      </c>
      <c r="V631" s="1310" t="s">
        <v>1451</v>
      </c>
      <c r="W631" s="1310" t="s">
        <v>125</v>
      </c>
      <c r="X631" s="1310" t="s">
        <v>1469</v>
      </c>
      <c r="Y631" s="1310" t="s">
        <v>1458</v>
      </c>
      <c r="Z631" s="1310" t="s">
        <v>1456</v>
      </c>
      <c r="AA631" s="1310" t="s">
        <v>1473</v>
      </c>
      <c r="AB631" s="1310" t="s">
        <v>1573</v>
      </c>
      <c r="AC631" s="1310" t="s">
        <v>1542</v>
      </c>
      <c r="AD631" s="1310" t="s">
        <v>1599</v>
      </c>
      <c r="AE631" s="1310" t="s">
        <v>1460</v>
      </c>
      <c r="AF631" s="1310" t="s">
        <v>465</v>
      </c>
    </row>
    <row r="632" spans="1:32" x14ac:dyDescent="0.3">
      <c r="A632" s="1310" t="s">
        <v>1634</v>
      </c>
      <c r="B632" s="1310" t="s">
        <v>1458</v>
      </c>
      <c r="C632" s="1310" t="s">
        <v>1650</v>
      </c>
      <c r="D632" s="1310" t="s">
        <v>1453</v>
      </c>
      <c r="E632" s="1310" t="s">
        <v>1638</v>
      </c>
      <c r="F632" s="1310" t="s">
        <v>131</v>
      </c>
      <c r="G632" s="1310" t="s">
        <v>1475</v>
      </c>
      <c r="H632" s="1310" t="s">
        <v>1530</v>
      </c>
      <c r="I632" s="1310" t="s">
        <v>1489</v>
      </c>
      <c r="J632" s="1310" t="s">
        <v>1557</v>
      </c>
      <c r="K632" s="1310" t="s">
        <v>1446</v>
      </c>
      <c r="L632" s="1310" t="s">
        <v>1569</v>
      </c>
      <c r="M632" s="1310" t="s">
        <v>1624</v>
      </c>
      <c r="N632" s="1310" t="s">
        <v>1478</v>
      </c>
      <c r="O632" s="1310" t="s">
        <v>1448</v>
      </c>
      <c r="P632" s="1310" t="s">
        <v>1526</v>
      </c>
      <c r="Q632" s="1310" t="s">
        <v>1514</v>
      </c>
      <c r="R632" s="1310" t="s">
        <v>126</v>
      </c>
      <c r="S632" s="1310" t="s">
        <v>1652</v>
      </c>
      <c r="T632" s="1310" t="s">
        <v>1498</v>
      </c>
      <c r="U632" s="1310" t="s">
        <v>1554</v>
      </c>
      <c r="V632" s="1310" t="s">
        <v>1482</v>
      </c>
      <c r="W632" s="1310" t="s">
        <v>1513</v>
      </c>
      <c r="X632" s="1310" t="s">
        <v>1536</v>
      </c>
      <c r="Y632" s="1310" t="s">
        <v>1591</v>
      </c>
      <c r="Z632" s="1310" t="s">
        <v>1537</v>
      </c>
      <c r="AA632" s="1310" t="s">
        <v>1576</v>
      </c>
      <c r="AB632" s="1310" t="s">
        <v>1588</v>
      </c>
      <c r="AC632" s="1310" t="s">
        <v>1600</v>
      </c>
      <c r="AD632" s="1310" t="s">
        <v>1462</v>
      </c>
      <c r="AE632" s="1310" t="s">
        <v>1539</v>
      </c>
      <c r="AF632" s="1310" t="s">
        <v>266</v>
      </c>
    </row>
    <row r="633" spans="1:32" x14ac:dyDescent="0.3">
      <c r="A633" s="1310" t="s">
        <v>1521</v>
      </c>
      <c r="B633" s="1310" t="s">
        <v>1652</v>
      </c>
      <c r="C633" s="1310" t="s">
        <v>1616</v>
      </c>
      <c r="D633" s="1310" t="s">
        <v>1486</v>
      </c>
      <c r="E633" s="1310" t="s">
        <v>1625</v>
      </c>
      <c r="F633" s="1310" t="s">
        <v>1514</v>
      </c>
      <c r="G633" s="1310" t="s">
        <v>1446</v>
      </c>
      <c r="H633" s="1310" t="s">
        <v>120</v>
      </c>
      <c r="I633" s="1310" t="s">
        <v>1613</v>
      </c>
      <c r="J633" s="1310" t="s">
        <v>127</v>
      </c>
      <c r="K633" s="1310" t="s">
        <v>1508</v>
      </c>
      <c r="L633" s="1310" t="s">
        <v>1537</v>
      </c>
      <c r="M633" s="1310" t="s">
        <v>269</v>
      </c>
      <c r="N633" s="1310" t="s">
        <v>1566</v>
      </c>
      <c r="O633" s="1310" t="s">
        <v>1539</v>
      </c>
      <c r="P633" s="1310" t="s">
        <v>1519</v>
      </c>
      <c r="Q633" s="1310" t="s">
        <v>1632</v>
      </c>
      <c r="R633" s="1310" t="s">
        <v>1642</v>
      </c>
      <c r="S633" s="1310" t="s">
        <v>1568</v>
      </c>
      <c r="T633" s="1310" t="s">
        <v>1650</v>
      </c>
      <c r="U633" s="1310" t="s">
        <v>1621</v>
      </c>
      <c r="V633" s="1310" t="s">
        <v>1531</v>
      </c>
      <c r="W633" s="1310" t="s">
        <v>127</v>
      </c>
      <c r="X633" s="1310" t="s">
        <v>1475</v>
      </c>
      <c r="Y633" s="1310" t="s">
        <v>1610</v>
      </c>
      <c r="Z633" s="1310" t="s">
        <v>1455</v>
      </c>
      <c r="AA633" s="1310" t="s">
        <v>1632</v>
      </c>
      <c r="AB633" s="1310" t="s">
        <v>1635</v>
      </c>
      <c r="AC633" s="1310" t="s">
        <v>1448</v>
      </c>
      <c r="AD633" s="1310" t="s">
        <v>1542</v>
      </c>
      <c r="AE633" s="1310" t="s">
        <v>1453</v>
      </c>
      <c r="AF633" s="1310" t="s">
        <v>1489</v>
      </c>
    </row>
    <row r="634" spans="1:32" x14ac:dyDescent="0.3">
      <c r="A634" s="1310" t="s">
        <v>1572</v>
      </c>
      <c r="B634" s="1310" t="s">
        <v>1605</v>
      </c>
      <c r="C634" s="1310" t="s">
        <v>1651</v>
      </c>
      <c r="D634" s="1310" t="s">
        <v>1614</v>
      </c>
      <c r="E634" s="1310" t="s">
        <v>1543</v>
      </c>
      <c r="F634" s="1310" t="s">
        <v>263</v>
      </c>
      <c r="G634" s="1310" t="s">
        <v>465</v>
      </c>
      <c r="H634" s="1310" t="s">
        <v>1629</v>
      </c>
      <c r="I634" s="1310" t="s">
        <v>1647</v>
      </c>
      <c r="J634" s="1310" t="s">
        <v>1567</v>
      </c>
      <c r="K634" s="1310" t="s">
        <v>1525</v>
      </c>
      <c r="L634" s="1310" t="s">
        <v>122</v>
      </c>
      <c r="M634" s="1310" t="s">
        <v>1448</v>
      </c>
      <c r="N634" s="1310" t="s">
        <v>130</v>
      </c>
      <c r="O634" s="1310" t="s">
        <v>1494</v>
      </c>
      <c r="P634" s="1310" t="s">
        <v>1516</v>
      </c>
      <c r="Q634" s="1310" t="s">
        <v>1625</v>
      </c>
      <c r="R634" s="1310" t="s">
        <v>1467</v>
      </c>
      <c r="S634" s="1310" t="s">
        <v>1500</v>
      </c>
      <c r="T634" s="1310" t="s">
        <v>1656</v>
      </c>
      <c r="U634" s="1310" t="s">
        <v>1552</v>
      </c>
      <c r="V634" s="1310" t="s">
        <v>1604</v>
      </c>
      <c r="W634" s="1310" t="s">
        <v>1619</v>
      </c>
      <c r="X634" s="1310" t="s">
        <v>1584</v>
      </c>
      <c r="Y634" s="1310" t="s">
        <v>268</v>
      </c>
      <c r="Z634" s="1310" t="s">
        <v>1539</v>
      </c>
      <c r="AA634" s="1310" t="s">
        <v>1573</v>
      </c>
      <c r="AB634" s="1310" t="s">
        <v>1467</v>
      </c>
      <c r="AC634" s="1310" t="s">
        <v>1445</v>
      </c>
      <c r="AD634" s="1310" t="s">
        <v>1604</v>
      </c>
      <c r="AE634" s="1310" t="s">
        <v>1643</v>
      </c>
      <c r="AF634" s="1310" t="s">
        <v>1564</v>
      </c>
    </row>
    <row r="635" spans="1:32" x14ac:dyDescent="0.3">
      <c r="A635" s="1310" t="s">
        <v>1643</v>
      </c>
      <c r="B635" s="1310" t="s">
        <v>1600</v>
      </c>
      <c r="C635" s="1310" t="s">
        <v>1558</v>
      </c>
      <c r="D635" s="1310" t="s">
        <v>1506</v>
      </c>
      <c r="E635" s="1310" t="s">
        <v>1471</v>
      </c>
      <c r="F635" s="1310" t="s">
        <v>1565</v>
      </c>
      <c r="G635" s="1310" t="s">
        <v>130</v>
      </c>
      <c r="H635" s="1310" t="s">
        <v>1541</v>
      </c>
      <c r="I635" s="1310" t="s">
        <v>1504</v>
      </c>
      <c r="J635" s="1310" t="s">
        <v>1532</v>
      </c>
      <c r="K635" s="1310" t="s">
        <v>1502</v>
      </c>
      <c r="L635" s="1310" t="s">
        <v>1535</v>
      </c>
      <c r="M635" s="1310" t="s">
        <v>1499</v>
      </c>
      <c r="N635" s="1310" t="s">
        <v>133</v>
      </c>
      <c r="O635" s="1310" t="s">
        <v>132</v>
      </c>
      <c r="P635" s="1310" t="s">
        <v>1030</v>
      </c>
      <c r="Q635" s="1310" t="s">
        <v>1487</v>
      </c>
      <c r="R635" s="1310" t="s">
        <v>1505</v>
      </c>
      <c r="S635" s="1310" t="s">
        <v>1550</v>
      </c>
      <c r="T635" s="1310" t="s">
        <v>1501</v>
      </c>
      <c r="U635" s="1310" t="s">
        <v>1482</v>
      </c>
      <c r="V635" s="1310" t="s">
        <v>1496</v>
      </c>
      <c r="W635" s="1310" t="s">
        <v>1493</v>
      </c>
      <c r="X635" s="1310" t="s">
        <v>1649</v>
      </c>
      <c r="Y635" s="1310" t="s">
        <v>1485</v>
      </c>
      <c r="Z635" s="1310" t="s">
        <v>1457</v>
      </c>
      <c r="AA635" s="1310" t="s">
        <v>1578</v>
      </c>
      <c r="AB635" s="1310" t="s">
        <v>1447</v>
      </c>
      <c r="AC635" s="1310" t="s">
        <v>1568</v>
      </c>
      <c r="AD635" s="1310" t="s">
        <v>1463</v>
      </c>
      <c r="AE635" s="1310" t="s">
        <v>1611</v>
      </c>
      <c r="AF635" s="1310" t="s">
        <v>1647</v>
      </c>
    </row>
    <row r="636" spans="1:32" x14ac:dyDescent="0.3">
      <c r="A636" s="1310" t="s">
        <v>6</v>
      </c>
      <c r="B636" s="1310" t="s">
        <v>1617</v>
      </c>
      <c r="C636" s="1310" t="s">
        <v>6</v>
      </c>
      <c r="D636" s="1310" t="s">
        <v>1478</v>
      </c>
      <c r="E636" s="1310" t="s">
        <v>1461</v>
      </c>
      <c r="F636" s="1310" t="s">
        <v>1574</v>
      </c>
      <c r="G636" s="1310" t="s">
        <v>1631</v>
      </c>
      <c r="H636" s="1310" t="s">
        <v>264</v>
      </c>
      <c r="I636" s="1310" t="s">
        <v>1559</v>
      </c>
      <c r="J636" s="1310" t="s">
        <v>1655</v>
      </c>
      <c r="K636" s="1310" t="s">
        <v>120</v>
      </c>
      <c r="L636" s="1310" t="s">
        <v>1474</v>
      </c>
      <c r="M636" s="1310" t="s">
        <v>1543</v>
      </c>
      <c r="N636" s="1310" t="s">
        <v>1483</v>
      </c>
      <c r="O636" s="1310" t="s">
        <v>116</v>
      </c>
      <c r="P636" s="1310" t="s">
        <v>1655</v>
      </c>
      <c r="Q636" s="1310" t="s">
        <v>122</v>
      </c>
      <c r="R636" s="1310" t="s">
        <v>1451</v>
      </c>
      <c r="S636" s="1310" t="s">
        <v>118</v>
      </c>
      <c r="T636" s="1310" t="s">
        <v>1606</v>
      </c>
      <c r="U636" s="1310" t="s">
        <v>1585</v>
      </c>
      <c r="V636" s="1310" t="s">
        <v>6</v>
      </c>
      <c r="W636" s="1310" t="s">
        <v>1566</v>
      </c>
      <c r="X636" s="1310" t="s">
        <v>1509</v>
      </c>
      <c r="Y636" s="1310" t="s">
        <v>1597</v>
      </c>
      <c r="Z636" s="1310" t="s">
        <v>116</v>
      </c>
      <c r="AA636" s="1310" t="s">
        <v>1566</v>
      </c>
      <c r="AB636" s="1310" t="s">
        <v>120</v>
      </c>
      <c r="AC636" s="1310" t="s">
        <v>1470</v>
      </c>
      <c r="AD636" s="1310" t="s">
        <v>1511</v>
      </c>
      <c r="AE636" s="1310" t="s">
        <v>471</v>
      </c>
      <c r="AF636" s="1310" t="s">
        <v>1558</v>
      </c>
    </row>
    <row r="637" spans="1:32" x14ac:dyDescent="0.3">
      <c r="A637" s="1310" t="s">
        <v>1443</v>
      </c>
      <c r="B637" s="1310" t="s">
        <v>1450</v>
      </c>
      <c r="C637" s="1310" t="s">
        <v>1602</v>
      </c>
      <c r="D637" s="1310" t="s">
        <v>1620</v>
      </c>
      <c r="E637" s="1310" t="s">
        <v>1585</v>
      </c>
      <c r="F637" s="1310" t="s">
        <v>1655</v>
      </c>
      <c r="G637" s="1310" t="s">
        <v>1588</v>
      </c>
      <c r="H637" s="1310" t="s">
        <v>1585</v>
      </c>
      <c r="I637" s="1310" t="s">
        <v>1600</v>
      </c>
      <c r="J637" s="1310" t="s">
        <v>1648</v>
      </c>
      <c r="K637" s="1310" t="s">
        <v>1613</v>
      </c>
      <c r="L637" s="1310" t="s">
        <v>1633</v>
      </c>
      <c r="M637" s="1310" t="s">
        <v>1604</v>
      </c>
      <c r="N637" s="1310" t="s">
        <v>1537</v>
      </c>
      <c r="O637" s="1310" t="s">
        <v>1642</v>
      </c>
      <c r="P637" s="1310" t="s">
        <v>1491</v>
      </c>
      <c r="Q637" s="1310" t="s">
        <v>1545</v>
      </c>
      <c r="R637" s="1310" t="s">
        <v>1581</v>
      </c>
      <c r="S637" s="1310" t="s">
        <v>1466</v>
      </c>
      <c r="T637" s="1310" t="s">
        <v>1659</v>
      </c>
      <c r="U637" s="1310" t="s">
        <v>1563</v>
      </c>
      <c r="V637" s="1310" t="s">
        <v>1619</v>
      </c>
      <c r="W637" s="1310" t="s">
        <v>116</v>
      </c>
      <c r="X637" s="1310" t="s">
        <v>465</v>
      </c>
      <c r="Y637" s="1310" t="s">
        <v>1504</v>
      </c>
      <c r="Z637" s="1310" t="s">
        <v>1501</v>
      </c>
      <c r="AA637" s="1310" t="s">
        <v>1531</v>
      </c>
      <c r="AB637" s="1310" t="s">
        <v>1584</v>
      </c>
      <c r="AC637" s="1310" t="s">
        <v>1646</v>
      </c>
      <c r="AD637" s="1310" t="s">
        <v>1511</v>
      </c>
      <c r="AE637" s="1310" t="s">
        <v>1548</v>
      </c>
      <c r="AF637" s="1310" t="s">
        <v>1575</v>
      </c>
    </row>
    <row r="638" spans="1:32" x14ac:dyDescent="0.3">
      <c r="A638" s="1310" t="s">
        <v>1536</v>
      </c>
      <c r="B638" s="1310" t="s">
        <v>131</v>
      </c>
      <c r="C638" s="1310" t="s">
        <v>1652</v>
      </c>
      <c r="D638" s="1310" t="s">
        <v>1621</v>
      </c>
      <c r="E638" s="1310" t="s">
        <v>1541</v>
      </c>
      <c r="F638" s="1310" t="s">
        <v>1444</v>
      </c>
      <c r="G638" s="1310" t="s">
        <v>465</v>
      </c>
      <c r="H638" s="1310" t="s">
        <v>114</v>
      </c>
      <c r="I638" s="1310" t="s">
        <v>1488</v>
      </c>
      <c r="J638" s="1310" t="s">
        <v>1455</v>
      </c>
      <c r="K638" s="1310" t="s">
        <v>1635</v>
      </c>
      <c r="L638" s="1310" t="s">
        <v>1549</v>
      </c>
      <c r="M638" s="1310" t="s">
        <v>1644</v>
      </c>
      <c r="N638" s="1310" t="s">
        <v>1632</v>
      </c>
      <c r="O638" s="1310" t="s">
        <v>1600</v>
      </c>
      <c r="P638" s="1310" t="s">
        <v>1509</v>
      </c>
      <c r="Q638" s="1310" t="s">
        <v>1554</v>
      </c>
      <c r="R638" s="1310" t="s">
        <v>1452</v>
      </c>
      <c r="S638" s="1310" t="s">
        <v>1621</v>
      </c>
      <c r="T638" s="1310" t="s">
        <v>1541</v>
      </c>
      <c r="U638" s="1310" t="s">
        <v>1444</v>
      </c>
      <c r="V638" s="1310" t="s">
        <v>465</v>
      </c>
      <c r="W638" s="1310" t="s">
        <v>114</v>
      </c>
      <c r="X638" s="1310" t="s">
        <v>1488</v>
      </c>
      <c r="Y638" s="1310" t="s">
        <v>1455</v>
      </c>
      <c r="Z638" s="1310" t="s">
        <v>1635</v>
      </c>
      <c r="AA638" s="1310" t="s">
        <v>1549</v>
      </c>
      <c r="AB638" s="1310" t="s">
        <v>1644</v>
      </c>
      <c r="AC638" s="1310" t="s">
        <v>1632</v>
      </c>
      <c r="AD638" s="1310" t="s">
        <v>1600</v>
      </c>
      <c r="AE638" s="1310" t="s">
        <v>1509</v>
      </c>
      <c r="AF638" s="1310" t="s">
        <v>1580</v>
      </c>
    </row>
    <row r="639" spans="1:32" x14ac:dyDescent="0.3">
      <c r="A639" s="1310" t="s">
        <v>1443</v>
      </c>
      <c r="B639" s="1310" t="s">
        <v>123</v>
      </c>
      <c r="C639" s="1310" t="s">
        <v>1571</v>
      </c>
      <c r="D639" s="1310" t="s">
        <v>1562</v>
      </c>
      <c r="E639" s="1310" t="s">
        <v>1452</v>
      </c>
      <c r="F639" s="1310" t="s">
        <v>1621</v>
      </c>
      <c r="G639" s="1310" t="s">
        <v>1541</v>
      </c>
      <c r="H639" s="1310" t="s">
        <v>1444</v>
      </c>
      <c r="I639" s="1310" t="s">
        <v>465</v>
      </c>
      <c r="J639" s="1310" t="s">
        <v>114</v>
      </c>
      <c r="K639" s="1310" t="s">
        <v>1488</v>
      </c>
      <c r="L639" s="1310" t="s">
        <v>1455</v>
      </c>
      <c r="M639" s="1310" t="s">
        <v>1635</v>
      </c>
      <c r="N639" s="1310" t="s">
        <v>1549</v>
      </c>
      <c r="O639" s="1310" t="s">
        <v>1644</v>
      </c>
      <c r="P639" s="1310" t="s">
        <v>1632</v>
      </c>
      <c r="Q639" s="1310" t="s">
        <v>1600</v>
      </c>
      <c r="R639" s="1310" t="s">
        <v>1509</v>
      </c>
      <c r="S639" s="1310" t="s">
        <v>1554</v>
      </c>
      <c r="T639" s="1310" t="s">
        <v>1452</v>
      </c>
      <c r="U639" s="1310" t="s">
        <v>1621</v>
      </c>
      <c r="V639" s="1310" t="s">
        <v>1541</v>
      </c>
      <c r="W639" s="1310" t="s">
        <v>1444</v>
      </c>
      <c r="X639" s="1310" t="s">
        <v>465</v>
      </c>
      <c r="Y639" s="1310" t="s">
        <v>114</v>
      </c>
      <c r="Z639" s="1310" t="s">
        <v>1488</v>
      </c>
      <c r="AA639" s="1310" t="s">
        <v>1455</v>
      </c>
      <c r="AB639" s="1310" t="s">
        <v>1635</v>
      </c>
      <c r="AC639" s="1310" t="s">
        <v>1549</v>
      </c>
      <c r="AD639" s="1310" t="s">
        <v>1644</v>
      </c>
      <c r="AE639" s="1310" t="s">
        <v>1632</v>
      </c>
      <c r="AF639" s="1310" t="s">
        <v>1600</v>
      </c>
    </row>
    <row r="640" spans="1:32" x14ac:dyDescent="0.3">
      <c r="A640" s="1310" t="s">
        <v>1509</v>
      </c>
      <c r="B640" s="1310" t="s">
        <v>1554</v>
      </c>
      <c r="C640" s="1310" t="s">
        <v>1452</v>
      </c>
      <c r="D640" s="1310" t="s">
        <v>1468</v>
      </c>
      <c r="E640" s="1310" t="s">
        <v>1030</v>
      </c>
      <c r="F640" s="1310" t="s">
        <v>1443</v>
      </c>
      <c r="G640" s="1310" t="s">
        <v>1450</v>
      </c>
      <c r="H640" s="1310" t="s">
        <v>1602</v>
      </c>
      <c r="I640" s="1310" t="s">
        <v>1469</v>
      </c>
      <c r="J640" s="1310" t="s">
        <v>1622</v>
      </c>
      <c r="K640" s="1310" t="s">
        <v>127</v>
      </c>
      <c r="L640" s="1310" t="s">
        <v>133</v>
      </c>
      <c r="M640" s="1310" t="s">
        <v>1575</v>
      </c>
      <c r="N640" s="1310" t="s">
        <v>1602</v>
      </c>
      <c r="O640" s="1310" t="s">
        <v>1493</v>
      </c>
      <c r="P640" s="1310" t="s">
        <v>1590</v>
      </c>
      <c r="Q640" s="1310" t="s">
        <v>1526</v>
      </c>
      <c r="R640" s="1310" t="s">
        <v>1505</v>
      </c>
      <c r="S640" s="1310" t="s">
        <v>1643</v>
      </c>
      <c r="T640" s="1310" t="s">
        <v>1615</v>
      </c>
      <c r="U640" s="1310" t="s">
        <v>1598</v>
      </c>
      <c r="V640" s="1310" t="s">
        <v>1453</v>
      </c>
      <c r="W640" s="1310" t="s">
        <v>1466</v>
      </c>
      <c r="X640" s="1310" t="s">
        <v>1466</v>
      </c>
      <c r="Y640" s="1310" t="s">
        <v>1651</v>
      </c>
      <c r="Z640" s="1310" t="s">
        <v>1462</v>
      </c>
      <c r="AA640" s="1310" t="s">
        <v>1621</v>
      </c>
      <c r="AB640" s="1310" t="s">
        <v>1473</v>
      </c>
      <c r="AC640" s="1310" t="s">
        <v>1581</v>
      </c>
      <c r="AD640" s="1310" t="s">
        <v>127</v>
      </c>
      <c r="AE640" s="1310" t="s">
        <v>114</v>
      </c>
      <c r="AF640" s="1310" t="s">
        <v>1571</v>
      </c>
    </row>
    <row r="641" spans="1:32" x14ac:dyDescent="0.3">
      <c r="A641" s="1310" t="s">
        <v>1658</v>
      </c>
      <c r="B641" s="1310" t="s">
        <v>1461</v>
      </c>
      <c r="C641" s="1310" t="s">
        <v>1461</v>
      </c>
      <c r="D641" s="1310" t="s">
        <v>1452</v>
      </c>
      <c r="E641" s="1310" t="s">
        <v>1622</v>
      </c>
      <c r="F641" s="1310" t="s">
        <v>1586</v>
      </c>
      <c r="G641" s="1310" t="s">
        <v>1651</v>
      </c>
      <c r="H641" s="1310" t="s">
        <v>1555</v>
      </c>
      <c r="I641" s="1310" t="s">
        <v>1027</v>
      </c>
      <c r="J641" s="1310" t="s">
        <v>1494</v>
      </c>
      <c r="K641" s="1310" t="s">
        <v>1586</v>
      </c>
      <c r="L641" s="1310" t="s">
        <v>1463</v>
      </c>
      <c r="M641" s="1310" t="s">
        <v>1451</v>
      </c>
      <c r="N641" s="1310" t="s">
        <v>1522</v>
      </c>
      <c r="O641" s="1310" t="s">
        <v>1496</v>
      </c>
      <c r="P641" s="1310" t="s">
        <v>1594</v>
      </c>
      <c r="Q641" s="1310" t="s">
        <v>1619</v>
      </c>
      <c r="R641" s="1310" t="s">
        <v>1558</v>
      </c>
      <c r="S641" s="1310" t="s">
        <v>465</v>
      </c>
      <c r="T641" s="1310" t="s">
        <v>1535</v>
      </c>
      <c r="U641" s="1310" t="s">
        <v>1617</v>
      </c>
      <c r="V641" s="1310" t="s">
        <v>1648</v>
      </c>
      <c r="W641" s="1310" t="s">
        <v>1638</v>
      </c>
      <c r="X641" s="1310" t="s">
        <v>1561</v>
      </c>
      <c r="Y641" s="1310" t="s">
        <v>128</v>
      </c>
      <c r="Z641" s="1310" t="s">
        <v>1514</v>
      </c>
      <c r="AA641" s="1310" t="s">
        <v>1627</v>
      </c>
      <c r="AB641" s="1310" t="s">
        <v>1537</v>
      </c>
      <c r="AC641" s="1310" t="s">
        <v>1615</v>
      </c>
      <c r="AD641" s="1310" t="s">
        <v>1558</v>
      </c>
      <c r="AE641" s="1310" t="s">
        <v>1580</v>
      </c>
      <c r="AF641" s="1310" t="s">
        <v>1532</v>
      </c>
    </row>
    <row r="642" spans="1:32" x14ac:dyDescent="0.3">
      <c r="A642" s="1310" t="s">
        <v>1474</v>
      </c>
      <c r="B642" s="1310" t="s">
        <v>1500</v>
      </c>
      <c r="C642" s="1310" t="s">
        <v>1656</v>
      </c>
      <c r="D642" s="1310" t="s">
        <v>1552</v>
      </c>
      <c r="E642" s="1310" t="s">
        <v>1622</v>
      </c>
      <c r="F642" s="1310" t="s">
        <v>1658</v>
      </c>
      <c r="G642" s="1310" t="s">
        <v>1496</v>
      </c>
      <c r="H642" s="1310" t="s">
        <v>267</v>
      </c>
      <c r="I642" s="1310" t="s">
        <v>116</v>
      </c>
      <c r="J642" s="1310" t="s">
        <v>1622</v>
      </c>
      <c r="K642" s="1310" t="s">
        <v>1554</v>
      </c>
      <c r="L642" s="1310" t="s">
        <v>1572</v>
      </c>
      <c r="M642" s="1310" t="s">
        <v>1632</v>
      </c>
      <c r="N642" s="1310" t="s">
        <v>1646</v>
      </c>
      <c r="O642" s="1310" t="s">
        <v>1447</v>
      </c>
      <c r="P642" s="1310" t="s">
        <v>1564</v>
      </c>
      <c r="Q642" s="1310" t="s">
        <v>266</v>
      </c>
      <c r="R642" s="1310" t="s">
        <v>1027</v>
      </c>
      <c r="S642" s="1310" t="s">
        <v>1646</v>
      </c>
      <c r="T642" s="1310" t="s">
        <v>1630</v>
      </c>
      <c r="U642" s="1310" t="s">
        <v>1450</v>
      </c>
      <c r="V642" s="1310" t="s">
        <v>133</v>
      </c>
      <c r="W642" s="1310" t="s">
        <v>1508</v>
      </c>
      <c r="X642" s="1310" t="s">
        <v>1458</v>
      </c>
      <c r="Y642" s="1310" t="s">
        <v>1591</v>
      </c>
      <c r="Z642" s="1310" t="s">
        <v>1511</v>
      </c>
      <c r="AA642" s="1310" t="s">
        <v>1601</v>
      </c>
      <c r="AB642" s="1310" t="s">
        <v>1501</v>
      </c>
      <c r="AC642" s="1310" t="s">
        <v>1625</v>
      </c>
      <c r="AD642" s="1310" t="s">
        <v>1567</v>
      </c>
      <c r="AE642" s="1310" t="s">
        <v>1460</v>
      </c>
      <c r="AF642" s="1310" t="s">
        <v>1524</v>
      </c>
    </row>
    <row r="643" spans="1:32" x14ac:dyDescent="0.3">
      <c r="A643" s="1310" t="s">
        <v>1505</v>
      </c>
      <c r="B643" s="1310" t="s">
        <v>130</v>
      </c>
      <c r="C643" s="1310" t="s">
        <v>1536</v>
      </c>
      <c r="D643" s="1310" t="s">
        <v>1631</v>
      </c>
      <c r="E643" s="1310" t="s">
        <v>1625</v>
      </c>
      <c r="F643" s="1310" t="s">
        <v>1660</v>
      </c>
      <c r="G643" s="1310" t="s">
        <v>1634</v>
      </c>
      <c r="H643" s="1310" t="s">
        <v>1619</v>
      </c>
      <c r="I643" s="1310" t="s">
        <v>1620</v>
      </c>
      <c r="J643" s="1310" t="s">
        <v>1561</v>
      </c>
      <c r="K643" s="1310" t="s">
        <v>1645</v>
      </c>
      <c r="L643" s="1310" t="s">
        <v>115</v>
      </c>
      <c r="M643" s="1310" t="s">
        <v>1622</v>
      </c>
      <c r="N643" s="1310" t="s">
        <v>124</v>
      </c>
      <c r="O643" s="1310" t="s">
        <v>1478</v>
      </c>
      <c r="P643" s="1310" t="s">
        <v>1622</v>
      </c>
      <c r="Q643" s="1310" t="s">
        <v>1589</v>
      </c>
      <c r="R643" s="1310" t="s">
        <v>123</v>
      </c>
      <c r="S643" s="1310" t="s">
        <v>1447</v>
      </c>
      <c r="T643" s="1310" t="s">
        <v>1566</v>
      </c>
      <c r="U643" s="1310" t="s">
        <v>1646</v>
      </c>
      <c r="V643" s="1310" t="s">
        <v>1491</v>
      </c>
      <c r="W643" s="1310" t="s">
        <v>1575</v>
      </c>
      <c r="X643" s="1310" t="s">
        <v>123</v>
      </c>
      <c r="Y643" s="1310" t="s">
        <v>1594</v>
      </c>
      <c r="Z643" s="1310" t="s">
        <v>1534</v>
      </c>
      <c r="AA643" s="1310" t="s">
        <v>1617</v>
      </c>
      <c r="AB643" s="1310" t="s">
        <v>1639</v>
      </c>
      <c r="AC643" s="1310" t="s">
        <v>1658</v>
      </c>
      <c r="AD643" s="1310" t="s">
        <v>1500</v>
      </c>
      <c r="AE643" s="1310" t="s">
        <v>1590</v>
      </c>
      <c r="AF643" s="1310" t="s">
        <v>1598</v>
      </c>
    </row>
    <row r="644" spans="1:32" x14ac:dyDescent="0.3">
      <c r="A644" s="1310" t="s">
        <v>1569</v>
      </c>
      <c r="B644" s="1310" t="s">
        <v>1636</v>
      </c>
      <c r="C644" s="1310" t="s">
        <v>123</v>
      </c>
      <c r="D644" s="1310" t="s">
        <v>1564</v>
      </c>
      <c r="E644" s="1310" t="s">
        <v>1489</v>
      </c>
      <c r="F644" s="1310" t="s">
        <v>113</v>
      </c>
      <c r="G644" s="1310" t="s">
        <v>1481</v>
      </c>
      <c r="H644" s="1310" t="s">
        <v>113</v>
      </c>
      <c r="I644" s="1310" t="s">
        <v>1514</v>
      </c>
      <c r="J644" s="1310" t="s">
        <v>1542</v>
      </c>
      <c r="K644" s="1310" t="s">
        <v>1504</v>
      </c>
      <c r="L644" s="1310" t="s">
        <v>1566</v>
      </c>
      <c r="M644" s="1310" t="s">
        <v>1491</v>
      </c>
      <c r="N644" s="1310" t="s">
        <v>1576</v>
      </c>
      <c r="O644" s="1310" t="s">
        <v>1486</v>
      </c>
      <c r="P644" s="1310" t="s">
        <v>1631</v>
      </c>
      <c r="Q644" s="1310" t="s">
        <v>1653</v>
      </c>
      <c r="R644" s="1310" t="s">
        <v>112</v>
      </c>
      <c r="S644" s="1310" t="s">
        <v>1517</v>
      </c>
      <c r="T644" s="1310" t="s">
        <v>1613</v>
      </c>
      <c r="U644" s="1310" t="s">
        <v>1564</v>
      </c>
      <c r="V644" s="1310" t="s">
        <v>268</v>
      </c>
      <c r="W644" s="1310" t="s">
        <v>117</v>
      </c>
      <c r="X644" s="1310" t="s">
        <v>1571</v>
      </c>
      <c r="Y644" s="1310" t="s">
        <v>1624</v>
      </c>
      <c r="Z644" s="1310" t="s">
        <v>1610</v>
      </c>
      <c r="AA644" s="1310" t="s">
        <v>1507</v>
      </c>
      <c r="AB644" s="1310" t="s">
        <v>1545</v>
      </c>
      <c r="AC644" s="1310" t="s">
        <v>1599</v>
      </c>
      <c r="AD644" s="1310" t="s">
        <v>1560</v>
      </c>
      <c r="AE644" s="1310" t="s">
        <v>1464</v>
      </c>
      <c r="AF644" s="1310" t="s">
        <v>1521</v>
      </c>
    </row>
    <row r="645" spans="1:32" x14ac:dyDescent="0.3">
      <c r="A645" s="1310" t="s">
        <v>1549</v>
      </c>
      <c r="B645" s="1310" t="s">
        <v>1565</v>
      </c>
      <c r="C645" s="1310" t="s">
        <v>1605</v>
      </c>
      <c r="D645" s="1310" t="s">
        <v>1541</v>
      </c>
      <c r="E645" s="1310" t="s">
        <v>1638</v>
      </c>
      <c r="F645" s="1310" t="s">
        <v>1610</v>
      </c>
      <c r="G645" s="1310" t="s">
        <v>266</v>
      </c>
      <c r="H645" s="1310" t="s">
        <v>1612</v>
      </c>
      <c r="I645" s="1310" t="s">
        <v>1541</v>
      </c>
      <c r="J645" s="1310" t="s">
        <v>1644</v>
      </c>
      <c r="K645" s="1310" t="s">
        <v>130</v>
      </c>
      <c r="L645" s="1310" t="s">
        <v>1553</v>
      </c>
      <c r="M645" s="1310" t="s">
        <v>1489</v>
      </c>
      <c r="N645" s="1310" t="s">
        <v>1564</v>
      </c>
      <c r="O645" s="1310" t="s">
        <v>1616</v>
      </c>
      <c r="P645" s="1310" t="s">
        <v>1458</v>
      </c>
      <c r="Q645" s="1310" t="s">
        <v>1472</v>
      </c>
      <c r="R645" s="1310" t="s">
        <v>130</v>
      </c>
      <c r="S645" s="1310" t="s">
        <v>1520</v>
      </c>
      <c r="T645" s="1310" t="s">
        <v>1541</v>
      </c>
      <c r="U645" s="1310" t="s">
        <v>1596</v>
      </c>
      <c r="V645" s="1310" t="s">
        <v>1630</v>
      </c>
      <c r="W645" s="1310" t="s">
        <v>1599</v>
      </c>
      <c r="X645" s="1310" t="s">
        <v>1447</v>
      </c>
      <c r="Y645" s="1310" t="s">
        <v>1603</v>
      </c>
      <c r="Z645" s="1310" t="s">
        <v>1584</v>
      </c>
      <c r="AA645" s="1310" t="s">
        <v>263</v>
      </c>
      <c r="AB645" s="1310" t="s">
        <v>1465</v>
      </c>
      <c r="AC645" s="1310" t="s">
        <v>1630</v>
      </c>
      <c r="AD645" s="1310" t="s">
        <v>1620</v>
      </c>
      <c r="AE645" s="1310" t="s">
        <v>1530</v>
      </c>
      <c r="AF645" s="1310" t="s">
        <v>1553</v>
      </c>
    </row>
    <row r="646" spans="1:32" x14ac:dyDescent="0.3">
      <c r="A646" s="1310" t="s">
        <v>1553</v>
      </c>
      <c r="B646" s="1310" t="s">
        <v>1612</v>
      </c>
      <c r="C646" s="1310" t="s">
        <v>114</v>
      </c>
      <c r="D646" s="1310" t="s">
        <v>1488</v>
      </c>
      <c r="E646" s="1310" t="s">
        <v>1556</v>
      </c>
      <c r="F646" s="1310" t="s">
        <v>1596</v>
      </c>
      <c r="G646" s="1310" t="s">
        <v>1567</v>
      </c>
      <c r="H646" s="1310" t="s">
        <v>1520</v>
      </c>
      <c r="I646" s="1310" t="s">
        <v>1584</v>
      </c>
      <c r="J646" s="1310" t="s">
        <v>1474</v>
      </c>
      <c r="K646" s="1310" t="s">
        <v>1632</v>
      </c>
      <c r="L646" s="1310" t="s">
        <v>1655</v>
      </c>
      <c r="M646" s="1310" t="s">
        <v>1443</v>
      </c>
      <c r="N646" s="1310" t="s">
        <v>1450</v>
      </c>
      <c r="O646" s="1310" t="s">
        <v>1530</v>
      </c>
      <c r="P646" s="1310" t="s">
        <v>1565</v>
      </c>
      <c r="Q646" s="1310" t="s">
        <v>1523</v>
      </c>
      <c r="R646" s="1310" t="s">
        <v>1574</v>
      </c>
      <c r="S646" s="1310" t="s">
        <v>465</v>
      </c>
      <c r="T646" s="1310" t="s">
        <v>1598</v>
      </c>
      <c r="U646" s="1310" t="s">
        <v>1629</v>
      </c>
      <c r="V646" s="1310" t="s">
        <v>124</v>
      </c>
      <c r="W646" s="1310" t="s">
        <v>126</v>
      </c>
      <c r="X646" s="1310" t="s">
        <v>1616</v>
      </c>
      <c r="Y646" s="1310" t="s">
        <v>1574</v>
      </c>
      <c r="Z646" s="1310" t="s">
        <v>1616</v>
      </c>
      <c r="AA646" s="1310" t="s">
        <v>1587</v>
      </c>
      <c r="AB646" s="1310" t="s">
        <v>1567</v>
      </c>
      <c r="AC646" s="1310" t="s">
        <v>1572</v>
      </c>
      <c r="AD646" s="1310" t="s">
        <v>1650</v>
      </c>
      <c r="AE646" s="1310" t="s">
        <v>1546</v>
      </c>
      <c r="AF646" s="1310" t="s">
        <v>1473</v>
      </c>
    </row>
    <row r="647" spans="1:32" x14ac:dyDescent="0.3">
      <c r="A647" s="1310" t="s">
        <v>1463</v>
      </c>
      <c r="B647" s="1310" t="s">
        <v>1489</v>
      </c>
      <c r="C647" s="1310" t="s">
        <v>1519</v>
      </c>
      <c r="D647" s="1310" t="s">
        <v>1546</v>
      </c>
      <c r="E647" s="1310" t="s">
        <v>1578</v>
      </c>
      <c r="F647" s="1310" t="s">
        <v>119</v>
      </c>
      <c r="G647" s="1310" t="s">
        <v>1651</v>
      </c>
      <c r="H647" s="1310" t="s">
        <v>123</v>
      </c>
      <c r="I647" s="1310" t="s">
        <v>1573</v>
      </c>
      <c r="J647" s="1310" t="s">
        <v>1618</v>
      </c>
      <c r="K647" s="1310" t="s">
        <v>1635</v>
      </c>
      <c r="L647" s="1310" t="s">
        <v>1530</v>
      </c>
      <c r="M647" s="1310" t="s">
        <v>1476</v>
      </c>
      <c r="N647" s="1310" t="s">
        <v>125</v>
      </c>
      <c r="O647" s="1310" t="s">
        <v>1473</v>
      </c>
      <c r="P647" s="1310" t="s">
        <v>1625</v>
      </c>
      <c r="Q647" s="1310" t="s">
        <v>1030</v>
      </c>
      <c r="R647" s="1310" t="s">
        <v>1633</v>
      </c>
      <c r="S647" s="1310" t="s">
        <v>1457</v>
      </c>
      <c r="T647" s="1310" t="s">
        <v>1476</v>
      </c>
      <c r="U647" s="1310" t="s">
        <v>1615</v>
      </c>
      <c r="V647" s="1310" t="s">
        <v>1642</v>
      </c>
      <c r="W647" s="1310" t="s">
        <v>1644</v>
      </c>
      <c r="X647" s="1310" t="s">
        <v>1608</v>
      </c>
      <c r="Y647" s="1310" t="s">
        <v>1460</v>
      </c>
      <c r="Z647" s="1310" t="s">
        <v>1606</v>
      </c>
      <c r="AA647" s="1310" t="s">
        <v>1480</v>
      </c>
      <c r="AB647" s="1310" t="s">
        <v>1505</v>
      </c>
      <c r="AC647" s="1310" t="s">
        <v>266</v>
      </c>
      <c r="AD647" s="1310" t="s">
        <v>1660</v>
      </c>
      <c r="AE647" s="1310" t="s">
        <v>1636</v>
      </c>
      <c r="AF647" s="1310" t="s">
        <v>1460</v>
      </c>
    </row>
    <row r="648" spans="1:32" x14ac:dyDescent="0.3">
      <c r="A648" s="1310" t="s">
        <v>112</v>
      </c>
      <c r="B648" s="1310" t="s">
        <v>1518</v>
      </c>
      <c r="C648" s="1310" t="s">
        <v>1526</v>
      </c>
      <c r="D648" s="1310" t="s">
        <v>1520</v>
      </c>
      <c r="E648" s="1310" t="s">
        <v>1566</v>
      </c>
      <c r="F648" s="1310" t="s">
        <v>1633</v>
      </c>
      <c r="G648" s="1310" t="s">
        <v>1523</v>
      </c>
      <c r="H648" s="1310" t="s">
        <v>264</v>
      </c>
      <c r="I648" s="1310" t="s">
        <v>1452</v>
      </c>
      <c r="J648" s="1310" t="s">
        <v>1533</v>
      </c>
      <c r="K648" s="1310" t="s">
        <v>1631</v>
      </c>
      <c r="L648" s="1310" t="s">
        <v>1470</v>
      </c>
      <c r="M648" s="1310" t="s">
        <v>269</v>
      </c>
      <c r="N648" s="1310" t="s">
        <v>1464</v>
      </c>
      <c r="O648" s="1310" t="s">
        <v>1446</v>
      </c>
      <c r="P648" s="1310" t="s">
        <v>1482</v>
      </c>
      <c r="Q648" s="1310" t="s">
        <v>1588</v>
      </c>
      <c r="R648" s="1310" t="s">
        <v>133</v>
      </c>
      <c r="S648" s="1310" t="s">
        <v>1650</v>
      </c>
      <c r="T648" s="1310" t="s">
        <v>1529</v>
      </c>
      <c r="U648" s="1310" t="s">
        <v>1523</v>
      </c>
      <c r="V648" s="1310" t="s">
        <v>1462</v>
      </c>
      <c r="W648" s="1310" t="s">
        <v>119</v>
      </c>
      <c r="X648" s="1310" t="s">
        <v>1508</v>
      </c>
      <c r="Y648" s="1310" t="s">
        <v>1453</v>
      </c>
      <c r="Z648" s="1310" t="s">
        <v>1448</v>
      </c>
      <c r="AA648" s="1310" t="s">
        <v>1558</v>
      </c>
      <c r="AB648" s="1310" t="s">
        <v>1541</v>
      </c>
      <c r="AC648" s="1310" t="s">
        <v>1490</v>
      </c>
      <c r="AD648" s="1310" t="s">
        <v>1567</v>
      </c>
      <c r="AE648" s="1310" t="s">
        <v>1568</v>
      </c>
      <c r="AF648" s="1310" t="s">
        <v>1454</v>
      </c>
    </row>
    <row r="649" spans="1:32" x14ac:dyDescent="0.3">
      <c r="A649" s="1310" t="s">
        <v>1521</v>
      </c>
      <c r="B649" s="1310" t="s">
        <v>1596</v>
      </c>
      <c r="C649" s="1310" t="s">
        <v>1557</v>
      </c>
      <c r="D649" s="1310" t="s">
        <v>1512</v>
      </c>
      <c r="E649" s="1310" t="s">
        <v>1451</v>
      </c>
      <c r="F649" s="1310" t="s">
        <v>116</v>
      </c>
      <c r="G649" s="1310" t="s">
        <v>1533</v>
      </c>
      <c r="H649" s="1310" t="s">
        <v>1585</v>
      </c>
      <c r="I649" s="1310" t="s">
        <v>1576</v>
      </c>
      <c r="J649" s="1310" t="s">
        <v>1589</v>
      </c>
      <c r="K649" s="1310" t="s">
        <v>1520</v>
      </c>
      <c r="L649" s="1310" t="s">
        <v>1633</v>
      </c>
      <c r="M649" s="1310" t="s">
        <v>1027</v>
      </c>
      <c r="N649" s="1310" t="s">
        <v>133</v>
      </c>
      <c r="O649" s="1310" t="s">
        <v>1460</v>
      </c>
      <c r="P649" s="1310" t="s">
        <v>1448</v>
      </c>
      <c r="Q649" s="1310" t="s">
        <v>1531</v>
      </c>
      <c r="R649" s="1310" t="s">
        <v>1561</v>
      </c>
      <c r="S649" s="1310" t="s">
        <v>268</v>
      </c>
      <c r="T649" s="1310" t="s">
        <v>1451</v>
      </c>
      <c r="U649" s="1310" t="s">
        <v>1446</v>
      </c>
      <c r="V649" s="1310" t="s">
        <v>1618</v>
      </c>
      <c r="W649" s="1310" t="s">
        <v>1500</v>
      </c>
      <c r="X649" s="1310" t="s">
        <v>1447</v>
      </c>
      <c r="Y649" s="1310" t="s">
        <v>1597</v>
      </c>
      <c r="Z649" s="1310" t="s">
        <v>1509</v>
      </c>
      <c r="AA649" s="1310" t="s">
        <v>1592</v>
      </c>
      <c r="AB649" s="1310" t="s">
        <v>1584</v>
      </c>
      <c r="AC649" s="1310" t="s">
        <v>123</v>
      </c>
      <c r="AD649" s="1310" t="s">
        <v>125</v>
      </c>
      <c r="AE649" s="1310" t="s">
        <v>1640</v>
      </c>
      <c r="AF649" s="1310" t="s">
        <v>1553</v>
      </c>
    </row>
    <row r="650" spans="1:32" x14ac:dyDescent="0.3">
      <c r="A650" s="1310" t="s">
        <v>1644</v>
      </c>
      <c r="B650" s="1310" t="s">
        <v>1530</v>
      </c>
      <c r="C650" s="1310" t="s">
        <v>116</v>
      </c>
      <c r="D650" s="1310" t="s">
        <v>1549</v>
      </c>
      <c r="E650" s="1310" t="s">
        <v>1557</v>
      </c>
      <c r="F650" s="1310" t="s">
        <v>1473</v>
      </c>
      <c r="G650" s="1310" t="s">
        <v>1554</v>
      </c>
      <c r="H650" s="1310" t="s">
        <v>1610</v>
      </c>
      <c r="I650" s="1310" t="s">
        <v>1654</v>
      </c>
      <c r="J650" s="1310" t="s">
        <v>1450</v>
      </c>
      <c r="K650" s="1310" t="s">
        <v>1612</v>
      </c>
      <c r="L650" s="1310" t="s">
        <v>1480</v>
      </c>
      <c r="M650" s="1310" t="s">
        <v>1451</v>
      </c>
      <c r="N650" s="1310" t="s">
        <v>1646</v>
      </c>
      <c r="O650" s="1310" t="s">
        <v>1588</v>
      </c>
      <c r="P650" s="1310" t="s">
        <v>1499</v>
      </c>
      <c r="Q650" s="1310" t="s">
        <v>1459</v>
      </c>
      <c r="R650" s="1310" t="s">
        <v>1448</v>
      </c>
      <c r="S650" s="1310" t="s">
        <v>1530</v>
      </c>
      <c r="T650" s="1310" t="s">
        <v>1510</v>
      </c>
      <c r="U650" s="1310" t="s">
        <v>121</v>
      </c>
      <c r="V650" s="1310" t="s">
        <v>1518</v>
      </c>
      <c r="W650" s="1310" t="s">
        <v>1488</v>
      </c>
      <c r="X650" s="1310" t="s">
        <v>1621</v>
      </c>
      <c r="Y650" s="1310" t="s">
        <v>1561</v>
      </c>
      <c r="Z650" s="1310" t="s">
        <v>1558</v>
      </c>
      <c r="AA650" s="1310" t="s">
        <v>1659</v>
      </c>
      <c r="AB650" s="1310" t="s">
        <v>1569</v>
      </c>
      <c r="AC650" s="1310" t="s">
        <v>1564</v>
      </c>
      <c r="AD650" s="1310" t="s">
        <v>1590</v>
      </c>
      <c r="AE650" s="1310" t="s">
        <v>1651</v>
      </c>
      <c r="AF650" s="1310" t="s">
        <v>1546</v>
      </c>
    </row>
    <row r="651" spans="1:32" x14ac:dyDescent="0.3">
      <c r="A651" s="1310" t="s">
        <v>1030</v>
      </c>
      <c r="B651" s="1310" t="s">
        <v>1444</v>
      </c>
      <c r="C651" s="1310" t="s">
        <v>1506</v>
      </c>
      <c r="D651" s="1310" t="s">
        <v>1530</v>
      </c>
      <c r="E651" s="1310" t="s">
        <v>1558</v>
      </c>
      <c r="F651" s="1310" t="s">
        <v>1511</v>
      </c>
      <c r="G651" s="1310" t="s">
        <v>1457</v>
      </c>
      <c r="H651" s="1310" t="s">
        <v>1499</v>
      </c>
      <c r="I651" s="1310" t="s">
        <v>1640</v>
      </c>
      <c r="J651" s="1310" t="s">
        <v>1592</v>
      </c>
      <c r="K651" s="1310" t="s">
        <v>1630</v>
      </c>
      <c r="L651" s="1310" t="s">
        <v>128</v>
      </c>
      <c r="M651" s="1310" t="s">
        <v>1602</v>
      </c>
      <c r="N651" s="1310" t="s">
        <v>1463</v>
      </c>
      <c r="O651" s="1310" t="s">
        <v>1491</v>
      </c>
      <c r="P651" s="1310" t="s">
        <v>1658</v>
      </c>
      <c r="Q651" s="1310" t="s">
        <v>1577</v>
      </c>
      <c r="R651" s="1310" t="s">
        <v>1570</v>
      </c>
      <c r="S651" s="1310" t="s">
        <v>1556</v>
      </c>
      <c r="T651" s="1310" t="s">
        <v>1492</v>
      </c>
      <c r="U651" s="1310" t="s">
        <v>1654</v>
      </c>
      <c r="V651" s="1310" t="s">
        <v>1452</v>
      </c>
      <c r="W651" s="1310" t="s">
        <v>1550</v>
      </c>
      <c r="X651" s="1310" t="s">
        <v>1589</v>
      </c>
      <c r="Y651" s="1310" t="s">
        <v>1576</v>
      </c>
      <c r="Z651" s="1310" t="s">
        <v>1615</v>
      </c>
      <c r="AA651" s="1310" t="s">
        <v>1522</v>
      </c>
      <c r="AB651" s="1310" t="s">
        <v>125</v>
      </c>
      <c r="AC651" s="1310" t="s">
        <v>1462</v>
      </c>
      <c r="AD651" s="1310" t="s">
        <v>1603</v>
      </c>
      <c r="AE651" s="1310" t="s">
        <v>1456</v>
      </c>
      <c r="AF651" s="1310" t="s">
        <v>119</v>
      </c>
    </row>
    <row r="652" spans="1:32" x14ac:dyDescent="0.3">
      <c r="A652" s="1310" t="s">
        <v>1626</v>
      </c>
      <c r="B652" s="1310" t="s">
        <v>1452</v>
      </c>
      <c r="C652" s="1310" t="s">
        <v>110</v>
      </c>
      <c r="D652" s="1310" t="s">
        <v>1591</v>
      </c>
      <c r="E652" s="1310" t="s">
        <v>1450</v>
      </c>
      <c r="F652" s="1310" t="s">
        <v>1460</v>
      </c>
      <c r="G652" s="1310" t="s">
        <v>1657</v>
      </c>
      <c r="H652" s="1310" t="s">
        <v>1559</v>
      </c>
      <c r="I652" s="1310" t="s">
        <v>1548</v>
      </c>
      <c r="J652" s="1310" t="s">
        <v>1505</v>
      </c>
      <c r="K652" s="1310" t="s">
        <v>1635</v>
      </c>
      <c r="L652" s="1310" t="s">
        <v>1479</v>
      </c>
      <c r="M652" s="1310" t="s">
        <v>1623</v>
      </c>
      <c r="N652" s="1310" t="s">
        <v>1649</v>
      </c>
      <c r="O652" s="1310" t="s">
        <v>1027</v>
      </c>
      <c r="P652" s="1310" t="s">
        <v>1511</v>
      </c>
      <c r="Q652" s="1310" t="s">
        <v>131</v>
      </c>
      <c r="R652" s="1310" t="s">
        <v>1559</v>
      </c>
      <c r="S652" s="1310" t="s">
        <v>1563</v>
      </c>
      <c r="T652" s="1310" t="s">
        <v>1537</v>
      </c>
      <c r="U652" s="1310" t="s">
        <v>1474</v>
      </c>
      <c r="V652" s="1310" t="s">
        <v>1545</v>
      </c>
      <c r="W652" s="1310" t="s">
        <v>1651</v>
      </c>
      <c r="X652" s="1310" t="s">
        <v>1637</v>
      </c>
      <c r="Y652" s="1310" t="s">
        <v>1636</v>
      </c>
      <c r="Z652" s="1310" t="s">
        <v>1481</v>
      </c>
      <c r="AA652" s="1310" t="s">
        <v>1602</v>
      </c>
      <c r="AB652" s="1310" t="s">
        <v>1601</v>
      </c>
      <c r="AC652" s="1310" t="s">
        <v>1463</v>
      </c>
      <c r="AD652" s="1310" t="s">
        <v>1554</v>
      </c>
      <c r="AE652" s="1310" t="s">
        <v>1547</v>
      </c>
      <c r="AF652" s="1310" t="s">
        <v>128</v>
      </c>
    </row>
    <row r="653" spans="1:32" x14ac:dyDescent="0.3">
      <c r="A653" s="1310" t="s">
        <v>1644</v>
      </c>
      <c r="B653" s="1310" t="s">
        <v>1633</v>
      </c>
      <c r="C653" s="1310" t="s">
        <v>1643</v>
      </c>
      <c r="D653" s="1310" t="s">
        <v>1508</v>
      </c>
      <c r="E653" s="1310" t="s">
        <v>1474</v>
      </c>
      <c r="F653" s="1310" t="s">
        <v>266</v>
      </c>
      <c r="G653" s="1310" t="s">
        <v>1635</v>
      </c>
      <c r="H653" s="1310" t="s">
        <v>116</v>
      </c>
      <c r="I653" s="1310" t="s">
        <v>110</v>
      </c>
      <c r="J653" s="1310" t="s">
        <v>1644</v>
      </c>
      <c r="K653" s="1310" t="s">
        <v>1492</v>
      </c>
      <c r="L653" s="1310" t="s">
        <v>127</v>
      </c>
      <c r="M653" s="1310" t="s">
        <v>1493</v>
      </c>
      <c r="N653" s="1310" t="s">
        <v>1498</v>
      </c>
      <c r="O653" s="1310" t="s">
        <v>114</v>
      </c>
      <c r="P653" s="1310" t="s">
        <v>1627</v>
      </c>
      <c r="Q653" s="1310" t="s">
        <v>1551</v>
      </c>
      <c r="R653" s="1310" t="s">
        <v>1548</v>
      </c>
      <c r="S653" s="1310" t="s">
        <v>130</v>
      </c>
      <c r="T653" s="1310" t="s">
        <v>1616</v>
      </c>
      <c r="U653" s="1310" t="s">
        <v>1637</v>
      </c>
      <c r="V653" s="1310" t="s">
        <v>1518</v>
      </c>
      <c r="W653" s="1310" t="s">
        <v>1561</v>
      </c>
      <c r="X653" s="1310" t="s">
        <v>1659</v>
      </c>
      <c r="Y653" s="1310" t="s">
        <v>1573</v>
      </c>
      <c r="Z653" s="1310" t="s">
        <v>1525</v>
      </c>
      <c r="AA653" s="1310" t="s">
        <v>1479</v>
      </c>
      <c r="AB653" s="1310" t="s">
        <v>1459</v>
      </c>
      <c r="AC653" s="1310" t="s">
        <v>1618</v>
      </c>
      <c r="AD653" s="1310" t="s">
        <v>1531</v>
      </c>
      <c r="AE653" s="1310" t="s">
        <v>1467</v>
      </c>
      <c r="AF653" s="1310" t="s">
        <v>1578</v>
      </c>
    </row>
    <row r="654" spans="1:32" x14ac:dyDescent="0.3">
      <c r="A654" s="1310" t="s">
        <v>1639</v>
      </c>
      <c r="B654" s="1310" t="s">
        <v>1599</v>
      </c>
      <c r="C654" s="1310" t="s">
        <v>1485</v>
      </c>
      <c r="D654" s="1310" t="s">
        <v>1607</v>
      </c>
      <c r="E654" s="1310" t="s">
        <v>1631</v>
      </c>
      <c r="F654" s="1310" t="s">
        <v>1443</v>
      </c>
      <c r="G654" s="1310" t="s">
        <v>1450</v>
      </c>
      <c r="H654" s="1310" t="s">
        <v>1445</v>
      </c>
      <c r="I654" s="1310" t="s">
        <v>1489</v>
      </c>
      <c r="J654" s="1310" t="s">
        <v>1449</v>
      </c>
      <c r="K654" s="1310" t="s">
        <v>1473</v>
      </c>
      <c r="L654" s="1310" t="s">
        <v>1549</v>
      </c>
      <c r="M654" s="1310" t="s">
        <v>1611</v>
      </c>
      <c r="N654" s="1310" t="s">
        <v>1555</v>
      </c>
      <c r="O654" s="1310" t="s">
        <v>1616</v>
      </c>
      <c r="P654" s="1310" t="s">
        <v>1648</v>
      </c>
      <c r="Q654" s="1310" t="s">
        <v>110</v>
      </c>
      <c r="R654" s="1310" t="s">
        <v>1556</v>
      </c>
      <c r="S654" s="1310" t="s">
        <v>1660</v>
      </c>
      <c r="T654" s="1310" t="s">
        <v>1456</v>
      </c>
      <c r="U654" s="1310" t="s">
        <v>1577</v>
      </c>
      <c r="V654" s="1310" t="s">
        <v>1655</v>
      </c>
      <c r="W654" s="1310" t="s">
        <v>1631</v>
      </c>
      <c r="X654" s="1310" t="s">
        <v>127</v>
      </c>
      <c r="Y654" s="1310" t="s">
        <v>1636</v>
      </c>
      <c r="Z654" s="1310" t="s">
        <v>1511</v>
      </c>
      <c r="AA654" s="1310" t="s">
        <v>1499</v>
      </c>
      <c r="AB654" s="1310" t="s">
        <v>1477</v>
      </c>
      <c r="AC654" s="1310" t="s">
        <v>1506</v>
      </c>
      <c r="AD654" s="1310" t="s">
        <v>111</v>
      </c>
      <c r="AE654" s="1310" t="s">
        <v>1447</v>
      </c>
      <c r="AF654" s="1310" t="s">
        <v>127</v>
      </c>
    </row>
    <row r="655" spans="1:32" x14ac:dyDescent="0.3">
      <c r="A655" s="1310" t="s">
        <v>1613</v>
      </c>
      <c r="B655" s="1310" t="s">
        <v>1645</v>
      </c>
      <c r="C655" s="1310" t="s">
        <v>1538</v>
      </c>
      <c r="D655" s="1310" t="s">
        <v>1468</v>
      </c>
      <c r="E655" s="1310" t="s">
        <v>1448</v>
      </c>
      <c r="F655" s="1310" t="s">
        <v>1618</v>
      </c>
      <c r="G655" s="1310" t="s">
        <v>1636</v>
      </c>
      <c r="H655" s="1310" t="s">
        <v>1640</v>
      </c>
      <c r="I655" s="1310" t="s">
        <v>1650</v>
      </c>
      <c r="J655" s="1310" t="s">
        <v>1500</v>
      </c>
      <c r="K655" s="1310" t="s">
        <v>1500</v>
      </c>
      <c r="L655" s="1310" t="s">
        <v>1610</v>
      </c>
      <c r="M655" s="1310" t="s">
        <v>1590</v>
      </c>
      <c r="N655" s="1310" t="s">
        <v>1568</v>
      </c>
      <c r="O655" s="1310" t="s">
        <v>127</v>
      </c>
      <c r="P655" s="1310" t="s">
        <v>1656</v>
      </c>
      <c r="Q655" s="1310" t="s">
        <v>133</v>
      </c>
      <c r="R655" s="1310" t="s">
        <v>1575</v>
      </c>
      <c r="S655" s="1310" t="s">
        <v>1574</v>
      </c>
      <c r="T655" s="1310" t="s">
        <v>1585</v>
      </c>
      <c r="U655" s="1310" t="s">
        <v>1464</v>
      </c>
      <c r="V655" s="1310" t="s">
        <v>1446</v>
      </c>
      <c r="W655" s="1310" t="s">
        <v>114</v>
      </c>
      <c r="X655" s="1310" t="s">
        <v>1468</v>
      </c>
      <c r="Y655" s="1310" t="s">
        <v>111</v>
      </c>
      <c r="Z655" s="1310" t="s">
        <v>1600</v>
      </c>
      <c r="AA655" s="1310" t="s">
        <v>1468</v>
      </c>
      <c r="AB655" s="1310" t="s">
        <v>1628</v>
      </c>
      <c r="AC655" s="1310" t="s">
        <v>132</v>
      </c>
      <c r="AD655" s="1310" t="s">
        <v>1503</v>
      </c>
      <c r="AE655" s="1310" t="s">
        <v>1587</v>
      </c>
      <c r="AF655" s="1310" t="s">
        <v>1470</v>
      </c>
    </row>
    <row r="656" spans="1:32" x14ac:dyDescent="0.3">
      <c r="A656" s="1310" t="s">
        <v>1551</v>
      </c>
      <c r="B656" s="1310" t="s">
        <v>1568</v>
      </c>
      <c r="C656" s="1310" t="s">
        <v>1606</v>
      </c>
      <c r="D656" s="1310" t="s">
        <v>1605</v>
      </c>
      <c r="E656" s="1310" t="s">
        <v>1466</v>
      </c>
      <c r="F656" s="1310" t="s">
        <v>1446</v>
      </c>
      <c r="G656" s="1310" t="s">
        <v>1546</v>
      </c>
      <c r="H656" s="1310" t="s">
        <v>1568</v>
      </c>
      <c r="I656" s="1310" t="s">
        <v>1629</v>
      </c>
      <c r="J656" s="1310" t="s">
        <v>1475</v>
      </c>
      <c r="K656" s="1310" t="s">
        <v>1584</v>
      </c>
      <c r="L656" s="1310" t="s">
        <v>133</v>
      </c>
      <c r="M656" s="1310" t="s">
        <v>1556</v>
      </c>
      <c r="N656" s="1310" t="s">
        <v>1537</v>
      </c>
      <c r="O656" s="1310" t="s">
        <v>1623</v>
      </c>
      <c r="P656" s="1310" t="s">
        <v>1580</v>
      </c>
      <c r="Q656" s="1310" t="s">
        <v>1628</v>
      </c>
      <c r="R656" s="1310" t="s">
        <v>1648</v>
      </c>
      <c r="S656" s="1310" t="s">
        <v>116</v>
      </c>
      <c r="T656" s="1310" t="s">
        <v>1638</v>
      </c>
      <c r="U656" s="1310" t="s">
        <v>1508</v>
      </c>
      <c r="V656" s="1310" t="s">
        <v>1508</v>
      </c>
      <c r="W656" s="1310" t="s">
        <v>113</v>
      </c>
      <c r="X656" s="1310" t="s">
        <v>6</v>
      </c>
      <c r="Y656" s="1310" t="s">
        <v>113</v>
      </c>
      <c r="Z656" s="1310" t="s">
        <v>1553</v>
      </c>
      <c r="AA656" s="1310" t="s">
        <v>1648</v>
      </c>
      <c r="AB656" s="1310" t="s">
        <v>1027</v>
      </c>
      <c r="AC656" s="1310" t="s">
        <v>1562</v>
      </c>
      <c r="AD656" s="1310" t="s">
        <v>127</v>
      </c>
      <c r="AE656" s="1310" t="s">
        <v>1626</v>
      </c>
      <c r="AF656" s="1310" t="s">
        <v>1030</v>
      </c>
    </row>
    <row r="657" spans="1:32" x14ac:dyDescent="0.3">
      <c r="A657" s="1310" t="s">
        <v>1538</v>
      </c>
      <c r="B657" s="1310" t="s">
        <v>1471</v>
      </c>
      <c r="C657" s="1310" t="s">
        <v>1586</v>
      </c>
      <c r="D657" s="1310" t="s">
        <v>1461</v>
      </c>
      <c r="E657" s="1310" t="s">
        <v>1616</v>
      </c>
      <c r="F657" s="1310" t="s">
        <v>1494</v>
      </c>
      <c r="G657" s="1310" t="s">
        <v>1568</v>
      </c>
      <c r="H657" s="1310" t="s">
        <v>268</v>
      </c>
      <c r="I657" s="1310" t="s">
        <v>1610</v>
      </c>
      <c r="J657" s="1310" t="s">
        <v>1570</v>
      </c>
      <c r="K657" s="1310" t="s">
        <v>115</v>
      </c>
      <c r="L657" s="1310" t="s">
        <v>1630</v>
      </c>
      <c r="M657" s="1310" t="s">
        <v>1548</v>
      </c>
      <c r="N657" s="1310" t="s">
        <v>1617</v>
      </c>
      <c r="O657" s="1310" t="s">
        <v>1581</v>
      </c>
      <c r="P657" s="1310" t="s">
        <v>1587</v>
      </c>
      <c r="Q657" s="1310" t="s">
        <v>1493</v>
      </c>
      <c r="R657" s="1310" t="s">
        <v>1481</v>
      </c>
      <c r="S657" s="1310" t="s">
        <v>1478</v>
      </c>
      <c r="T657" s="1310" t="s">
        <v>1609</v>
      </c>
      <c r="U657" s="1310" t="s">
        <v>1613</v>
      </c>
      <c r="V657" s="1310" t="s">
        <v>1500</v>
      </c>
      <c r="W657" s="1310" t="s">
        <v>1497</v>
      </c>
      <c r="X657" s="1310" t="s">
        <v>1656</v>
      </c>
      <c r="Y657" s="1310" t="s">
        <v>1629</v>
      </c>
      <c r="Z657" s="1310" t="s">
        <v>1447</v>
      </c>
      <c r="AA657" s="1310" t="s">
        <v>1564</v>
      </c>
      <c r="AB657" s="1310" t="s">
        <v>1507</v>
      </c>
      <c r="AC657" s="1310" t="s">
        <v>133</v>
      </c>
      <c r="AD657" s="1310" t="s">
        <v>130</v>
      </c>
      <c r="AE657" s="1310" t="s">
        <v>1652</v>
      </c>
      <c r="AF657" s="1310" t="s">
        <v>1575</v>
      </c>
    </row>
    <row r="658" spans="1:32" x14ac:dyDescent="0.3">
      <c r="A658" s="1310" t="s">
        <v>1489</v>
      </c>
      <c r="B658" s="1310" t="s">
        <v>1490</v>
      </c>
      <c r="C658" s="1310" t="s">
        <v>1653</v>
      </c>
      <c r="D658" s="1310" t="s">
        <v>1638</v>
      </c>
      <c r="E658" s="1310" t="s">
        <v>1523</v>
      </c>
      <c r="F658" s="1310" t="s">
        <v>1506</v>
      </c>
      <c r="G658" s="1310" t="s">
        <v>1547</v>
      </c>
      <c r="H658" s="1310" t="s">
        <v>1655</v>
      </c>
      <c r="I658" s="1310" t="s">
        <v>1567</v>
      </c>
      <c r="J658" s="1310" t="s">
        <v>1561</v>
      </c>
      <c r="K658" s="1310" t="s">
        <v>1638</v>
      </c>
      <c r="L658" s="1310" t="s">
        <v>1548</v>
      </c>
      <c r="M658" s="1310" t="s">
        <v>1588</v>
      </c>
      <c r="N658" s="1310" t="s">
        <v>1460</v>
      </c>
      <c r="O658" s="1310" t="s">
        <v>1524</v>
      </c>
      <c r="P658" s="1310" t="s">
        <v>1543</v>
      </c>
      <c r="Q658" s="1310" t="s">
        <v>1530</v>
      </c>
      <c r="R658" s="1310" t="s">
        <v>1638</v>
      </c>
      <c r="S658" s="1310" t="s">
        <v>1588</v>
      </c>
      <c r="T658" s="1310" t="s">
        <v>1603</v>
      </c>
      <c r="U658" s="1310" t="s">
        <v>128</v>
      </c>
      <c r="V658" s="1310" t="s">
        <v>1485</v>
      </c>
      <c r="W658" s="1310" t="s">
        <v>1468</v>
      </c>
      <c r="X658" s="1310" t="s">
        <v>126</v>
      </c>
      <c r="Y658" s="1310" t="s">
        <v>1030</v>
      </c>
      <c r="Z658" s="1310" t="s">
        <v>1649</v>
      </c>
      <c r="AA658" s="1310" t="s">
        <v>1645</v>
      </c>
      <c r="AB658" s="1310" t="s">
        <v>1655</v>
      </c>
      <c r="AC658" s="1310" t="s">
        <v>1552</v>
      </c>
      <c r="AD658" s="1310" t="s">
        <v>1551</v>
      </c>
      <c r="AE658" s="1310" t="s">
        <v>1030</v>
      </c>
      <c r="AF658" s="1310" t="s">
        <v>1640</v>
      </c>
    </row>
    <row r="659" spans="1:32" x14ac:dyDescent="0.3">
      <c r="A659" s="1310" t="s">
        <v>1603</v>
      </c>
      <c r="B659" s="1310" t="s">
        <v>1608</v>
      </c>
      <c r="C659" s="1310" t="s">
        <v>1647</v>
      </c>
      <c r="D659" s="1310" t="s">
        <v>1582</v>
      </c>
      <c r="E659" s="1310" t="s">
        <v>1448</v>
      </c>
      <c r="F659" s="1310" t="s">
        <v>1608</v>
      </c>
      <c r="G659" s="1310" t="s">
        <v>1605</v>
      </c>
      <c r="H659" s="1310" t="s">
        <v>131</v>
      </c>
      <c r="I659" s="1310" t="s">
        <v>1614</v>
      </c>
      <c r="J659" s="1310" t="s">
        <v>1556</v>
      </c>
      <c r="K659" s="1310" t="s">
        <v>263</v>
      </c>
      <c r="L659" s="1310" t="s">
        <v>1470</v>
      </c>
      <c r="M659" s="1310" t="s">
        <v>1565</v>
      </c>
      <c r="N659" s="1310" t="s">
        <v>1586</v>
      </c>
      <c r="O659" s="1310" t="s">
        <v>1573</v>
      </c>
      <c r="P659" s="1310" t="s">
        <v>124</v>
      </c>
      <c r="Q659" s="1310" t="s">
        <v>1635</v>
      </c>
      <c r="R659" s="1310" t="s">
        <v>1548</v>
      </c>
      <c r="S659" s="1310" t="s">
        <v>1628</v>
      </c>
      <c r="T659" s="1310" t="s">
        <v>1617</v>
      </c>
      <c r="U659" s="1310" t="s">
        <v>1621</v>
      </c>
      <c r="V659" s="1310" t="s">
        <v>1653</v>
      </c>
      <c r="W659" s="1310" t="s">
        <v>1639</v>
      </c>
      <c r="X659" s="1310" t="s">
        <v>1619</v>
      </c>
      <c r="Y659" s="1310" t="s">
        <v>1528</v>
      </c>
      <c r="Z659" s="1310" t="s">
        <v>1589</v>
      </c>
      <c r="AA659" s="1310" t="s">
        <v>1578</v>
      </c>
      <c r="AB659" s="1310" t="s">
        <v>1543</v>
      </c>
      <c r="AC659" s="1310" t="s">
        <v>1465</v>
      </c>
      <c r="AD659" s="1310" t="s">
        <v>1568</v>
      </c>
      <c r="AE659" s="1310" t="s">
        <v>1483</v>
      </c>
      <c r="AF659" s="1310" t="s">
        <v>1490</v>
      </c>
    </row>
    <row r="660" spans="1:32" x14ac:dyDescent="0.3">
      <c r="A660" s="1310" t="s">
        <v>1453</v>
      </c>
      <c r="B660" s="1310" t="s">
        <v>1027</v>
      </c>
      <c r="C660" s="1310" t="s">
        <v>1521</v>
      </c>
      <c r="D660" s="1310" t="s">
        <v>117</v>
      </c>
      <c r="E660" s="1310" t="s">
        <v>1584</v>
      </c>
      <c r="F660" s="1310" t="s">
        <v>1638</v>
      </c>
      <c r="G660" s="1310" t="s">
        <v>1645</v>
      </c>
      <c r="H660" s="1310" t="s">
        <v>263</v>
      </c>
      <c r="I660" s="1310" t="s">
        <v>1469</v>
      </c>
      <c r="J660" s="1310" t="s">
        <v>1533</v>
      </c>
      <c r="K660" s="1310" t="s">
        <v>1583</v>
      </c>
      <c r="L660" s="1310" t="s">
        <v>1482</v>
      </c>
      <c r="M660" s="1310" t="s">
        <v>125</v>
      </c>
      <c r="N660" s="1310" t="s">
        <v>1465</v>
      </c>
      <c r="O660" s="1310" t="s">
        <v>1474</v>
      </c>
      <c r="P660" s="1310" t="s">
        <v>1607</v>
      </c>
      <c r="Q660" s="1310" t="s">
        <v>1575</v>
      </c>
      <c r="R660" s="1310" t="s">
        <v>1643</v>
      </c>
      <c r="S660" s="1310" t="s">
        <v>1603</v>
      </c>
      <c r="T660" s="1310" t="s">
        <v>1648</v>
      </c>
      <c r="U660" s="1310" t="s">
        <v>1583</v>
      </c>
      <c r="V660" s="1310" t="s">
        <v>1648</v>
      </c>
      <c r="W660" s="1310" t="s">
        <v>1583</v>
      </c>
      <c r="X660" s="1310" t="s">
        <v>1622</v>
      </c>
      <c r="Y660" s="1310" t="s">
        <v>1615</v>
      </c>
      <c r="Z660" s="1310" t="s">
        <v>1640</v>
      </c>
      <c r="AA660" s="1310" t="s">
        <v>1457</v>
      </c>
      <c r="AB660" s="1310" t="s">
        <v>1607</v>
      </c>
      <c r="AC660" s="1310" t="s">
        <v>1563</v>
      </c>
      <c r="AD660" s="1310" t="s">
        <v>1634</v>
      </c>
      <c r="AE660" s="1310" t="s">
        <v>1542</v>
      </c>
      <c r="AF660" s="1310" t="s">
        <v>1447</v>
      </c>
    </row>
    <row r="661" spans="1:32" x14ac:dyDescent="0.3">
      <c r="A661" s="1310" t="s">
        <v>1660</v>
      </c>
      <c r="B661" s="1310" t="s">
        <v>1591</v>
      </c>
      <c r="C661" s="1310" t="s">
        <v>1561</v>
      </c>
      <c r="D661" s="1310" t="s">
        <v>1456</v>
      </c>
      <c r="E661" s="1310" t="s">
        <v>1630</v>
      </c>
      <c r="F661" s="1310" t="s">
        <v>1613</v>
      </c>
      <c r="G661" s="1310" t="s">
        <v>1560</v>
      </c>
      <c r="H661" s="1310" t="s">
        <v>1626</v>
      </c>
      <c r="I661" s="1310" t="s">
        <v>1648</v>
      </c>
      <c r="J661" s="1310" t="s">
        <v>1579</v>
      </c>
      <c r="K661" s="1310" t="s">
        <v>1475</v>
      </c>
      <c r="L661" s="1310" t="s">
        <v>1631</v>
      </c>
      <c r="M661" s="1310" t="s">
        <v>123</v>
      </c>
      <c r="N661" s="1310" t="s">
        <v>1525</v>
      </c>
      <c r="O661" s="1310" t="s">
        <v>116</v>
      </c>
      <c r="P661" s="1310" t="s">
        <v>1451</v>
      </c>
      <c r="Q661" s="1310" t="s">
        <v>1608</v>
      </c>
      <c r="R661" s="1310" t="s">
        <v>1650</v>
      </c>
      <c r="S661" s="1310" t="s">
        <v>1576</v>
      </c>
      <c r="T661" s="1310" t="s">
        <v>1652</v>
      </c>
      <c r="U661" s="1310" t="s">
        <v>123</v>
      </c>
      <c r="V661" s="1310" t="s">
        <v>1567</v>
      </c>
      <c r="W661" s="1310" t="s">
        <v>1566</v>
      </c>
      <c r="X661" s="1310" t="s">
        <v>1508</v>
      </c>
      <c r="Y661" s="1310" t="s">
        <v>1593</v>
      </c>
      <c r="Z661" s="1310" t="s">
        <v>1651</v>
      </c>
      <c r="AA661" s="1310" t="s">
        <v>1651</v>
      </c>
      <c r="AB661" s="1310" t="s">
        <v>6</v>
      </c>
      <c r="AC661" s="1310" t="s">
        <v>1602</v>
      </c>
      <c r="AD661" s="1310" t="s">
        <v>1616</v>
      </c>
      <c r="AE661" s="1310" t="s">
        <v>1631</v>
      </c>
      <c r="AF661" s="1310" t="s">
        <v>1637</v>
      </c>
    </row>
    <row r="662" spans="1:32" x14ac:dyDescent="0.3">
      <c r="A662" s="1310" t="s">
        <v>1603</v>
      </c>
      <c r="B662" s="1310" t="s">
        <v>1557</v>
      </c>
      <c r="C662" s="1310" t="s">
        <v>1575</v>
      </c>
      <c r="D662" s="1310" t="s">
        <v>1587</v>
      </c>
      <c r="E662" s="1310" t="s">
        <v>126</v>
      </c>
      <c r="F662" s="1310" t="s">
        <v>1487</v>
      </c>
      <c r="G662" s="1310" t="s">
        <v>1657</v>
      </c>
      <c r="H662" s="1310" t="s">
        <v>133</v>
      </c>
      <c r="I662" s="1310" t="s">
        <v>1618</v>
      </c>
      <c r="J662" s="1310" t="s">
        <v>1573</v>
      </c>
      <c r="K662" s="1310" t="s">
        <v>122</v>
      </c>
      <c r="L662" s="1310" t="s">
        <v>117</v>
      </c>
      <c r="M662" s="1310" t="s">
        <v>1639</v>
      </c>
      <c r="N662" s="1310" t="s">
        <v>1508</v>
      </c>
      <c r="O662" s="1310" t="s">
        <v>1652</v>
      </c>
      <c r="P662" s="1310" t="s">
        <v>114</v>
      </c>
      <c r="Q662" s="1310" t="s">
        <v>121</v>
      </c>
      <c r="R662" s="1310" t="s">
        <v>1493</v>
      </c>
      <c r="S662" s="1310" t="s">
        <v>1584</v>
      </c>
      <c r="T662" s="1310" t="s">
        <v>1542</v>
      </c>
      <c r="U662" s="1310" t="s">
        <v>117</v>
      </c>
      <c r="V662" s="1310" t="s">
        <v>122</v>
      </c>
      <c r="W662" s="1310" t="s">
        <v>117</v>
      </c>
      <c r="X662" s="1310" t="s">
        <v>1505</v>
      </c>
      <c r="Y662" s="1310" t="s">
        <v>1447</v>
      </c>
      <c r="Z662" s="1310" t="s">
        <v>1027</v>
      </c>
      <c r="AA662" s="1310" t="s">
        <v>1027</v>
      </c>
      <c r="AB662" s="1310" t="s">
        <v>1483</v>
      </c>
      <c r="AC662" s="1310" t="s">
        <v>1527</v>
      </c>
      <c r="AD662" s="1310" t="s">
        <v>1655</v>
      </c>
      <c r="AE662" s="1310" t="s">
        <v>1515</v>
      </c>
      <c r="AF662" s="1310" t="s">
        <v>1567</v>
      </c>
    </row>
    <row r="663" spans="1:32" x14ac:dyDescent="0.3">
      <c r="A663" s="1310" t="s">
        <v>1567</v>
      </c>
      <c r="B663" s="1310" t="s">
        <v>1472</v>
      </c>
      <c r="C663" s="1310" t="s">
        <v>1658</v>
      </c>
      <c r="D663" s="1310" t="s">
        <v>1478</v>
      </c>
      <c r="E663" s="1310" t="s">
        <v>1548</v>
      </c>
      <c r="F663" s="1310" t="s">
        <v>1526</v>
      </c>
      <c r="G663" s="1310" t="s">
        <v>121</v>
      </c>
      <c r="H663" s="1310" t="s">
        <v>1541</v>
      </c>
      <c r="I663" s="1310" t="s">
        <v>1497</v>
      </c>
      <c r="J663" s="1310" t="s">
        <v>1509</v>
      </c>
      <c r="K663" s="1310" t="s">
        <v>119</v>
      </c>
      <c r="L663" s="1310" t="s">
        <v>1583</v>
      </c>
      <c r="M663" s="1310" t="s">
        <v>1615</v>
      </c>
      <c r="N663" s="1310" t="s">
        <v>1030</v>
      </c>
      <c r="O663" s="1310" t="s">
        <v>1493</v>
      </c>
      <c r="P663" s="1310" t="s">
        <v>1585</v>
      </c>
      <c r="Q663" s="1310" t="s">
        <v>1445</v>
      </c>
      <c r="R663" s="1310" t="s">
        <v>1505</v>
      </c>
      <c r="S663" s="1310" t="s">
        <v>1619</v>
      </c>
      <c r="T663" s="1310" t="s">
        <v>1604</v>
      </c>
      <c r="U663" s="1310" t="s">
        <v>1468</v>
      </c>
      <c r="V663" s="1310" t="s">
        <v>118</v>
      </c>
      <c r="W663" s="1310" t="s">
        <v>1468</v>
      </c>
      <c r="X663" s="1310" t="s">
        <v>1572</v>
      </c>
      <c r="Y663" s="1310" t="s">
        <v>128</v>
      </c>
      <c r="Z663" s="1310" t="s">
        <v>1571</v>
      </c>
      <c r="AA663" s="1310" t="s">
        <v>1610</v>
      </c>
      <c r="AB663" s="1310" t="s">
        <v>1451</v>
      </c>
      <c r="AC663" s="1310" t="s">
        <v>1568</v>
      </c>
      <c r="AD663" s="1310" t="s">
        <v>1561</v>
      </c>
      <c r="AE663" s="1310" t="s">
        <v>1484</v>
      </c>
      <c r="AF663" s="1310" t="s">
        <v>1584</v>
      </c>
    </row>
    <row r="664" spans="1:32" x14ac:dyDescent="0.3">
      <c r="A664" s="1310" t="s">
        <v>1535</v>
      </c>
      <c r="B664" s="1310" t="s">
        <v>1590</v>
      </c>
      <c r="C664" s="1310" t="s">
        <v>465</v>
      </c>
      <c r="D664" s="1310" t="s">
        <v>1650</v>
      </c>
      <c r="E664" s="1310" t="s">
        <v>1642</v>
      </c>
      <c r="F664" s="1310" t="s">
        <v>1597</v>
      </c>
      <c r="G664" s="1310" t="s">
        <v>1027</v>
      </c>
      <c r="H664" s="1310" t="s">
        <v>1515</v>
      </c>
      <c r="I664" s="1310" t="s">
        <v>1590</v>
      </c>
      <c r="J664" s="1310" t="s">
        <v>1586</v>
      </c>
      <c r="K664" s="1310" t="s">
        <v>1629</v>
      </c>
      <c r="L664" s="1310" t="s">
        <v>1543</v>
      </c>
      <c r="M664" s="1310" t="s">
        <v>110</v>
      </c>
      <c r="N664" s="1310" t="s">
        <v>1469</v>
      </c>
      <c r="O664" s="1310" t="s">
        <v>1520</v>
      </c>
      <c r="P664" s="1310" t="s">
        <v>1559</v>
      </c>
      <c r="Q664" s="1310" t="s">
        <v>1509</v>
      </c>
      <c r="R664" s="1310" t="s">
        <v>1558</v>
      </c>
      <c r="S664" s="1310" t="s">
        <v>1612</v>
      </c>
      <c r="T664" s="1310" t="s">
        <v>1490</v>
      </c>
      <c r="U664" s="1310" t="s">
        <v>1477</v>
      </c>
      <c r="V664" s="1310" t="s">
        <v>1574</v>
      </c>
      <c r="W664" s="1310" t="s">
        <v>1582</v>
      </c>
      <c r="X664" s="1310" t="s">
        <v>1538</v>
      </c>
      <c r="Y664" s="1310" t="s">
        <v>132</v>
      </c>
      <c r="Z664" s="1310" t="s">
        <v>1636</v>
      </c>
      <c r="AA664" s="1310" t="s">
        <v>1521</v>
      </c>
      <c r="AB664" s="1310" t="s">
        <v>1565</v>
      </c>
      <c r="AC664" s="1310" t="s">
        <v>1652</v>
      </c>
      <c r="AD664" s="1310" t="s">
        <v>1584</v>
      </c>
      <c r="AE664" s="1310" t="s">
        <v>1653</v>
      </c>
      <c r="AF664" s="1310" t="s">
        <v>1468</v>
      </c>
    </row>
    <row r="665" spans="1:32" x14ac:dyDescent="0.3">
      <c r="A665" s="1310" t="s">
        <v>1443</v>
      </c>
      <c r="B665" s="1310" t="s">
        <v>1450</v>
      </c>
      <c r="C665" s="1310" t="s">
        <v>1468</v>
      </c>
      <c r="D665" s="1310" t="s">
        <v>1646</v>
      </c>
      <c r="E665" s="1310" t="s">
        <v>1569</v>
      </c>
      <c r="F665" s="1310" t="s">
        <v>1551</v>
      </c>
      <c r="G665" s="1310" t="s">
        <v>1604</v>
      </c>
      <c r="H665" s="1310" t="s">
        <v>1594</v>
      </c>
      <c r="I665" s="1310" t="s">
        <v>1638</v>
      </c>
      <c r="J665" s="1310" t="s">
        <v>1443</v>
      </c>
      <c r="K665" s="1310" t="s">
        <v>1450</v>
      </c>
      <c r="L665" s="1310" t="s">
        <v>1640</v>
      </c>
      <c r="M665" s="1310" t="s">
        <v>1610</v>
      </c>
      <c r="N665" s="1310" t="s">
        <v>1619</v>
      </c>
      <c r="O665" s="1310" t="s">
        <v>1548</v>
      </c>
      <c r="P665" s="1310" t="s">
        <v>465</v>
      </c>
      <c r="Q665" s="1310" t="s">
        <v>1457</v>
      </c>
      <c r="R665" s="1310" t="s">
        <v>1527</v>
      </c>
      <c r="S665" s="1310" t="s">
        <v>1466</v>
      </c>
      <c r="T665" s="1310" t="s">
        <v>1517</v>
      </c>
      <c r="U665" s="1310" t="s">
        <v>1628</v>
      </c>
      <c r="V665" s="1310" t="s">
        <v>1559</v>
      </c>
      <c r="W665" s="1310" t="s">
        <v>1579</v>
      </c>
      <c r="X665" s="1310" t="s">
        <v>113</v>
      </c>
      <c r="Y665" s="1310" t="s">
        <v>1569</v>
      </c>
      <c r="Z665" s="1310" t="s">
        <v>1479</v>
      </c>
      <c r="AA665" s="1310" t="s">
        <v>1499</v>
      </c>
      <c r="AB665" s="1310" t="s">
        <v>1606</v>
      </c>
      <c r="AC665" s="1310" t="s">
        <v>1503</v>
      </c>
      <c r="AD665" s="1310" t="s">
        <v>1585</v>
      </c>
      <c r="AE665" s="1310" t="s">
        <v>1654</v>
      </c>
      <c r="AF665" s="1310" t="s">
        <v>1616</v>
      </c>
    </row>
    <row r="666" spans="1:32" x14ac:dyDescent="0.3">
      <c r="A666" s="1310" t="s">
        <v>1494</v>
      </c>
      <c r="B666" s="1310" t="s">
        <v>1533</v>
      </c>
      <c r="C666" s="1310" t="s">
        <v>1625</v>
      </c>
      <c r="D666" s="1310" t="s">
        <v>1549</v>
      </c>
      <c r="E666" s="1310" t="s">
        <v>1617</v>
      </c>
      <c r="F666" s="1310" t="s">
        <v>1640</v>
      </c>
      <c r="G666" s="1310" t="s">
        <v>1521</v>
      </c>
      <c r="H666" s="1310" t="s">
        <v>1541</v>
      </c>
      <c r="I666" s="1310" t="s">
        <v>1603</v>
      </c>
      <c r="J666" s="1310" t="s">
        <v>1648</v>
      </c>
      <c r="K666" s="1310" t="s">
        <v>1443</v>
      </c>
      <c r="L666" s="1310" t="s">
        <v>1450</v>
      </c>
      <c r="M666" s="1310" t="s">
        <v>1574</v>
      </c>
      <c r="N666" s="1310" t="s">
        <v>1457</v>
      </c>
      <c r="O666" s="1310" t="s">
        <v>471</v>
      </c>
      <c r="P666" s="1310" t="s">
        <v>1520</v>
      </c>
      <c r="Q666" s="1310" t="s">
        <v>1443</v>
      </c>
      <c r="R666" s="1310" t="s">
        <v>1450</v>
      </c>
      <c r="S666" s="1310" t="s">
        <v>1629</v>
      </c>
      <c r="T666" s="1310" t="s">
        <v>1595</v>
      </c>
      <c r="U666" s="1310" t="s">
        <v>1468</v>
      </c>
      <c r="V666" s="1310" t="s">
        <v>1030</v>
      </c>
      <c r="W666" s="1310" t="s">
        <v>1604</v>
      </c>
      <c r="X666" s="1310" t="s">
        <v>131</v>
      </c>
      <c r="Y666" s="1310" t="s">
        <v>1571</v>
      </c>
      <c r="Z666" s="1310" t="s">
        <v>1529</v>
      </c>
      <c r="AA666" s="1310" t="s">
        <v>1475</v>
      </c>
      <c r="AB666" s="1310" t="s">
        <v>132</v>
      </c>
      <c r="AC666" s="1310" t="s">
        <v>1451</v>
      </c>
      <c r="AD666" s="1310" t="s">
        <v>1639</v>
      </c>
      <c r="AE666" s="1310" t="s">
        <v>1552</v>
      </c>
      <c r="AF666" s="1310" t="s">
        <v>1594</v>
      </c>
    </row>
    <row r="667" spans="1:32" x14ac:dyDescent="0.3">
      <c r="A667" s="1310" t="s">
        <v>1547</v>
      </c>
      <c r="B667" s="1310" t="s">
        <v>1551</v>
      </c>
      <c r="C667" s="1310" t="s">
        <v>1498</v>
      </c>
      <c r="D667" s="1310" t="s">
        <v>1611</v>
      </c>
      <c r="E667" s="1310" t="s">
        <v>1525</v>
      </c>
      <c r="F667" s="1310" t="s">
        <v>1555</v>
      </c>
      <c r="G667" s="1310" t="s">
        <v>1586</v>
      </c>
      <c r="H667" s="1310" t="s">
        <v>1643</v>
      </c>
      <c r="I667" s="1310" t="s">
        <v>1027</v>
      </c>
      <c r="J667" s="1310" t="s">
        <v>1451</v>
      </c>
      <c r="K667" s="1310" t="s">
        <v>1655</v>
      </c>
      <c r="L667" s="1310" t="s">
        <v>1487</v>
      </c>
      <c r="M667" s="1310" t="s">
        <v>1579</v>
      </c>
      <c r="N667" s="1310" t="s">
        <v>1510</v>
      </c>
      <c r="O667" s="1310" t="s">
        <v>1628</v>
      </c>
      <c r="P667" s="1310" t="s">
        <v>129</v>
      </c>
      <c r="Q667" s="1310" t="s">
        <v>1465</v>
      </c>
      <c r="R667" s="1310" t="s">
        <v>1525</v>
      </c>
      <c r="S667" s="1310" t="s">
        <v>1578</v>
      </c>
      <c r="T667" s="1310" t="s">
        <v>120</v>
      </c>
      <c r="U667" s="1310" t="s">
        <v>121</v>
      </c>
      <c r="V667" s="1310" t="s">
        <v>1484</v>
      </c>
      <c r="W667" s="1310" t="s">
        <v>1509</v>
      </c>
      <c r="X667" s="1310" t="s">
        <v>1462</v>
      </c>
      <c r="Y667" s="1310" t="s">
        <v>1613</v>
      </c>
      <c r="Z667" s="1310" t="s">
        <v>1548</v>
      </c>
      <c r="AA667" s="1310" t="s">
        <v>1657</v>
      </c>
      <c r="AB667" s="1310" t="s">
        <v>1576</v>
      </c>
      <c r="AC667" s="1310" t="s">
        <v>1541</v>
      </c>
      <c r="AD667" s="1310" t="s">
        <v>1494</v>
      </c>
      <c r="AE667" s="1310" t="s">
        <v>121</v>
      </c>
      <c r="AF667" s="1310" t="s">
        <v>1552</v>
      </c>
    </row>
    <row r="668" spans="1:32" x14ac:dyDescent="0.3">
      <c r="A668" s="1310" t="s">
        <v>1595</v>
      </c>
      <c r="B668" s="1310" t="s">
        <v>1618</v>
      </c>
      <c r="C668" s="1310" t="s">
        <v>1601</v>
      </c>
      <c r="D668" s="1310" t="s">
        <v>1443</v>
      </c>
      <c r="E668" s="1310" t="s">
        <v>1450</v>
      </c>
      <c r="F668" s="1310" t="s">
        <v>132</v>
      </c>
      <c r="G668" s="1310" t="s">
        <v>1445</v>
      </c>
      <c r="H668" s="1310" t="s">
        <v>471</v>
      </c>
      <c r="I668" s="1310" t="s">
        <v>1532</v>
      </c>
      <c r="J668" s="1310" t="s">
        <v>1634</v>
      </c>
      <c r="K668" s="1310" t="s">
        <v>1548</v>
      </c>
      <c r="L668" s="1310" t="s">
        <v>1540</v>
      </c>
      <c r="M668" s="1310" t="s">
        <v>1593</v>
      </c>
      <c r="N668" s="1310" t="s">
        <v>1638</v>
      </c>
      <c r="O668" s="1310" t="s">
        <v>1575</v>
      </c>
      <c r="P668" s="1310" t="s">
        <v>1556</v>
      </c>
      <c r="Q668" s="1310" t="s">
        <v>1659</v>
      </c>
      <c r="R668" s="1310" t="s">
        <v>1552</v>
      </c>
      <c r="S668" s="1310" t="s">
        <v>1547</v>
      </c>
      <c r="T668" s="1310" t="s">
        <v>1560</v>
      </c>
      <c r="U668" s="1310" t="s">
        <v>1649</v>
      </c>
      <c r="V668" s="1310" t="s">
        <v>1474</v>
      </c>
      <c r="W668" s="1310" t="s">
        <v>267</v>
      </c>
      <c r="X668" s="1310" t="s">
        <v>1493</v>
      </c>
      <c r="Y668" s="1310" t="s">
        <v>1523</v>
      </c>
      <c r="Z668" s="1310" t="s">
        <v>1483</v>
      </c>
      <c r="AA668" s="1310" t="s">
        <v>1552</v>
      </c>
      <c r="AB668" s="1310" t="s">
        <v>1586</v>
      </c>
      <c r="AC668" s="1310" t="s">
        <v>1549</v>
      </c>
      <c r="AD668" s="1310" t="s">
        <v>1588</v>
      </c>
      <c r="AE668" s="1310" t="s">
        <v>1551</v>
      </c>
      <c r="AF668" s="1310" t="s">
        <v>1594</v>
      </c>
    </row>
    <row r="669" spans="1:32" x14ac:dyDescent="0.3">
      <c r="A669" s="1310" t="s">
        <v>113</v>
      </c>
      <c r="B669" s="1310" t="s">
        <v>465</v>
      </c>
      <c r="C669" s="1310" t="s">
        <v>1480</v>
      </c>
      <c r="D669" s="1310" t="s">
        <v>1596</v>
      </c>
      <c r="E669" s="1310" t="s">
        <v>1505</v>
      </c>
      <c r="F669" s="1310" t="s">
        <v>128</v>
      </c>
      <c r="G669" s="1310" t="s">
        <v>1659</v>
      </c>
      <c r="H669" s="1310" t="s">
        <v>1477</v>
      </c>
      <c r="I669" s="1310" t="s">
        <v>1527</v>
      </c>
      <c r="J669" s="1310" t="s">
        <v>1492</v>
      </c>
      <c r="K669" s="1310" t="s">
        <v>1612</v>
      </c>
      <c r="L669" s="1310" t="s">
        <v>1585</v>
      </c>
      <c r="M669" s="1310" t="s">
        <v>1645</v>
      </c>
      <c r="N669" s="1310" t="s">
        <v>1535</v>
      </c>
      <c r="O669" s="1310" t="s">
        <v>1541</v>
      </c>
      <c r="P669" s="1310" t="s">
        <v>1470</v>
      </c>
      <c r="Q669" s="1310" t="s">
        <v>1468</v>
      </c>
      <c r="R669" s="1310" t="s">
        <v>1594</v>
      </c>
      <c r="S669" s="1310" t="s">
        <v>1560</v>
      </c>
      <c r="T669" s="1310" t="s">
        <v>1473</v>
      </c>
      <c r="U669" s="1310" t="s">
        <v>1468</v>
      </c>
      <c r="V669" s="1310" t="s">
        <v>113</v>
      </c>
      <c r="W669" s="1310" t="s">
        <v>1468</v>
      </c>
      <c r="X669" s="1310" t="s">
        <v>128</v>
      </c>
      <c r="Y669" s="1310" t="s">
        <v>1468</v>
      </c>
      <c r="Z669" s="1310" t="s">
        <v>1616</v>
      </c>
      <c r="AA669" s="1310" t="s">
        <v>132</v>
      </c>
      <c r="AB669" s="1310" t="s">
        <v>1575</v>
      </c>
      <c r="AC669" s="1310" t="s">
        <v>1630</v>
      </c>
      <c r="AD669" s="1310" t="s">
        <v>1614</v>
      </c>
      <c r="AE669" s="1310" t="s">
        <v>1537</v>
      </c>
      <c r="AF669" s="1310" t="s">
        <v>1619</v>
      </c>
    </row>
    <row r="670" spans="1:32" x14ac:dyDescent="0.3">
      <c r="A670" s="1310" t="s">
        <v>131</v>
      </c>
      <c r="B670" s="1310" t="s">
        <v>1571</v>
      </c>
      <c r="C670" s="1310" t="s">
        <v>1649</v>
      </c>
      <c r="D670" s="1310" t="s">
        <v>1493</v>
      </c>
      <c r="E670" s="1310" t="s">
        <v>1584</v>
      </c>
      <c r="F670" s="1310" t="s">
        <v>1478</v>
      </c>
      <c r="G670" s="1310" t="s">
        <v>133</v>
      </c>
      <c r="H670" s="1310" t="s">
        <v>1640</v>
      </c>
      <c r="I670" s="1310" t="s">
        <v>1457</v>
      </c>
      <c r="J670" s="1310" t="s">
        <v>1562</v>
      </c>
      <c r="K670" s="1310" t="s">
        <v>1620</v>
      </c>
      <c r="L670" s="1310" t="s">
        <v>1506</v>
      </c>
      <c r="M670" s="1310" t="s">
        <v>1639</v>
      </c>
      <c r="N670" s="1310" t="s">
        <v>1507</v>
      </c>
      <c r="O670" s="1310" t="s">
        <v>1596</v>
      </c>
      <c r="P670" s="1310" t="s">
        <v>1479</v>
      </c>
      <c r="Q670" s="1310" t="s">
        <v>1528</v>
      </c>
      <c r="R670" s="1310" t="s">
        <v>122</v>
      </c>
      <c r="S670" s="1310" t="s">
        <v>1599</v>
      </c>
      <c r="T670" s="1310" t="s">
        <v>265</v>
      </c>
      <c r="U670" s="1310" t="s">
        <v>1529</v>
      </c>
      <c r="V670" s="1310" t="s">
        <v>1615</v>
      </c>
      <c r="W670" s="1310" t="s">
        <v>114</v>
      </c>
      <c r="X670" s="1310" t="s">
        <v>1476</v>
      </c>
      <c r="Y670" s="1310" t="s">
        <v>115</v>
      </c>
      <c r="Z670" s="1310" t="s">
        <v>1479</v>
      </c>
      <c r="AA670" s="1310" t="s">
        <v>1447</v>
      </c>
      <c r="AB670" s="1310" t="s">
        <v>1516</v>
      </c>
      <c r="AC670" s="1310" t="s">
        <v>1588</v>
      </c>
      <c r="AD670" s="1310" t="s">
        <v>1637</v>
      </c>
      <c r="AE670" s="1310" t="s">
        <v>1467</v>
      </c>
      <c r="AF670" s="1310" t="s">
        <v>1617</v>
      </c>
    </row>
    <row r="671" spans="1:32" x14ac:dyDescent="0.3">
      <c r="A671" s="1310" t="s">
        <v>1567</v>
      </c>
      <c r="B671" s="1310" t="s">
        <v>1492</v>
      </c>
      <c r="C671" s="1310" t="s">
        <v>1498</v>
      </c>
      <c r="D671" s="1310" t="s">
        <v>1551</v>
      </c>
      <c r="E671" s="1310" t="s">
        <v>1473</v>
      </c>
      <c r="F671" s="1310" t="s">
        <v>133</v>
      </c>
      <c r="G671" s="1310" t="s">
        <v>1546</v>
      </c>
      <c r="H671" s="1310" t="s">
        <v>1543</v>
      </c>
      <c r="I671" s="1310" t="s">
        <v>1636</v>
      </c>
      <c r="J671" s="1310" t="s">
        <v>1564</v>
      </c>
      <c r="K671" s="1310" t="s">
        <v>1586</v>
      </c>
      <c r="L671" s="1310" t="s">
        <v>1636</v>
      </c>
      <c r="M671" s="1310" t="s">
        <v>1564</v>
      </c>
      <c r="N671" s="1310" t="s">
        <v>1580</v>
      </c>
      <c r="O671" s="1310" t="s">
        <v>1601</v>
      </c>
      <c r="P671" s="1310" t="s">
        <v>1459</v>
      </c>
      <c r="Q671" s="1310" t="s">
        <v>1622</v>
      </c>
      <c r="R671" s="1310" t="s">
        <v>1607</v>
      </c>
      <c r="S671" s="1310" t="s">
        <v>132</v>
      </c>
      <c r="T671" s="1310" t="s">
        <v>1470</v>
      </c>
      <c r="U671" s="1310" t="s">
        <v>1615</v>
      </c>
      <c r="V671" s="1310" t="s">
        <v>1659</v>
      </c>
      <c r="W671" s="1310" t="s">
        <v>1535</v>
      </c>
      <c r="X671" s="1310" t="s">
        <v>1590</v>
      </c>
      <c r="Y671" s="1310" t="s">
        <v>1482</v>
      </c>
      <c r="Z671" s="1310" t="s">
        <v>1602</v>
      </c>
      <c r="AA671" s="1310" t="s">
        <v>1565</v>
      </c>
      <c r="AB671" s="1310" t="s">
        <v>1443</v>
      </c>
      <c r="AC671" s="1310" t="s">
        <v>1450</v>
      </c>
      <c r="AD671" s="1310" t="s">
        <v>1463</v>
      </c>
      <c r="AE671" s="1310" t="s">
        <v>1519</v>
      </c>
      <c r="AF671" s="1310" t="s">
        <v>1619</v>
      </c>
    </row>
    <row r="672" spans="1:32" x14ac:dyDescent="0.3">
      <c r="A672" s="1310" t="s">
        <v>1599</v>
      </c>
      <c r="B672" s="1310" t="s">
        <v>1448</v>
      </c>
      <c r="C672" s="1310" t="s">
        <v>1499</v>
      </c>
      <c r="D672" s="1310" t="s">
        <v>1552</v>
      </c>
      <c r="E672" s="1310" t="s">
        <v>1564</v>
      </c>
      <c r="F672" s="1310" t="s">
        <v>1463</v>
      </c>
      <c r="G672" s="1310" t="s">
        <v>1640</v>
      </c>
      <c r="H672" s="1310" t="s">
        <v>133</v>
      </c>
      <c r="I672" s="1310" t="s">
        <v>1641</v>
      </c>
      <c r="J672" s="1310" t="s">
        <v>116</v>
      </c>
      <c r="K672" s="1310" t="s">
        <v>1491</v>
      </c>
      <c r="L672" s="1310" t="s">
        <v>119</v>
      </c>
      <c r="M672" s="1310" t="s">
        <v>1556</v>
      </c>
      <c r="N672" s="1310" t="s">
        <v>115</v>
      </c>
      <c r="O672" s="1310" t="s">
        <v>1543</v>
      </c>
      <c r="P672" s="1310" t="s">
        <v>121</v>
      </c>
      <c r="Q672" s="1310" t="s">
        <v>1544</v>
      </c>
      <c r="R672" s="1310" t="s">
        <v>1604</v>
      </c>
      <c r="S672" s="1310" t="s">
        <v>1548</v>
      </c>
      <c r="T672" s="1310" t="s">
        <v>1592</v>
      </c>
      <c r="U672" s="1310" t="s">
        <v>1561</v>
      </c>
      <c r="V672" s="1310" t="s">
        <v>1498</v>
      </c>
      <c r="W672" s="1310" t="s">
        <v>1651</v>
      </c>
      <c r="X672" s="1310" t="s">
        <v>1451</v>
      </c>
      <c r="Y672" s="1310" t="s">
        <v>1477</v>
      </c>
      <c r="Z672" s="1310" t="s">
        <v>1631</v>
      </c>
      <c r="AA672" s="1310" t="s">
        <v>1480</v>
      </c>
      <c r="AB672" s="1310" t="s">
        <v>1459</v>
      </c>
      <c r="AC672" s="1310" t="s">
        <v>1573</v>
      </c>
      <c r="AD672" s="1310" t="s">
        <v>1456</v>
      </c>
      <c r="AE672" s="1310" t="s">
        <v>1472</v>
      </c>
      <c r="AF672" s="1310" t="s">
        <v>1535</v>
      </c>
    </row>
    <row r="673" spans="1:32" x14ac:dyDescent="0.3">
      <c r="A673" s="1310" t="s">
        <v>1452</v>
      </c>
      <c r="B673" s="1310" t="s">
        <v>133</v>
      </c>
      <c r="C673" s="1310" t="s">
        <v>1030</v>
      </c>
      <c r="D673" s="1310" t="s">
        <v>1486</v>
      </c>
      <c r="E673" s="1310" t="s">
        <v>1443</v>
      </c>
      <c r="F673" s="1310" t="s">
        <v>1450</v>
      </c>
      <c r="G673" s="1310" t="s">
        <v>1601</v>
      </c>
      <c r="H673" s="1310" t="s">
        <v>1660</v>
      </c>
      <c r="I673" s="1310" t="s">
        <v>1647</v>
      </c>
      <c r="J673" s="1310" t="s">
        <v>1582</v>
      </c>
      <c r="K673" s="1310" t="s">
        <v>1638</v>
      </c>
      <c r="L673" s="1310" t="s">
        <v>1443</v>
      </c>
      <c r="M673" s="1310" t="s">
        <v>1450</v>
      </c>
      <c r="N673" s="1310" t="s">
        <v>132</v>
      </c>
      <c r="O673" s="1310" t="s">
        <v>1555</v>
      </c>
      <c r="P673" s="1310" t="s">
        <v>1489</v>
      </c>
      <c r="Q673" s="1310" t="s">
        <v>1594</v>
      </c>
      <c r="R673" s="1310" t="s">
        <v>1527</v>
      </c>
      <c r="S673" s="1310" t="s">
        <v>124</v>
      </c>
      <c r="T673" s="1310" t="s">
        <v>1479</v>
      </c>
      <c r="U673" s="1310" t="s">
        <v>1596</v>
      </c>
      <c r="V673" s="1310" t="s">
        <v>1649</v>
      </c>
      <c r="W673" s="1310" t="s">
        <v>1468</v>
      </c>
      <c r="X673" s="1310" t="s">
        <v>1552</v>
      </c>
      <c r="Y673" s="1310" t="s">
        <v>1521</v>
      </c>
      <c r="Z673" s="1310" t="s">
        <v>1561</v>
      </c>
      <c r="AA673" s="1310" t="s">
        <v>265</v>
      </c>
      <c r="AB673" s="1310" t="s">
        <v>132</v>
      </c>
      <c r="AC673" s="1310" t="s">
        <v>1540</v>
      </c>
      <c r="AD673" s="1310" t="s">
        <v>1546</v>
      </c>
      <c r="AE673" s="1310" t="s">
        <v>1468</v>
      </c>
      <c r="AF673" s="1310" t="s">
        <v>1575</v>
      </c>
    </row>
    <row r="674" spans="1:32" x14ac:dyDescent="0.3">
      <c r="A674" s="1310" t="s">
        <v>1480</v>
      </c>
      <c r="B674" s="1310" t="s">
        <v>1518</v>
      </c>
      <c r="C674" s="1310" t="s">
        <v>115</v>
      </c>
      <c r="D674" s="1310" t="s">
        <v>1604</v>
      </c>
      <c r="E674" s="1310" t="s">
        <v>116</v>
      </c>
      <c r="F674" s="1310" t="s">
        <v>268</v>
      </c>
      <c r="G674" s="1310" t="s">
        <v>1498</v>
      </c>
      <c r="H674" s="1310" t="s">
        <v>1625</v>
      </c>
      <c r="I674" s="1310" t="s">
        <v>1644</v>
      </c>
      <c r="J674" s="1310" t="s">
        <v>1535</v>
      </c>
      <c r="K674" s="1310" t="s">
        <v>1586</v>
      </c>
      <c r="L674" s="1310" t="s">
        <v>1557</v>
      </c>
      <c r="M674" s="1310" t="s">
        <v>1609</v>
      </c>
      <c r="N674" s="1310" t="s">
        <v>1525</v>
      </c>
      <c r="O674" s="1310" t="s">
        <v>1027</v>
      </c>
      <c r="P674" s="1310" t="s">
        <v>1517</v>
      </c>
      <c r="Q674" s="1310" t="s">
        <v>1659</v>
      </c>
      <c r="R674" s="1310" t="s">
        <v>1646</v>
      </c>
      <c r="S674" s="1310" t="s">
        <v>1534</v>
      </c>
      <c r="T674" s="1310" t="s">
        <v>1613</v>
      </c>
      <c r="U674" s="1310" t="s">
        <v>1493</v>
      </c>
      <c r="V674" s="1310" t="s">
        <v>1546</v>
      </c>
      <c r="W674" s="1310" t="s">
        <v>1501</v>
      </c>
      <c r="X674" s="1310" t="s">
        <v>1641</v>
      </c>
      <c r="Y674" s="1310" t="s">
        <v>1466</v>
      </c>
      <c r="Z674" s="1310" t="s">
        <v>1541</v>
      </c>
      <c r="AA674" s="1310" t="s">
        <v>1461</v>
      </c>
      <c r="AB674" s="1310" t="s">
        <v>1604</v>
      </c>
      <c r="AC674" s="1310" t="s">
        <v>1443</v>
      </c>
      <c r="AD674" s="1310" t="s">
        <v>1450</v>
      </c>
      <c r="AE674" s="1310" t="s">
        <v>1629</v>
      </c>
      <c r="AF674" s="1310" t="s">
        <v>1479</v>
      </c>
    </row>
    <row r="675" spans="1:32" x14ac:dyDescent="0.3">
      <c r="A675" s="1310" t="s">
        <v>1537</v>
      </c>
      <c r="B675" s="1310" t="s">
        <v>1543</v>
      </c>
      <c r="C675" s="1310" t="s">
        <v>1468</v>
      </c>
      <c r="D675" s="1310" t="s">
        <v>1559</v>
      </c>
      <c r="E675" s="1310" t="s">
        <v>131</v>
      </c>
      <c r="F675" s="1310" t="s">
        <v>1540</v>
      </c>
      <c r="G675" s="1310" t="s">
        <v>1570</v>
      </c>
      <c r="H675" s="1310" t="s">
        <v>1474</v>
      </c>
      <c r="I675" s="1310" t="s">
        <v>1561</v>
      </c>
      <c r="J675" s="1310" t="s">
        <v>1603</v>
      </c>
      <c r="K675" s="1310" t="s">
        <v>1629</v>
      </c>
      <c r="L675" s="1310" t="s">
        <v>117</v>
      </c>
      <c r="M675" s="1310" t="s">
        <v>1607</v>
      </c>
      <c r="N675" s="1310" t="s">
        <v>1518</v>
      </c>
      <c r="O675" s="1310" t="s">
        <v>117</v>
      </c>
      <c r="P675" s="1310" t="s">
        <v>1533</v>
      </c>
      <c r="Q675" s="1310" t="s">
        <v>1577</v>
      </c>
      <c r="R675" s="1310" t="s">
        <v>1513</v>
      </c>
      <c r="S675" s="1310" t="s">
        <v>1571</v>
      </c>
      <c r="T675" s="1310" t="s">
        <v>1649</v>
      </c>
      <c r="U675" s="1310" t="s">
        <v>125</v>
      </c>
      <c r="V675" s="1310" t="s">
        <v>1560</v>
      </c>
      <c r="W675" s="1310" t="s">
        <v>1635</v>
      </c>
      <c r="X675" s="1310" t="s">
        <v>1611</v>
      </c>
      <c r="Y675" s="1310" t="s">
        <v>1553</v>
      </c>
      <c r="Z675" s="1310" t="s">
        <v>1561</v>
      </c>
      <c r="AA675" s="1310" t="s">
        <v>1614</v>
      </c>
      <c r="AB675" s="1310" t="s">
        <v>1640</v>
      </c>
      <c r="AC675" s="1310" t="s">
        <v>1491</v>
      </c>
      <c r="AD675" s="1310" t="s">
        <v>1659</v>
      </c>
      <c r="AE675" s="1310" t="s">
        <v>1568</v>
      </c>
      <c r="AF675" s="1310" t="s">
        <v>1552</v>
      </c>
    </row>
    <row r="676" spans="1:32" x14ac:dyDescent="0.3">
      <c r="A676" s="1310" t="s">
        <v>1650</v>
      </c>
      <c r="B676" s="1310" t="s">
        <v>112</v>
      </c>
      <c r="C676" s="1310" t="s">
        <v>1447</v>
      </c>
      <c r="D676" s="1310" t="s">
        <v>128</v>
      </c>
      <c r="E676" s="1310" t="s">
        <v>1632</v>
      </c>
      <c r="F676" s="1310" t="s">
        <v>1466</v>
      </c>
      <c r="G676" s="1310" t="s">
        <v>1547</v>
      </c>
      <c r="H676" s="1310" t="s">
        <v>1572</v>
      </c>
      <c r="I676" s="1310" t="s">
        <v>1505</v>
      </c>
      <c r="J676" s="1310" t="s">
        <v>1649</v>
      </c>
      <c r="K676" s="1310" t="s">
        <v>1473</v>
      </c>
      <c r="L676" s="1310" t="s">
        <v>1646</v>
      </c>
      <c r="M676" s="1310" t="s">
        <v>1626</v>
      </c>
      <c r="N676" s="1310" t="s">
        <v>1512</v>
      </c>
      <c r="O676" s="1310" t="s">
        <v>1652</v>
      </c>
      <c r="P676" s="1310" t="s">
        <v>122</v>
      </c>
      <c r="Q676" s="1310" t="s">
        <v>1643</v>
      </c>
      <c r="R676" s="1310" t="s">
        <v>1494</v>
      </c>
      <c r="S676" s="1310" t="s">
        <v>117</v>
      </c>
      <c r="T676" s="1310" t="s">
        <v>1651</v>
      </c>
      <c r="U676" s="1310" t="s">
        <v>1456</v>
      </c>
      <c r="V676" s="1310" t="s">
        <v>125</v>
      </c>
      <c r="W676" s="1310" t="s">
        <v>1452</v>
      </c>
      <c r="X676" s="1310" t="s">
        <v>1592</v>
      </c>
      <c r="Y676" s="1310" t="s">
        <v>1468</v>
      </c>
      <c r="Z676" s="1310" t="s">
        <v>111</v>
      </c>
      <c r="AA676" s="1310" t="s">
        <v>1569</v>
      </c>
      <c r="AB676" s="1310" t="s">
        <v>1575</v>
      </c>
      <c r="AC676" s="1310" t="s">
        <v>1515</v>
      </c>
      <c r="AD676" s="1310" t="s">
        <v>1482</v>
      </c>
      <c r="AE676" s="1310" t="s">
        <v>1583</v>
      </c>
      <c r="AF676" s="1310" t="s">
        <v>1655</v>
      </c>
    </row>
    <row r="677" spans="1:32" x14ac:dyDescent="0.3">
      <c r="A677" s="1310" t="s">
        <v>1579</v>
      </c>
      <c r="B677" s="1310" t="s">
        <v>1622</v>
      </c>
      <c r="C677" s="1310" t="s">
        <v>1488</v>
      </c>
      <c r="D677" s="1310" t="s">
        <v>1622</v>
      </c>
      <c r="E677" s="1310" t="s">
        <v>1453</v>
      </c>
      <c r="F677" s="1310" t="s">
        <v>1542</v>
      </c>
      <c r="G677" s="1310" t="s">
        <v>1603</v>
      </c>
      <c r="H677" s="1310" t="s">
        <v>1539</v>
      </c>
      <c r="I677" s="1310" t="s">
        <v>1448</v>
      </c>
      <c r="J677" s="1310" t="s">
        <v>471</v>
      </c>
      <c r="K677" s="1310" t="s">
        <v>1483</v>
      </c>
      <c r="L677" s="1310" t="s">
        <v>1548</v>
      </c>
      <c r="M677" s="1310" t="s">
        <v>1620</v>
      </c>
      <c r="N677" s="1310" t="s">
        <v>1639</v>
      </c>
      <c r="O677" s="1310" t="s">
        <v>1457</v>
      </c>
      <c r="P677" s="1310" t="s">
        <v>1505</v>
      </c>
      <c r="Q677" s="1310" t="s">
        <v>1501</v>
      </c>
      <c r="R677" s="1310" t="s">
        <v>1594</v>
      </c>
      <c r="S677" s="1310" t="s">
        <v>126</v>
      </c>
      <c r="T677" s="1310" t="s">
        <v>123</v>
      </c>
      <c r="U677" s="1310" t="s">
        <v>1497</v>
      </c>
      <c r="V677" s="1310" t="s">
        <v>116</v>
      </c>
      <c r="W677" s="1310" t="s">
        <v>123</v>
      </c>
      <c r="X677" s="1310" t="s">
        <v>1516</v>
      </c>
      <c r="Y677" s="1310" t="s">
        <v>1463</v>
      </c>
      <c r="Z677" s="1310" t="s">
        <v>1601</v>
      </c>
      <c r="AA677" s="1310" t="s">
        <v>1447</v>
      </c>
      <c r="AB677" s="1310" t="s">
        <v>1611</v>
      </c>
      <c r="AC677" s="1310" t="s">
        <v>1472</v>
      </c>
      <c r="AD677" s="1310" t="s">
        <v>1522</v>
      </c>
      <c r="AE677" s="1310" t="s">
        <v>1484</v>
      </c>
      <c r="AF677" s="1310" t="s">
        <v>6</v>
      </c>
    </row>
    <row r="678" spans="1:32" x14ac:dyDescent="0.3">
      <c r="A678" s="1310" t="s">
        <v>1497</v>
      </c>
      <c r="B678" s="1310" t="s">
        <v>1565</v>
      </c>
      <c r="C678" s="1310" t="s">
        <v>1458</v>
      </c>
      <c r="D678" s="1310" t="s">
        <v>1547</v>
      </c>
      <c r="E678" s="1310" t="s">
        <v>1598</v>
      </c>
      <c r="F678" s="1310" t="s">
        <v>267</v>
      </c>
      <c r="G678" s="1310" t="s">
        <v>1583</v>
      </c>
      <c r="H678" s="1310" t="s">
        <v>1454</v>
      </c>
      <c r="I678" s="1310" t="s">
        <v>1470</v>
      </c>
      <c r="J678" s="1310" t="s">
        <v>1657</v>
      </c>
      <c r="K678" s="1310" t="s">
        <v>1551</v>
      </c>
      <c r="L678" s="1310" t="s">
        <v>1473</v>
      </c>
      <c r="M678" s="1310" t="s">
        <v>1635</v>
      </c>
      <c r="N678" s="1310" t="s">
        <v>1480</v>
      </c>
      <c r="O678" s="1310" t="s">
        <v>1608</v>
      </c>
      <c r="P678" s="1310" t="s">
        <v>121</v>
      </c>
      <c r="Q678" s="1310" t="s">
        <v>1554</v>
      </c>
      <c r="R678" s="1310" t="s">
        <v>1636</v>
      </c>
      <c r="S678" s="1310" t="s">
        <v>1613</v>
      </c>
      <c r="T678" s="1310" t="s">
        <v>1559</v>
      </c>
      <c r="U678" s="1310" t="s">
        <v>123</v>
      </c>
      <c r="V678" s="1310" t="s">
        <v>1447</v>
      </c>
      <c r="W678" s="1310" t="s">
        <v>1622</v>
      </c>
      <c r="X678" s="1310" t="s">
        <v>1525</v>
      </c>
      <c r="Y678" s="1310" t="s">
        <v>1490</v>
      </c>
      <c r="Z678" s="1310" t="s">
        <v>1466</v>
      </c>
      <c r="AA678" s="1310" t="s">
        <v>1589</v>
      </c>
      <c r="AB678" s="1310" t="s">
        <v>1525</v>
      </c>
      <c r="AC678" s="1310" t="s">
        <v>1511</v>
      </c>
      <c r="AD678" s="1310" t="s">
        <v>1569</v>
      </c>
      <c r="AE678" s="1310" t="s">
        <v>1560</v>
      </c>
      <c r="AF678" s="1310" t="s">
        <v>1532</v>
      </c>
    </row>
    <row r="679" spans="1:32" x14ac:dyDescent="0.3">
      <c r="A679" s="1310" t="s">
        <v>1490</v>
      </c>
      <c r="B679" s="1310" t="s">
        <v>1563</v>
      </c>
      <c r="C679" s="1310" t="s">
        <v>1632</v>
      </c>
      <c r="D679" s="1310" t="s">
        <v>1636</v>
      </c>
      <c r="E679" s="1310" t="s">
        <v>1606</v>
      </c>
      <c r="F679" s="1310" t="s">
        <v>1577</v>
      </c>
      <c r="G679" s="1310" t="s">
        <v>1485</v>
      </c>
      <c r="H679" s="1310" t="s">
        <v>1565</v>
      </c>
      <c r="I679" s="1310" t="s">
        <v>1628</v>
      </c>
      <c r="J679" s="1310" t="s">
        <v>1443</v>
      </c>
      <c r="K679" s="1310" t="s">
        <v>1450</v>
      </c>
      <c r="L679" s="1310" t="s">
        <v>1536</v>
      </c>
      <c r="M679" s="1310" t="s">
        <v>1604</v>
      </c>
      <c r="N679" s="1310" t="s">
        <v>1491</v>
      </c>
      <c r="O679" s="1310" t="s">
        <v>1605</v>
      </c>
      <c r="P679" s="1310" t="s">
        <v>267</v>
      </c>
      <c r="Q679" s="1310" t="s">
        <v>1493</v>
      </c>
      <c r="R679" s="1310" t="s">
        <v>1589</v>
      </c>
      <c r="S679" s="1310" t="s">
        <v>1502</v>
      </c>
      <c r="T679" s="1310" t="s">
        <v>1491</v>
      </c>
      <c r="U679" s="1310" t="s">
        <v>1468</v>
      </c>
      <c r="V679" s="1310" t="s">
        <v>123</v>
      </c>
      <c r="W679" s="1310" t="s">
        <v>132</v>
      </c>
      <c r="X679" s="1310" t="s">
        <v>1660</v>
      </c>
      <c r="Y679" s="1310" t="s">
        <v>1603</v>
      </c>
      <c r="Z679" s="1310" t="s">
        <v>1565</v>
      </c>
      <c r="AA679" s="1310" t="s">
        <v>1501</v>
      </c>
      <c r="AB679" s="1310" t="s">
        <v>1537</v>
      </c>
      <c r="AC679" s="1310" t="s">
        <v>1659</v>
      </c>
      <c r="AD679" s="1310" t="s">
        <v>1611</v>
      </c>
      <c r="AE679" s="1310" t="s">
        <v>1443</v>
      </c>
      <c r="AF679" s="1310" t="s">
        <v>1450</v>
      </c>
    </row>
    <row r="680" spans="1:32" x14ac:dyDescent="0.3">
      <c r="A680" s="1310" t="s">
        <v>1646</v>
      </c>
      <c r="B680" s="1310" t="s">
        <v>1535</v>
      </c>
      <c r="C680" s="1310" t="s">
        <v>1584</v>
      </c>
      <c r="D680" s="1310" t="s">
        <v>1501</v>
      </c>
      <c r="E680" s="1310" t="s">
        <v>471</v>
      </c>
      <c r="F680" s="1310" t="s">
        <v>1584</v>
      </c>
      <c r="G680" s="1310" t="s">
        <v>1653</v>
      </c>
      <c r="H680" s="1310" t="s">
        <v>1644</v>
      </c>
      <c r="I680" s="1310" t="s">
        <v>1461</v>
      </c>
      <c r="J680" s="1310" t="s">
        <v>1474</v>
      </c>
      <c r="K680" s="1310" t="s">
        <v>1027</v>
      </c>
      <c r="L680" s="1310" t="s">
        <v>1524</v>
      </c>
      <c r="M680" s="1310" t="s">
        <v>1578</v>
      </c>
      <c r="N680" s="1310" t="s">
        <v>1568</v>
      </c>
      <c r="O680" s="1310" t="s">
        <v>1616</v>
      </c>
      <c r="P680" s="1310" t="s">
        <v>1457</v>
      </c>
      <c r="Q680" s="1310" t="s">
        <v>1540</v>
      </c>
      <c r="R680" s="1310" t="s">
        <v>1459</v>
      </c>
      <c r="S680" s="1310" t="s">
        <v>1508</v>
      </c>
      <c r="T680" s="1310" t="s">
        <v>1474</v>
      </c>
      <c r="U680" s="1310" t="s">
        <v>1592</v>
      </c>
      <c r="V680" s="1310" t="s">
        <v>1516</v>
      </c>
      <c r="W680" s="1310" t="s">
        <v>1526</v>
      </c>
      <c r="X680" s="1310" t="s">
        <v>1652</v>
      </c>
      <c r="Y680" s="1310" t="s">
        <v>1526</v>
      </c>
      <c r="Z680" s="1310" t="s">
        <v>1635</v>
      </c>
      <c r="AA680" s="1310" t="s">
        <v>1559</v>
      </c>
      <c r="AB680" s="1310" t="s">
        <v>1573</v>
      </c>
      <c r="AC680" s="1310" t="s">
        <v>1532</v>
      </c>
      <c r="AD680" s="1310" t="s">
        <v>1595</v>
      </c>
      <c r="AE680" s="1310" t="s">
        <v>1638</v>
      </c>
      <c r="AF680" s="1310" t="s">
        <v>1578</v>
      </c>
    </row>
    <row r="681" spans="1:32" x14ac:dyDescent="0.3">
      <c r="A681" s="1310" t="s">
        <v>1577</v>
      </c>
      <c r="B681" s="1310" t="s">
        <v>1629</v>
      </c>
      <c r="C681" s="1310" t="s">
        <v>1608</v>
      </c>
      <c r="D681" s="1310" t="s">
        <v>1601</v>
      </c>
      <c r="E681" s="1310" t="s">
        <v>1605</v>
      </c>
      <c r="F681" s="1310" t="s">
        <v>1575</v>
      </c>
      <c r="G681" s="1310" t="s">
        <v>1444</v>
      </c>
      <c r="H681" s="1310" t="s">
        <v>1491</v>
      </c>
      <c r="I681" s="1310" t="s">
        <v>1597</v>
      </c>
      <c r="J681" s="1310" t="s">
        <v>1554</v>
      </c>
      <c r="K681" s="1310" t="s">
        <v>1565</v>
      </c>
      <c r="L681" s="1310" t="s">
        <v>1596</v>
      </c>
      <c r="M681" s="1310" t="s">
        <v>119</v>
      </c>
      <c r="N681" s="1310" t="s">
        <v>1454</v>
      </c>
      <c r="O681" s="1310" t="s">
        <v>1481</v>
      </c>
      <c r="P681" s="1310" t="s">
        <v>1521</v>
      </c>
      <c r="Q681" s="1310" t="s">
        <v>1536</v>
      </c>
      <c r="R681" s="1310" t="s">
        <v>128</v>
      </c>
      <c r="S681" s="1310" t="s">
        <v>130</v>
      </c>
      <c r="T681" s="1310" t="s">
        <v>267</v>
      </c>
      <c r="U681" s="1310" t="s">
        <v>270</v>
      </c>
      <c r="V681" s="1310" t="s">
        <v>1461</v>
      </c>
      <c r="W681" s="1310" t="s">
        <v>1574</v>
      </c>
      <c r="X681" s="1310" t="s">
        <v>1459</v>
      </c>
      <c r="Y681" s="1310" t="s">
        <v>1524</v>
      </c>
      <c r="Z681" s="1310" t="s">
        <v>1576</v>
      </c>
      <c r="AA681" s="1310" t="s">
        <v>1620</v>
      </c>
      <c r="AB681" s="1310" t="s">
        <v>1473</v>
      </c>
      <c r="AC681" s="1310" t="s">
        <v>1515</v>
      </c>
      <c r="AD681" s="1310" t="s">
        <v>1619</v>
      </c>
      <c r="AE681" s="1310" t="s">
        <v>1628</v>
      </c>
      <c r="AF681" s="1310" t="s">
        <v>1563</v>
      </c>
    </row>
    <row r="682" spans="1:32" x14ac:dyDescent="0.3">
      <c r="A682" s="1310" t="s">
        <v>123</v>
      </c>
      <c r="B682" s="1310" t="s">
        <v>270</v>
      </c>
      <c r="C682" s="1310" t="s">
        <v>1601</v>
      </c>
      <c r="D682" s="1310" t="s">
        <v>1608</v>
      </c>
      <c r="E682" s="1310" t="s">
        <v>1027</v>
      </c>
      <c r="F682" s="1310" t="s">
        <v>1629</v>
      </c>
      <c r="G682" s="1310" t="s">
        <v>1660</v>
      </c>
      <c r="H682" s="1310" t="s">
        <v>1501</v>
      </c>
      <c r="I682" s="1310" t="s">
        <v>1530</v>
      </c>
      <c r="J682" s="1310" t="s">
        <v>122</v>
      </c>
      <c r="K682" s="1310" t="s">
        <v>1564</v>
      </c>
      <c r="L682" s="1310" t="s">
        <v>1602</v>
      </c>
      <c r="M682" s="1310" t="s">
        <v>1464</v>
      </c>
      <c r="N682" s="1310" t="s">
        <v>1593</v>
      </c>
      <c r="O682" s="1310" t="s">
        <v>1649</v>
      </c>
      <c r="P682" s="1310" t="s">
        <v>1474</v>
      </c>
      <c r="Q682" s="1310" t="s">
        <v>1548</v>
      </c>
      <c r="R682" s="1310" t="s">
        <v>1580</v>
      </c>
      <c r="S682" s="1310" t="s">
        <v>1588</v>
      </c>
      <c r="T682" s="1310" t="s">
        <v>471</v>
      </c>
      <c r="U682" s="1310" t="s">
        <v>1603</v>
      </c>
      <c r="V682" s="1310" t="s">
        <v>1468</v>
      </c>
      <c r="W682" s="1310" t="s">
        <v>1495</v>
      </c>
      <c r="X682" s="1310" t="s">
        <v>122</v>
      </c>
      <c r="Y682" s="1310" t="s">
        <v>1486</v>
      </c>
      <c r="Z682" s="1310" t="s">
        <v>1611</v>
      </c>
      <c r="AA682" s="1310" t="s">
        <v>133</v>
      </c>
      <c r="AB682" s="1310" t="s">
        <v>1646</v>
      </c>
      <c r="AC682" s="1310" t="s">
        <v>1630</v>
      </c>
      <c r="AD682" s="1310" t="s">
        <v>1624</v>
      </c>
      <c r="AE682" s="1310" t="s">
        <v>1564</v>
      </c>
      <c r="AF682" s="1310" t="s">
        <v>1520</v>
      </c>
    </row>
    <row r="683" spans="1:32" x14ac:dyDescent="0.3">
      <c r="A683" s="1310" t="s">
        <v>1474</v>
      </c>
      <c r="B683" s="1310" t="s">
        <v>1580</v>
      </c>
      <c r="C683" s="1310" t="s">
        <v>1476</v>
      </c>
      <c r="D683" s="1310" t="s">
        <v>1533</v>
      </c>
      <c r="E683" s="1310" t="s">
        <v>1531</v>
      </c>
      <c r="F683" s="1310" t="s">
        <v>1482</v>
      </c>
      <c r="G683" s="1310" t="s">
        <v>1488</v>
      </c>
      <c r="H683" s="1310" t="s">
        <v>1642</v>
      </c>
      <c r="I683" s="1310" t="s">
        <v>1509</v>
      </c>
      <c r="J683" s="1310" t="s">
        <v>1530</v>
      </c>
      <c r="K683" s="1310" t="s">
        <v>1470</v>
      </c>
      <c r="L683" s="1310" t="s">
        <v>1530</v>
      </c>
      <c r="M683" s="1310" t="s">
        <v>1604</v>
      </c>
      <c r="N683" s="1310" t="s">
        <v>1455</v>
      </c>
      <c r="O683" s="1310" t="s">
        <v>1553</v>
      </c>
      <c r="P683" s="1310" t="s">
        <v>1544</v>
      </c>
      <c r="Q683" s="1310" t="s">
        <v>1603</v>
      </c>
      <c r="R683" s="1310" t="s">
        <v>1532</v>
      </c>
      <c r="S683" s="1310" t="s">
        <v>1575</v>
      </c>
      <c r="T683" s="1310" t="s">
        <v>120</v>
      </c>
      <c r="U683" s="1310" t="s">
        <v>1602</v>
      </c>
      <c r="V683" s="1310" t="s">
        <v>1644</v>
      </c>
      <c r="W683" s="1310" t="s">
        <v>1561</v>
      </c>
      <c r="X683" s="1310" t="s">
        <v>1556</v>
      </c>
      <c r="Y683" s="1310" t="s">
        <v>133</v>
      </c>
      <c r="Z683" s="1310" t="s">
        <v>1612</v>
      </c>
      <c r="AA683" s="1310" t="s">
        <v>1570</v>
      </c>
      <c r="AB683" s="1310" t="s">
        <v>1484</v>
      </c>
      <c r="AC683" s="1310" t="s">
        <v>1570</v>
      </c>
      <c r="AD683" s="1310" t="s">
        <v>1642</v>
      </c>
      <c r="AE683" s="1310" t="s">
        <v>115</v>
      </c>
      <c r="AF683" s="1310" t="s">
        <v>1593</v>
      </c>
    </row>
    <row r="684" spans="1:32" x14ac:dyDescent="0.3">
      <c r="A684" s="1310" t="s">
        <v>262</v>
      </c>
      <c r="B684" s="1310" t="s">
        <v>1655</v>
      </c>
      <c r="C684" s="1310" t="s">
        <v>1543</v>
      </c>
      <c r="D684" s="1310" t="s">
        <v>1570</v>
      </c>
      <c r="E684" s="1310" t="s">
        <v>1577</v>
      </c>
      <c r="F684" s="1310" t="s">
        <v>1030</v>
      </c>
      <c r="G684" s="1310" t="s">
        <v>120</v>
      </c>
      <c r="H684" s="1310" t="s">
        <v>1577</v>
      </c>
      <c r="I684" s="1310" t="s">
        <v>1647</v>
      </c>
      <c r="J684" s="1310" t="s">
        <v>1645</v>
      </c>
      <c r="K684" s="1310" t="s">
        <v>1588</v>
      </c>
      <c r="L684" s="1310" t="s">
        <v>117</v>
      </c>
      <c r="M684" s="1310" t="s">
        <v>1548</v>
      </c>
      <c r="N684" s="1310" t="s">
        <v>1625</v>
      </c>
      <c r="O684" s="1310" t="s">
        <v>1543</v>
      </c>
      <c r="P684" s="1310" t="s">
        <v>1617</v>
      </c>
      <c r="Q684" s="1310" t="s">
        <v>1611</v>
      </c>
      <c r="R684" s="1310" t="s">
        <v>1643</v>
      </c>
      <c r="S684" s="1310" t="s">
        <v>1529</v>
      </c>
      <c r="T684" s="1310" t="s">
        <v>1594</v>
      </c>
      <c r="U684" s="1310" t="s">
        <v>1647</v>
      </c>
      <c r="V684" s="1310" t="s">
        <v>1507</v>
      </c>
      <c r="W684" s="1310" t="s">
        <v>1558</v>
      </c>
      <c r="X684" s="1310" t="s">
        <v>1519</v>
      </c>
      <c r="Y684" s="1310" t="s">
        <v>1557</v>
      </c>
      <c r="Z684" s="1310" t="s">
        <v>1448</v>
      </c>
      <c r="AA684" s="1310" t="s">
        <v>1549</v>
      </c>
      <c r="AB684" s="1310" t="s">
        <v>1593</v>
      </c>
      <c r="AC684" s="1310" t="s">
        <v>1505</v>
      </c>
      <c r="AD684" s="1310" t="s">
        <v>1492</v>
      </c>
      <c r="AE684" s="1310" t="s">
        <v>1597</v>
      </c>
      <c r="AF684" s="1310" t="s">
        <v>116</v>
      </c>
    </row>
    <row r="685" spans="1:32" x14ac:dyDescent="0.3">
      <c r="A685" s="1310" t="s">
        <v>1618</v>
      </c>
      <c r="B685" s="1310" t="s">
        <v>1660</v>
      </c>
      <c r="C685" s="1310" t="s">
        <v>1574</v>
      </c>
      <c r="D685" s="1310" t="s">
        <v>1649</v>
      </c>
      <c r="E685" s="1310" t="s">
        <v>1635</v>
      </c>
      <c r="F685" s="1310" t="s">
        <v>1565</v>
      </c>
      <c r="G685" s="1310" t="s">
        <v>1557</v>
      </c>
      <c r="H685" s="1310" t="s">
        <v>1527</v>
      </c>
      <c r="I685" s="1310" t="s">
        <v>1646</v>
      </c>
      <c r="J685" s="1310" t="s">
        <v>1449</v>
      </c>
      <c r="K685" s="1310" t="s">
        <v>1464</v>
      </c>
      <c r="L685" s="1310" t="s">
        <v>1539</v>
      </c>
      <c r="M685" s="1310" t="s">
        <v>1489</v>
      </c>
      <c r="N685" s="1310" t="s">
        <v>1585</v>
      </c>
      <c r="O685" s="1310" t="s">
        <v>1464</v>
      </c>
      <c r="P685" s="1310" t="s">
        <v>1508</v>
      </c>
      <c r="Q685" s="1310" t="s">
        <v>1490</v>
      </c>
      <c r="R685" s="1310" t="s">
        <v>1548</v>
      </c>
      <c r="S685" s="1310" t="s">
        <v>115</v>
      </c>
      <c r="T685" s="1310" t="s">
        <v>269</v>
      </c>
      <c r="U685" s="1310" t="s">
        <v>112</v>
      </c>
      <c r="V685" s="1310" t="s">
        <v>1482</v>
      </c>
      <c r="W685" s="1310" t="s">
        <v>1550</v>
      </c>
      <c r="X685" s="1310" t="s">
        <v>1607</v>
      </c>
      <c r="Y685" s="1310" t="s">
        <v>1492</v>
      </c>
      <c r="Z685" s="1310" t="s">
        <v>1600</v>
      </c>
      <c r="AA685" s="1310" t="s">
        <v>1588</v>
      </c>
      <c r="AB685" s="1310" t="s">
        <v>1455</v>
      </c>
      <c r="AC685" s="1310" t="s">
        <v>1547</v>
      </c>
      <c r="AD685" s="1310" t="s">
        <v>132</v>
      </c>
      <c r="AE685" s="1310" t="s">
        <v>111</v>
      </c>
      <c r="AF685" s="1310" t="s">
        <v>111</v>
      </c>
    </row>
    <row r="686" spans="1:32" x14ac:dyDescent="0.3">
      <c r="A686" s="1310" t="s">
        <v>128</v>
      </c>
      <c r="B686" s="1310" t="s">
        <v>110</v>
      </c>
      <c r="C686" s="1310" t="s">
        <v>1618</v>
      </c>
      <c r="D686" s="1310" t="s">
        <v>1599</v>
      </c>
      <c r="E686" s="1310" t="s">
        <v>1559</v>
      </c>
      <c r="F686" s="1310" t="s">
        <v>1606</v>
      </c>
      <c r="G686" s="1310" t="s">
        <v>1559</v>
      </c>
      <c r="H686" s="1310" t="s">
        <v>1611</v>
      </c>
      <c r="I686" s="1310" t="s">
        <v>1458</v>
      </c>
      <c r="J686" s="1310" t="s">
        <v>1477</v>
      </c>
      <c r="K686" s="1310" t="s">
        <v>1617</v>
      </c>
      <c r="L686" s="1310" t="s">
        <v>1589</v>
      </c>
      <c r="M686" s="1310" t="s">
        <v>1514</v>
      </c>
      <c r="N686" s="1310" t="s">
        <v>1638</v>
      </c>
      <c r="O686" s="1310" t="s">
        <v>1480</v>
      </c>
      <c r="P686" s="1310" t="s">
        <v>1556</v>
      </c>
      <c r="Q686" s="1310" t="s">
        <v>262</v>
      </c>
      <c r="R686" s="1310" t="s">
        <v>1027</v>
      </c>
      <c r="S686" s="1310" t="s">
        <v>1601</v>
      </c>
      <c r="T686" s="1310" t="s">
        <v>1452</v>
      </c>
      <c r="U686" s="1310" t="s">
        <v>1617</v>
      </c>
      <c r="V686" s="1310" t="s">
        <v>1575</v>
      </c>
      <c r="W686" s="1310" t="s">
        <v>119</v>
      </c>
      <c r="X686" s="1310" t="s">
        <v>1613</v>
      </c>
      <c r="Y686" s="1310" t="s">
        <v>1580</v>
      </c>
      <c r="Z686" s="1310" t="s">
        <v>1660</v>
      </c>
      <c r="AA686" s="1310" t="s">
        <v>1606</v>
      </c>
      <c r="AB686" s="1310" t="s">
        <v>1541</v>
      </c>
      <c r="AC686" s="1310" t="s">
        <v>1468</v>
      </c>
      <c r="AD686" s="1310" t="s">
        <v>1629</v>
      </c>
      <c r="AE686" s="1310" t="s">
        <v>1606</v>
      </c>
      <c r="AF686" s="1310" t="s">
        <v>1561</v>
      </c>
    </row>
    <row r="687" spans="1:32" x14ac:dyDescent="0.3">
      <c r="A687" s="1310" t="s">
        <v>122</v>
      </c>
      <c r="B687" s="1310" t="s">
        <v>262</v>
      </c>
      <c r="C687" s="1310" t="s">
        <v>123</v>
      </c>
      <c r="D687" s="1310" t="s">
        <v>1473</v>
      </c>
      <c r="E687" s="1310" t="s">
        <v>1490</v>
      </c>
      <c r="F687" s="1310" t="s">
        <v>1582</v>
      </c>
      <c r="G687" s="1310" t="s">
        <v>1624</v>
      </c>
      <c r="H687" s="1310" t="s">
        <v>1451</v>
      </c>
      <c r="I687" s="1310" t="s">
        <v>1565</v>
      </c>
      <c r="J687" s="1310" t="s">
        <v>1505</v>
      </c>
      <c r="K687" s="1310" t="s">
        <v>1590</v>
      </c>
      <c r="L687" s="1310" t="s">
        <v>1573</v>
      </c>
      <c r="M687" s="1310" t="s">
        <v>1548</v>
      </c>
      <c r="N687" s="1310" t="s">
        <v>1545</v>
      </c>
      <c r="O687" s="1310" t="s">
        <v>1583</v>
      </c>
      <c r="P687" s="1310" t="s">
        <v>1515</v>
      </c>
      <c r="Q687" s="1310" t="s">
        <v>1539</v>
      </c>
      <c r="R687" s="1310" t="s">
        <v>1648</v>
      </c>
      <c r="S687" s="1310" t="s">
        <v>1576</v>
      </c>
      <c r="T687" s="1310" t="s">
        <v>1529</v>
      </c>
      <c r="U687" s="1310" t="s">
        <v>1460</v>
      </c>
      <c r="V687" s="1310" t="s">
        <v>130</v>
      </c>
      <c r="W687" s="1310" t="s">
        <v>1472</v>
      </c>
      <c r="X687" s="1310" t="s">
        <v>1537</v>
      </c>
      <c r="Y687" s="1310" t="s">
        <v>1599</v>
      </c>
      <c r="Z687" s="1310" t="s">
        <v>1588</v>
      </c>
      <c r="AA687" s="1310" t="s">
        <v>124</v>
      </c>
      <c r="AB687" s="1310" t="s">
        <v>1513</v>
      </c>
      <c r="AC687" s="1310" t="s">
        <v>116</v>
      </c>
      <c r="AD687" s="1310" t="s">
        <v>1644</v>
      </c>
      <c r="AE687" s="1310" t="s">
        <v>1537</v>
      </c>
      <c r="AF687" s="1310" t="s">
        <v>1525</v>
      </c>
    </row>
    <row r="688" spans="1:32" x14ac:dyDescent="0.3">
      <c r="A688" s="1310" t="s">
        <v>1581</v>
      </c>
      <c r="B688" s="1310" t="s">
        <v>118</v>
      </c>
      <c r="C688" s="1310" t="s">
        <v>1595</v>
      </c>
      <c r="D688" s="1310" t="s">
        <v>1493</v>
      </c>
      <c r="E688" s="1310" t="s">
        <v>1454</v>
      </c>
      <c r="F688" s="1310" t="s">
        <v>1580</v>
      </c>
      <c r="G688" s="1310" t="s">
        <v>120</v>
      </c>
      <c r="H688" s="1310" t="s">
        <v>123</v>
      </c>
      <c r="I688" s="1310" t="s">
        <v>1487</v>
      </c>
      <c r="J688" s="1310" t="s">
        <v>1475</v>
      </c>
      <c r="K688" s="1310" t="s">
        <v>1649</v>
      </c>
      <c r="L688" s="1310" t="s">
        <v>1030</v>
      </c>
      <c r="M688" s="1310" t="s">
        <v>1582</v>
      </c>
      <c r="N688" s="1310" t="s">
        <v>129</v>
      </c>
      <c r="O688" s="1310" t="s">
        <v>1556</v>
      </c>
      <c r="P688" s="1310" t="s">
        <v>1638</v>
      </c>
      <c r="Q688" s="1310" t="s">
        <v>1533</v>
      </c>
      <c r="R688" s="1310" t="s">
        <v>1603</v>
      </c>
      <c r="S688" s="1310" t="s">
        <v>270</v>
      </c>
      <c r="T688" s="1310" t="s">
        <v>1505</v>
      </c>
      <c r="U688" s="1310" t="s">
        <v>1500</v>
      </c>
      <c r="V688" s="1310" t="s">
        <v>1461</v>
      </c>
      <c r="W688" s="1310" t="s">
        <v>1600</v>
      </c>
      <c r="X688" s="1310" t="s">
        <v>1447</v>
      </c>
      <c r="Y688" s="1310" t="s">
        <v>1524</v>
      </c>
      <c r="Z688" s="1310" t="s">
        <v>1606</v>
      </c>
      <c r="AA688" s="1310" t="s">
        <v>1595</v>
      </c>
      <c r="AB688" s="1310" t="s">
        <v>1639</v>
      </c>
      <c r="AC688" s="1310" t="s">
        <v>1555</v>
      </c>
      <c r="AD688" s="1310" t="s">
        <v>1570</v>
      </c>
      <c r="AE688" s="1310" t="s">
        <v>1482</v>
      </c>
      <c r="AF688" s="1310" t="s">
        <v>1617</v>
      </c>
    </row>
    <row r="689" spans="1:32" x14ac:dyDescent="0.3">
      <c r="A689" s="1310" t="s">
        <v>126</v>
      </c>
      <c r="B689" s="1310" t="s">
        <v>1646</v>
      </c>
      <c r="C689" s="1310" t="s">
        <v>1448</v>
      </c>
      <c r="D689" s="1310" t="s">
        <v>1617</v>
      </c>
      <c r="E689" s="1310" t="s">
        <v>1515</v>
      </c>
      <c r="F689" s="1310" t="s">
        <v>1463</v>
      </c>
      <c r="G689" s="1310" t="s">
        <v>1568</v>
      </c>
      <c r="H689" s="1310" t="s">
        <v>1647</v>
      </c>
      <c r="I689" s="1310" t="s">
        <v>1649</v>
      </c>
      <c r="J689" s="1310" t="s">
        <v>116</v>
      </c>
      <c r="K689" s="1310" t="s">
        <v>1568</v>
      </c>
      <c r="L689" s="1310" t="s">
        <v>1470</v>
      </c>
      <c r="M689" s="1310" t="s">
        <v>1540</v>
      </c>
      <c r="N689" s="1310" t="s">
        <v>1526</v>
      </c>
      <c r="O689" s="1310" t="s">
        <v>1579</v>
      </c>
      <c r="P689" s="1310" t="s">
        <v>1455</v>
      </c>
      <c r="Q689" s="1310" t="s">
        <v>1599</v>
      </c>
      <c r="R689" s="1310" t="s">
        <v>1469</v>
      </c>
      <c r="S689" s="1310" t="s">
        <v>1610</v>
      </c>
      <c r="T689" s="1310" t="s">
        <v>1449</v>
      </c>
      <c r="U689" s="1310" t="s">
        <v>1588</v>
      </c>
      <c r="V689" s="1310" t="s">
        <v>1486</v>
      </c>
      <c r="W689" s="1310" t="s">
        <v>1583</v>
      </c>
      <c r="X689" s="1310" t="s">
        <v>1486</v>
      </c>
      <c r="Y689" s="1310" t="s">
        <v>1538</v>
      </c>
      <c r="Z689" s="1310" t="s">
        <v>1605</v>
      </c>
      <c r="AA689" s="1310" t="s">
        <v>1487</v>
      </c>
      <c r="AB689" s="1310" t="s">
        <v>1450</v>
      </c>
      <c r="AC689" s="1310" t="s">
        <v>1491</v>
      </c>
      <c r="AD689" s="1310" t="s">
        <v>1520</v>
      </c>
      <c r="AE689" s="1310" t="s">
        <v>1528</v>
      </c>
      <c r="AF689" s="1310" t="s">
        <v>1550</v>
      </c>
    </row>
    <row r="690" spans="1:32" x14ac:dyDescent="0.3">
      <c r="A690" s="1310" t="s">
        <v>1475</v>
      </c>
      <c r="B690" s="1310" t="s">
        <v>1615</v>
      </c>
      <c r="C690" s="1310" t="s">
        <v>1593</v>
      </c>
      <c r="D690" s="1310" t="s">
        <v>125</v>
      </c>
      <c r="E690" s="1310" t="s">
        <v>1472</v>
      </c>
      <c r="F690" s="1310" t="s">
        <v>1578</v>
      </c>
      <c r="G690" s="1310" t="s">
        <v>1567</v>
      </c>
      <c r="H690" s="1310" t="s">
        <v>1599</v>
      </c>
      <c r="I690" s="1310" t="s">
        <v>1537</v>
      </c>
      <c r="J690" s="1310" t="s">
        <v>1515</v>
      </c>
      <c r="K690" s="1310" t="s">
        <v>1646</v>
      </c>
      <c r="L690" s="1310" t="s">
        <v>1642</v>
      </c>
      <c r="M690" s="1310" t="s">
        <v>1584</v>
      </c>
      <c r="N690" s="1310" t="s">
        <v>1583</v>
      </c>
      <c r="O690" s="1310" t="s">
        <v>1629</v>
      </c>
      <c r="P690" s="1310" t="s">
        <v>1578</v>
      </c>
      <c r="Q690" s="1310" t="s">
        <v>115</v>
      </c>
      <c r="R690" s="1310" t="s">
        <v>1488</v>
      </c>
      <c r="S690" s="1310" t="s">
        <v>264</v>
      </c>
      <c r="T690" s="1310" t="s">
        <v>1584</v>
      </c>
      <c r="U690" s="1310" t="s">
        <v>1515</v>
      </c>
      <c r="V690" s="1310" t="s">
        <v>1555</v>
      </c>
      <c r="W690" s="1310" t="s">
        <v>1605</v>
      </c>
      <c r="X690" s="1310" t="s">
        <v>1513</v>
      </c>
      <c r="Y690" s="1310" t="s">
        <v>1446</v>
      </c>
      <c r="Z690" s="1310" t="s">
        <v>1446</v>
      </c>
      <c r="AA690" s="1310" t="s">
        <v>114</v>
      </c>
      <c r="AB690" s="1310" t="s">
        <v>1582</v>
      </c>
      <c r="AC690" s="1310" t="s">
        <v>1560</v>
      </c>
      <c r="AD690" s="1310" t="s">
        <v>1458</v>
      </c>
      <c r="AE690" s="1310" t="s">
        <v>1481</v>
      </c>
      <c r="AF690" s="1310" t="s">
        <v>1509</v>
      </c>
    </row>
    <row r="691" spans="1:32" x14ac:dyDescent="0.3">
      <c r="A691" s="1310" t="s">
        <v>1549</v>
      </c>
      <c r="B691" s="1310" t="s">
        <v>1452</v>
      </c>
      <c r="C691" s="1310" t="s">
        <v>1628</v>
      </c>
      <c r="D691" s="1310" t="s">
        <v>1589</v>
      </c>
      <c r="E691" s="1310" t="s">
        <v>115</v>
      </c>
      <c r="F691" s="1310" t="s">
        <v>262</v>
      </c>
      <c r="G691" s="1310" t="s">
        <v>1512</v>
      </c>
      <c r="H691" s="1310" t="s">
        <v>1454</v>
      </c>
      <c r="I691" s="1310" t="s">
        <v>1520</v>
      </c>
      <c r="J691" s="1310" t="s">
        <v>1460</v>
      </c>
      <c r="K691" s="1310" t="s">
        <v>1525</v>
      </c>
      <c r="L691" s="1310" t="s">
        <v>1462</v>
      </c>
      <c r="M691" s="1310" t="s">
        <v>1576</v>
      </c>
      <c r="N691" s="1310" t="s">
        <v>1596</v>
      </c>
      <c r="O691" s="1310" t="s">
        <v>1524</v>
      </c>
      <c r="P691" s="1310" t="s">
        <v>1487</v>
      </c>
      <c r="Q691" s="1310" t="s">
        <v>1604</v>
      </c>
      <c r="R691" s="1310" t="s">
        <v>1612</v>
      </c>
      <c r="S691" s="1310" t="s">
        <v>114</v>
      </c>
      <c r="T691" s="1310" t="s">
        <v>1557</v>
      </c>
      <c r="U691" s="1310" t="s">
        <v>1556</v>
      </c>
      <c r="V691" s="1310" t="s">
        <v>1642</v>
      </c>
      <c r="W691" s="1310" t="s">
        <v>262</v>
      </c>
      <c r="X691" s="1310" t="s">
        <v>1597</v>
      </c>
      <c r="Y691" s="1310" t="s">
        <v>1584</v>
      </c>
      <c r="Z691" s="1310" t="s">
        <v>1546</v>
      </c>
      <c r="AA691" s="1310" t="s">
        <v>1466</v>
      </c>
      <c r="AB691" s="1310" t="s">
        <v>1656</v>
      </c>
      <c r="AC691" s="1310" t="s">
        <v>129</v>
      </c>
      <c r="AD691" s="1310" t="s">
        <v>1650</v>
      </c>
      <c r="AE691" s="1310" t="s">
        <v>133</v>
      </c>
      <c r="AF691" s="1310" t="s">
        <v>1579</v>
      </c>
    </row>
    <row r="692" spans="1:32" x14ac:dyDescent="0.3">
      <c r="A692" s="1310" t="s">
        <v>1469</v>
      </c>
      <c r="B692" s="1310" t="s">
        <v>1525</v>
      </c>
      <c r="C692" s="1310" t="s">
        <v>1493</v>
      </c>
      <c r="D692" s="1310" t="s">
        <v>1454</v>
      </c>
      <c r="E692" s="1310" t="s">
        <v>111</v>
      </c>
      <c r="F692" s="1310" t="s">
        <v>133</v>
      </c>
      <c r="G692" s="1310" t="s">
        <v>1491</v>
      </c>
      <c r="H692" s="1310" t="s">
        <v>1605</v>
      </c>
      <c r="I692" s="1310" t="s">
        <v>1651</v>
      </c>
      <c r="J692" s="1310" t="s">
        <v>1030</v>
      </c>
      <c r="K692" s="1310" t="s">
        <v>1446</v>
      </c>
      <c r="L692" s="1310" t="s">
        <v>1629</v>
      </c>
      <c r="M692" s="1310" t="s">
        <v>1541</v>
      </c>
      <c r="N692" s="1310" t="s">
        <v>1489</v>
      </c>
      <c r="O692" s="1310" t="s">
        <v>1601</v>
      </c>
      <c r="P692" s="1310" t="s">
        <v>1525</v>
      </c>
      <c r="Q692" s="1310" t="s">
        <v>1501</v>
      </c>
      <c r="R692" s="1310" t="s">
        <v>1470</v>
      </c>
      <c r="S692" s="1310" t="s">
        <v>111</v>
      </c>
      <c r="T692" s="1310" t="s">
        <v>118</v>
      </c>
      <c r="U692" s="1310" t="s">
        <v>1595</v>
      </c>
      <c r="V692" s="1310" t="s">
        <v>1496</v>
      </c>
      <c r="W692" s="1310" t="s">
        <v>1454</v>
      </c>
      <c r="X692" s="1310" t="s">
        <v>1538</v>
      </c>
      <c r="Y692" s="1310" t="s">
        <v>1548</v>
      </c>
      <c r="Z692" s="1310" t="s">
        <v>1508</v>
      </c>
      <c r="AA692" s="1310" t="s">
        <v>1629</v>
      </c>
      <c r="AB692" s="1310" t="s">
        <v>1504</v>
      </c>
      <c r="AC692" s="1310" t="s">
        <v>1558</v>
      </c>
      <c r="AD692" s="1310" t="s">
        <v>1624</v>
      </c>
      <c r="AE692" s="1310" t="s">
        <v>132</v>
      </c>
      <c r="AF692" s="1310" t="s">
        <v>1462</v>
      </c>
    </row>
    <row r="693" spans="1:32" x14ac:dyDescent="0.3">
      <c r="A693" s="1310" t="s">
        <v>1599</v>
      </c>
      <c r="B693" s="1310" t="s">
        <v>1541</v>
      </c>
      <c r="C693" s="1310" t="s">
        <v>1591</v>
      </c>
      <c r="D693" s="1310" t="s">
        <v>1616</v>
      </c>
      <c r="E693" s="1310" t="s">
        <v>1642</v>
      </c>
      <c r="F693" s="1310" t="s">
        <v>128</v>
      </c>
      <c r="G693" s="1310" t="s">
        <v>132</v>
      </c>
      <c r="H693" s="1310" t="s">
        <v>1637</v>
      </c>
      <c r="I693" s="1310" t="s">
        <v>1489</v>
      </c>
      <c r="J693" s="1310" t="s">
        <v>1520</v>
      </c>
      <c r="K693" s="1310" t="s">
        <v>1471</v>
      </c>
      <c r="L693" s="1310" t="s">
        <v>1626</v>
      </c>
      <c r="M693" s="1310" t="s">
        <v>1589</v>
      </c>
      <c r="N693" s="1310" t="s">
        <v>1638</v>
      </c>
      <c r="O693" s="1310" t="s">
        <v>1464</v>
      </c>
      <c r="P693" s="1310" t="s">
        <v>1459</v>
      </c>
      <c r="Q693" s="1310" t="s">
        <v>110</v>
      </c>
      <c r="R693" s="1310" t="s">
        <v>1654</v>
      </c>
      <c r="S693" s="1310" t="s">
        <v>1505</v>
      </c>
      <c r="T693" s="1310" t="s">
        <v>269</v>
      </c>
      <c r="U693" s="1310" t="s">
        <v>1582</v>
      </c>
      <c r="V693" s="1310" t="s">
        <v>1577</v>
      </c>
      <c r="W693" s="1310" t="s">
        <v>1552</v>
      </c>
      <c r="X693" s="1310" t="s">
        <v>1587</v>
      </c>
      <c r="Y693" s="1310" t="s">
        <v>1541</v>
      </c>
      <c r="Z693" s="1310" t="s">
        <v>1558</v>
      </c>
      <c r="AA693" s="1310" t="s">
        <v>1601</v>
      </c>
      <c r="AB693" s="1310" t="s">
        <v>1534</v>
      </c>
      <c r="AC693" s="1310" t="s">
        <v>1573</v>
      </c>
      <c r="AD693" s="1310" t="s">
        <v>1539</v>
      </c>
      <c r="AE693" s="1310" t="s">
        <v>1609</v>
      </c>
      <c r="AF693" s="1310" t="s">
        <v>267</v>
      </c>
    </row>
    <row r="694" spans="1:32" x14ac:dyDescent="0.3">
      <c r="A694" s="1310" t="s">
        <v>1590</v>
      </c>
      <c r="B694" s="1310" t="s">
        <v>1622</v>
      </c>
      <c r="C694" s="1310" t="s">
        <v>1616</v>
      </c>
      <c r="D694" s="1310" t="s">
        <v>122</v>
      </c>
      <c r="E694" s="1310" t="s">
        <v>110</v>
      </c>
      <c r="F694" s="1310" t="s">
        <v>1562</v>
      </c>
      <c r="G694" s="1310" t="s">
        <v>130</v>
      </c>
      <c r="H694" s="1310" t="s">
        <v>1601</v>
      </c>
      <c r="I694" s="1310" t="s">
        <v>1570</v>
      </c>
      <c r="J694" s="1310" t="s">
        <v>1472</v>
      </c>
      <c r="K694" s="1310" t="s">
        <v>1523</v>
      </c>
      <c r="L694" s="1310" t="s">
        <v>119</v>
      </c>
      <c r="M694" s="1310" t="s">
        <v>1606</v>
      </c>
      <c r="N694" s="1310" t="s">
        <v>1447</v>
      </c>
      <c r="O694" s="1310" t="s">
        <v>1567</v>
      </c>
      <c r="P694" s="1310" t="s">
        <v>1649</v>
      </c>
      <c r="Q694" s="1310" t="s">
        <v>1654</v>
      </c>
      <c r="R694" s="1310" t="s">
        <v>1478</v>
      </c>
      <c r="S694" s="1310" t="s">
        <v>1501</v>
      </c>
      <c r="T694" s="1310" t="s">
        <v>1482</v>
      </c>
      <c r="U694" s="1310" t="s">
        <v>1614</v>
      </c>
      <c r="V694" s="1310" t="s">
        <v>133</v>
      </c>
      <c r="W694" s="1310" t="s">
        <v>1530</v>
      </c>
      <c r="X694" s="1310" t="s">
        <v>1481</v>
      </c>
      <c r="Y694" s="1310" t="s">
        <v>1449</v>
      </c>
      <c r="Z694" s="1310" t="s">
        <v>1613</v>
      </c>
      <c r="AA694" s="1310" t="s">
        <v>1475</v>
      </c>
      <c r="AB694" s="1310" t="s">
        <v>465</v>
      </c>
      <c r="AC694" s="1310" t="s">
        <v>120</v>
      </c>
      <c r="AD694" s="1310" t="s">
        <v>1543</v>
      </c>
      <c r="AE694" s="1310" t="s">
        <v>1483</v>
      </c>
      <c r="AF694" s="1310" t="s">
        <v>116</v>
      </c>
    </row>
    <row r="695" spans="1:32" x14ac:dyDescent="0.3">
      <c r="A695" s="1310" t="s">
        <v>1027</v>
      </c>
      <c r="B695" s="1310" t="s">
        <v>123</v>
      </c>
      <c r="C695" s="1310" t="s">
        <v>1643</v>
      </c>
      <c r="D695" s="1310" t="s">
        <v>129</v>
      </c>
      <c r="E695" s="1310" t="s">
        <v>1578</v>
      </c>
      <c r="F695" s="1310" t="s">
        <v>1473</v>
      </c>
      <c r="G695" s="1310" t="s">
        <v>1602</v>
      </c>
      <c r="H695" s="1310" t="s">
        <v>1578</v>
      </c>
      <c r="I695" s="1310" t="s">
        <v>1594</v>
      </c>
      <c r="J695" s="1310" t="s">
        <v>1521</v>
      </c>
      <c r="K695" s="1310" t="s">
        <v>1580</v>
      </c>
      <c r="L695" s="1310" t="s">
        <v>1518</v>
      </c>
      <c r="M695" s="1310" t="s">
        <v>1647</v>
      </c>
      <c r="N695" s="1310" t="s">
        <v>1474</v>
      </c>
      <c r="O695" s="1310" t="s">
        <v>1622</v>
      </c>
      <c r="P695" s="1310" t="s">
        <v>1596</v>
      </c>
      <c r="Q695" s="1310" t="s">
        <v>1619</v>
      </c>
      <c r="R695" s="1310" t="s">
        <v>1500</v>
      </c>
      <c r="S695" s="1310" t="s">
        <v>1553</v>
      </c>
      <c r="T695" s="1310" t="s">
        <v>1518</v>
      </c>
      <c r="U695" s="1310" t="s">
        <v>1479</v>
      </c>
      <c r="V695" s="1310" t="s">
        <v>1558</v>
      </c>
      <c r="W695" s="1310" t="s">
        <v>115</v>
      </c>
      <c r="X695" s="1310" t="s">
        <v>1632</v>
      </c>
      <c r="Y695" s="1310" t="s">
        <v>1621</v>
      </c>
      <c r="Z695" s="1310" t="s">
        <v>1553</v>
      </c>
      <c r="AA695" s="1310" t="s">
        <v>1496</v>
      </c>
      <c r="AB695" s="1310" t="s">
        <v>1511</v>
      </c>
      <c r="AC695" s="1310" t="s">
        <v>1489</v>
      </c>
      <c r="AD695" s="1310" t="s">
        <v>1622</v>
      </c>
      <c r="AE695" s="1310" t="s">
        <v>1480</v>
      </c>
      <c r="AF695" s="1310" t="s">
        <v>1635</v>
      </c>
    </row>
    <row r="696" spans="1:32" x14ac:dyDescent="0.3">
      <c r="A696" s="1310" t="s">
        <v>1483</v>
      </c>
      <c r="B696" s="1310" t="s">
        <v>1656</v>
      </c>
      <c r="C696" s="1310" t="s">
        <v>1659</v>
      </c>
      <c r="D696" s="1310" t="s">
        <v>1584</v>
      </c>
      <c r="E696" s="1310" t="s">
        <v>1562</v>
      </c>
      <c r="F696" s="1310" t="s">
        <v>1527</v>
      </c>
      <c r="G696" s="1310" t="s">
        <v>1631</v>
      </c>
      <c r="H696" s="1310" t="s">
        <v>1453</v>
      </c>
      <c r="I696" s="1310" t="s">
        <v>1588</v>
      </c>
      <c r="J696" s="1310" t="s">
        <v>1560</v>
      </c>
      <c r="K696" s="1310" t="s">
        <v>1588</v>
      </c>
      <c r="L696" s="1310" t="s">
        <v>1444</v>
      </c>
      <c r="M696" s="1310" t="s">
        <v>1493</v>
      </c>
      <c r="N696" s="1310" t="s">
        <v>1484</v>
      </c>
      <c r="O696" s="1310" t="s">
        <v>264</v>
      </c>
      <c r="P696" s="1310" t="s">
        <v>1657</v>
      </c>
      <c r="Q696" s="1310" t="s">
        <v>1504</v>
      </c>
      <c r="R696" s="1310" t="s">
        <v>1506</v>
      </c>
      <c r="S696" s="1310" t="s">
        <v>1598</v>
      </c>
      <c r="T696" s="1310" t="s">
        <v>118</v>
      </c>
      <c r="U696" s="1310" t="s">
        <v>1637</v>
      </c>
      <c r="V696" s="1310" t="s">
        <v>1477</v>
      </c>
      <c r="W696" s="1310" t="s">
        <v>1600</v>
      </c>
      <c r="X696" s="1310" t="s">
        <v>1509</v>
      </c>
      <c r="Y696" s="1310" t="s">
        <v>1554</v>
      </c>
      <c r="Z696" s="1310" t="s">
        <v>1452</v>
      </c>
      <c r="AA696" s="1310" t="s">
        <v>1621</v>
      </c>
      <c r="AB696" s="1310" t="s">
        <v>1541</v>
      </c>
      <c r="AC696" s="1310" t="s">
        <v>1444</v>
      </c>
      <c r="AD696" s="1310" t="s">
        <v>465</v>
      </c>
      <c r="AE696" s="1310" t="s">
        <v>114</v>
      </c>
      <c r="AF696" s="1310" t="s">
        <v>1488</v>
      </c>
    </row>
    <row r="697" spans="1:32" x14ac:dyDescent="0.3">
      <c r="A697" s="1310" t="s">
        <v>1455</v>
      </c>
      <c r="B697" s="1310" t="s">
        <v>1635</v>
      </c>
      <c r="C697" s="1310" t="s">
        <v>1549</v>
      </c>
      <c r="D697" s="1310" t="s">
        <v>1644</v>
      </c>
      <c r="E697" s="1310" t="s">
        <v>1632</v>
      </c>
      <c r="F697" s="1310" t="s">
        <v>1600</v>
      </c>
      <c r="G697" s="1310" t="s">
        <v>1509</v>
      </c>
      <c r="H697" s="1310" t="s">
        <v>1554</v>
      </c>
      <c r="I697" s="1310" t="s">
        <v>1452</v>
      </c>
      <c r="J697" s="1310" t="s">
        <v>1621</v>
      </c>
      <c r="K697" s="1310" t="s">
        <v>1541</v>
      </c>
      <c r="L697" s="1310" t="s">
        <v>1444</v>
      </c>
      <c r="M697" s="1310" t="s">
        <v>465</v>
      </c>
      <c r="N697" s="1310" t="s">
        <v>114</v>
      </c>
      <c r="O697" s="1310" t="s">
        <v>1488</v>
      </c>
      <c r="P697" s="1310" t="s">
        <v>1455</v>
      </c>
      <c r="Q697" s="1310" t="s">
        <v>1635</v>
      </c>
      <c r="R697" s="1310" t="s">
        <v>1549</v>
      </c>
      <c r="S697" s="1310" t="s">
        <v>1501</v>
      </c>
      <c r="T697" s="1310" t="s">
        <v>1443</v>
      </c>
      <c r="U697" s="1310" t="s">
        <v>124</v>
      </c>
      <c r="V697" s="1310" t="s">
        <v>1571</v>
      </c>
      <c r="W697" s="1310" t="s">
        <v>1562</v>
      </c>
      <c r="X697" s="1310" t="s">
        <v>1452</v>
      </c>
      <c r="Y697" s="1310" t="s">
        <v>1621</v>
      </c>
      <c r="Z697" s="1310" t="s">
        <v>1541</v>
      </c>
      <c r="AA697" s="1310" t="s">
        <v>1444</v>
      </c>
      <c r="AB697" s="1310" t="s">
        <v>465</v>
      </c>
      <c r="AC697" s="1310" t="s">
        <v>114</v>
      </c>
      <c r="AD697" s="1310" t="s">
        <v>1488</v>
      </c>
      <c r="AE697" s="1310" t="s">
        <v>1455</v>
      </c>
      <c r="AF697" s="1310" t="s">
        <v>1635</v>
      </c>
    </row>
    <row r="698" spans="1:32" x14ac:dyDescent="0.3">
      <c r="A698" s="1310" t="s">
        <v>1549</v>
      </c>
      <c r="B698" s="1310" t="s">
        <v>1644</v>
      </c>
      <c r="C698" s="1310" t="s">
        <v>1632</v>
      </c>
      <c r="D698" s="1310" t="s">
        <v>1600</v>
      </c>
      <c r="E698" s="1310" t="s">
        <v>1509</v>
      </c>
      <c r="F698" s="1310" t="s">
        <v>1554</v>
      </c>
      <c r="G698" s="1310" t="s">
        <v>1452</v>
      </c>
      <c r="H698" s="1310" t="s">
        <v>1621</v>
      </c>
      <c r="I698" s="1310" t="s">
        <v>1541</v>
      </c>
      <c r="J698" s="1310" t="s">
        <v>1444</v>
      </c>
      <c r="K698" s="1310" t="s">
        <v>465</v>
      </c>
      <c r="L698" s="1310" t="s">
        <v>114</v>
      </c>
      <c r="M698" s="1310" t="s">
        <v>1488</v>
      </c>
      <c r="N698" s="1310" t="s">
        <v>1455</v>
      </c>
      <c r="O698" s="1310" t="s">
        <v>1635</v>
      </c>
      <c r="P698" s="1310" t="s">
        <v>1549</v>
      </c>
      <c r="Q698" s="1310" t="s">
        <v>1644</v>
      </c>
      <c r="R698" s="1310" t="s">
        <v>1632</v>
      </c>
      <c r="S698" s="1310" t="s">
        <v>1600</v>
      </c>
      <c r="T698" s="1310" t="s">
        <v>1509</v>
      </c>
      <c r="U698" s="1310" t="s">
        <v>1524</v>
      </c>
      <c r="V698" s="1310" t="s">
        <v>1457</v>
      </c>
      <c r="W698" s="1310" t="s">
        <v>1489</v>
      </c>
      <c r="X698" s="1310" t="s">
        <v>121</v>
      </c>
      <c r="Y698" s="1310" t="s">
        <v>1448</v>
      </c>
      <c r="Z698" s="1310" t="s">
        <v>1463</v>
      </c>
      <c r="AA698" s="1310" t="s">
        <v>1542</v>
      </c>
      <c r="AB698" s="1310" t="s">
        <v>6</v>
      </c>
      <c r="AC698" s="1310" t="s">
        <v>112</v>
      </c>
      <c r="AD698" s="1310" t="s">
        <v>1618</v>
      </c>
      <c r="AE698" s="1310" t="s">
        <v>266</v>
      </c>
      <c r="AF698" s="1310" t="s">
        <v>1555</v>
      </c>
    </row>
    <row r="699" spans="1:32" x14ac:dyDescent="0.3">
      <c r="A699" s="1310" t="s">
        <v>1560</v>
      </c>
      <c r="B699" s="1310" t="s">
        <v>1597</v>
      </c>
      <c r="C699" s="1310" t="s">
        <v>1535</v>
      </c>
      <c r="D699" s="1310" t="s">
        <v>1460</v>
      </c>
      <c r="E699" s="1310" t="s">
        <v>1559</v>
      </c>
      <c r="F699" s="1310" t="s">
        <v>1445</v>
      </c>
      <c r="G699" s="1310" t="s">
        <v>1523</v>
      </c>
      <c r="H699" s="1310" t="s">
        <v>1591</v>
      </c>
      <c r="I699" s="1310" t="s">
        <v>1474</v>
      </c>
      <c r="J699" s="1310" t="s">
        <v>125</v>
      </c>
      <c r="K699" s="1310" t="s">
        <v>1632</v>
      </c>
      <c r="L699" s="1310" t="s">
        <v>1575</v>
      </c>
      <c r="M699" s="1310" t="s">
        <v>1540</v>
      </c>
      <c r="N699" s="1310" t="s">
        <v>1580</v>
      </c>
      <c r="O699" s="1310" t="s">
        <v>1493</v>
      </c>
      <c r="P699" s="1310" t="s">
        <v>1468</v>
      </c>
      <c r="Q699" s="1310" t="s">
        <v>125</v>
      </c>
      <c r="R699" s="1310" t="s">
        <v>1470</v>
      </c>
      <c r="S699" s="1310" t="s">
        <v>1561</v>
      </c>
      <c r="T699" s="1310" t="s">
        <v>1510</v>
      </c>
      <c r="U699" s="1310" t="s">
        <v>1561</v>
      </c>
      <c r="V699" s="1310" t="s">
        <v>1563</v>
      </c>
      <c r="W699" s="1310" t="s">
        <v>1606</v>
      </c>
      <c r="X699" s="1310" t="s">
        <v>1660</v>
      </c>
      <c r="Y699" s="1310" t="s">
        <v>1560</v>
      </c>
      <c r="Z699" s="1310" t="s">
        <v>1588</v>
      </c>
      <c r="AA699" s="1310" t="s">
        <v>1655</v>
      </c>
      <c r="AB699" s="1310" t="s">
        <v>1454</v>
      </c>
      <c r="AC699" s="1310" t="s">
        <v>1545</v>
      </c>
      <c r="AD699" s="1310" t="s">
        <v>128</v>
      </c>
      <c r="AE699" s="1310" t="s">
        <v>115</v>
      </c>
      <c r="AF699" s="1310" t="s">
        <v>1659</v>
      </c>
    </row>
    <row r="700" spans="1:32" x14ac:dyDescent="0.3">
      <c r="A700" s="1310" t="s">
        <v>1534</v>
      </c>
      <c r="B700" s="1310" t="s">
        <v>1641</v>
      </c>
      <c r="C700" s="1310" t="s">
        <v>1487</v>
      </c>
      <c r="D700" s="1310" t="s">
        <v>1540</v>
      </c>
      <c r="E700" s="1310" t="s">
        <v>1528</v>
      </c>
      <c r="F700" s="1310" t="s">
        <v>1540</v>
      </c>
      <c r="G700" s="1310" t="s">
        <v>1496</v>
      </c>
      <c r="H700" s="1310" t="s">
        <v>267</v>
      </c>
      <c r="I700" s="1310" t="s">
        <v>1490</v>
      </c>
      <c r="J700" s="1310" t="s">
        <v>1649</v>
      </c>
      <c r="K700" s="1310" t="s">
        <v>1498</v>
      </c>
      <c r="L700" s="1310" t="s">
        <v>1524</v>
      </c>
      <c r="M700" s="1310" t="s">
        <v>1448</v>
      </c>
      <c r="N700" s="1310" t="s">
        <v>1471</v>
      </c>
      <c r="O700" s="1310" t="s">
        <v>1541</v>
      </c>
      <c r="P700" s="1310" t="s">
        <v>1565</v>
      </c>
      <c r="Q700" s="1310" t="s">
        <v>1482</v>
      </c>
      <c r="R700" s="1310" t="s">
        <v>124</v>
      </c>
      <c r="S700" s="1310" t="s">
        <v>1457</v>
      </c>
      <c r="T700" s="1310" t="s">
        <v>1535</v>
      </c>
      <c r="U700" s="1310" t="s">
        <v>1505</v>
      </c>
      <c r="V700" s="1310" t="s">
        <v>1471</v>
      </c>
      <c r="W700" s="1310" t="s">
        <v>133</v>
      </c>
      <c r="X700" s="1310" t="s">
        <v>1443</v>
      </c>
      <c r="Y700" s="1310" t="s">
        <v>1450</v>
      </c>
      <c r="Z700" s="1310" t="s">
        <v>1654</v>
      </c>
      <c r="AA700" s="1310" t="s">
        <v>1572</v>
      </c>
      <c r="AB700" s="1310" t="s">
        <v>1538</v>
      </c>
      <c r="AC700" s="1310" t="s">
        <v>1557</v>
      </c>
      <c r="AD700" s="1310" t="s">
        <v>1617</v>
      </c>
      <c r="AE700" s="1310" t="s">
        <v>1643</v>
      </c>
      <c r="AF700" s="1310" t="s">
        <v>1596</v>
      </c>
    </row>
    <row r="701" spans="1:32" x14ac:dyDescent="0.3">
      <c r="A701" s="1310" t="s">
        <v>1460</v>
      </c>
      <c r="B701" s="1310" t="s">
        <v>1631</v>
      </c>
      <c r="C701" s="1310" t="s">
        <v>1481</v>
      </c>
      <c r="D701" s="1310" t="s">
        <v>1510</v>
      </c>
      <c r="E701" s="1310" t="s">
        <v>1478</v>
      </c>
      <c r="F701" s="1310" t="s">
        <v>131</v>
      </c>
      <c r="G701" s="1310" t="s">
        <v>1548</v>
      </c>
      <c r="H701" s="1310" t="s">
        <v>1630</v>
      </c>
      <c r="I701" s="1310" t="s">
        <v>263</v>
      </c>
      <c r="J701" s="1310" t="s">
        <v>1483</v>
      </c>
      <c r="K701" s="1310" t="s">
        <v>125</v>
      </c>
      <c r="L701" s="1310" t="s">
        <v>1629</v>
      </c>
      <c r="M701" s="1310" t="s">
        <v>268</v>
      </c>
      <c r="N701" s="1310" t="s">
        <v>1575</v>
      </c>
      <c r="O701" s="1310" t="s">
        <v>1657</v>
      </c>
      <c r="P701" s="1310" t="s">
        <v>1630</v>
      </c>
      <c r="Q701" s="1310" t="s">
        <v>1450</v>
      </c>
      <c r="R701" s="1310" t="s">
        <v>1552</v>
      </c>
      <c r="S701" s="1310" t="s">
        <v>1499</v>
      </c>
      <c r="T701" s="1310" t="s">
        <v>1467</v>
      </c>
      <c r="U701" s="1310" t="s">
        <v>1572</v>
      </c>
      <c r="V701" s="1310" t="s">
        <v>1632</v>
      </c>
      <c r="W701" s="1310" t="s">
        <v>1600</v>
      </c>
      <c r="X701" s="1310" t="s">
        <v>1564</v>
      </c>
      <c r="Y701" s="1310" t="s">
        <v>1513</v>
      </c>
      <c r="Z701" s="1310" t="s">
        <v>465</v>
      </c>
      <c r="AA701" s="1310" t="s">
        <v>1646</v>
      </c>
      <c r="AB701" s="1310" t="s">
        <v>1646</v>
      </c>
      <c r="AC701" s="1310" t="s">
        <v>1471</v>
      </c>
      <c r="AD701" s="1310" t="s">
        <v>1640</v>
      </c>
      <c r="AE701" s="1310" t="s">
        <v>1611</v>
      </c>
      <c r="AF701" s="1310" t="s">
        <v>112</v>
      </c>
    </row>
    <row r="702" spans="1:32" x14ac:dyDescent="0.3">
      <c r="A702" s="1310" t="s">
        <v>111</v>
      </c>
      <c r="B702" s="1310" t="s">
        <v>1500</v>
      </c>
      <c r="C702" s="1310" t="s">
        <v>1570</v>
      </c>
      <c r="D702" s="1310" t="s">
        <v>1570</v>
      </c>
      <c r="E702" s="1310" t="s">
        <v>1654</v>
      </c>
      <c r="F702" s="1310" t="s">
        <v>1466</v>
      </c>
      <c r="G702" s="1310" t="s">
        <v>1469</v>
      </c>
      <c r="H702" s="1310" t="s">
        <v>1534</v>
      </c>
      <c r="I702" s="1310" t="s">
        <v>124</v>
      </c>
      <c r="J702" s="1310" t="s">
        <v>1446</v>
      </c>
      <c r="K702" s="1310" t="s">
        <v>1471</v>
      </c>
      <c r="L702" s="1310" t="s">
        <v>1551</v>
      </c>
      <c r="M702" s="1310" t="s">
        <v>1612</v>
      </c>
      <c r="N702" s="1310" t="s">
        <v>1585</v>
      </c>
      <c r="O702" s="1310" t="s">
        <v>114</v>
      </c>
      <c r="P702" s="1310" t="s">
        <v>1645</v>
      </c>
      <c r="Q702" s="1310" t="s">
        <v>1491</v>
      </c>
      <c r="R702" s="1310" t="s">
        <v>132</v>
      </c>
      <c r="S702" s="1310" t="s">
        <v>1603</v>
      </c>
      <c r="T702" s="1310" t="s">
        <v>1617</v>
      </c>
      <c r="U702" s="1310" t="s">
        <v>1605</v>
      </c>
      <c r="V702" s="1310" t="s">
        <v>1638</v>
      </c>
      <c r="W702" s="1310" t="s">
        <v>117</v>
      </c>
      <c r="X702" s="1310" t="s">
        <v>1624</v>
      </c>
      <c r="Y702" s="1310" t="s">
        <v>1625</v>
      </c>
      <c r="Z702" s="1310" t="s">
        <v>6</v>
      </c>
      <c r="AA702" s="1310" t="s">
        <v>1490</v>
      </c>
      <c r="AB702" s="1310" t="s">
        <v>1561</v>
      </c>
      <c r="AC702" s="1310" t="s">
        <v>1601</v>
      </c>
      <c r="AD702" s="1310" t="s">
        <v>1583</v>
      </c>
      <c r="AE702" s="1310" t="s">
        <v>133</v>
      </c>
      <c r="AF702" s="1310" t="s">
        <v>1570</v>
      </c>
    </row>
    <row r="703" spans="1:32" x14ac:dyDescent="0.3">
      <c r="A703" s="1310" t="s">
        <v>1495</v>
      </c>
      <c r="B703" s="1310" t="s">
        <v>1562</v>
      </c>
      <c r="C703" s="1310" t="s">
        <v>1580</v>
      </c>
      <c r="D703" s="1310" t="s">
        <v>1563</v>
      </c>
      <c r="E703" s="1310" t="s">
        <v>264</v>
      </c>
      <c r="F703" s="1310" t="s">
        <v>1525</v>
      </c>
      <c r="G703" s="1310" t="s">
        <v>1568</v>
      </c>
      <c r="H703" s="1310" t="s">
        <v>1492</v>
      </c>
      <c r="I703" s="1310" t="s">
        <v>1443</v>
      </c>
      <c r="J703" s="1310" t="s">
        <v>1450</v>
      </c>
      <c r="K703" s="1310" t="s">
        <v>117</v>
      </c>
      <c r="L703" s="1310" t="s">
        <v>1617</v>
      </c>
      <c r="M703" s="1310" t="s">
        <v>1516</v>
      </c>
      <c r="N703" s="1310" t="s">
        <v>1579</v>
      </c>
      <c r="O703" s="1310" t="s">
        <v>1658</v>
      </c>
      <c r="P703" s="1310" t="s">
        <v>1490</v>
      </c>
      <c r="Q703" s="1310" t="s">
        <v>1465</v>
      </c>
      <c r="R703" s="1310" t="s">
        <v>1654</v>
      </c>
      <c r="S703" s="1310" t="s">
        <v>1502</v>
      </c>
      <c r="T703" s="1310" t="s">
        <v>1591</v>
      </c>
      <c r="U703" s="1310" t="s">
        <v>1601</v>
      </c>
      <c r="V703" s="1310" t="s">
        <v>1565</v>
      </c>
      <c r="W703" s="1310" t="s">
        <v>1508</v>
      </c>
      <c r="X703" s="1310" t="s">
        <v>1642</v>
      </c>
      <c r="Y703" s="1310" t="s">
        <v>1527</v>
      </c>
      <c r="Z703" s="1310" t="s">
        <v>1549</v>
      </c>
      <c r="AA703" s="1310" t="s">
        <v>1493</v>
      </c>
      <c r="AB703" s="1310" t="s">
        <v>1482</v>
      </c>
      <c r="AC703" s="1310" t="s">
        <v>1601</v>
      </c>
      <c r="AD703" s="1310" t="s">
        <v>1500</v>
      </c>
      <c r="AE703" s="1310" t="s">
        <v>1512</v>
      </c>
      <c r="AF703" s="1310" t="s">
        <v>1618</v>
      </c>
    </row>
    <row r="704" spans="1:32" x14ac:dyDescent="0.3">
      <c r="A704" s="1310" t="s">
        <v>1631</v>
      </c>
      <c r="B704" s="1310" t="s">
        <v>1589</v>
      </c>
      <c r="C704" s="1310" t="s">
        <v>1523</v>
      </c>
      <c r="D704" s="1310" t="s">
        <v>1545</v>
      </c>
      <c r="E704" s="1310" t="s">
        <v>1599</v>
      </c>
      <c r="F704" s="1310" t="s">
        <v>1624</v>
      </c>
      <c r="G704" s="1310" t="s">
        <v>1565</v>
      </c>
      <c r="H704" s="1310" t="s">
        <v>1623</v>
      </c>
      <c r="I704" s="1310" t="s">
        <v>1514</v>
      </c>
      <c r="J704" s="1310" t="s">
        <v>1635</v>
      </c>
      <c r="K704" s="1310" t="s">
        <v>1612</v>
      </c>
      <c r="L704" s="1310" t="s">
        <v>465</v>
      </c>
      <c r="M704" s="1310" t="s">
        <v>1631</v>
      </c>
      <c r="N704" s="1310" t="s">
        <v>122</v>
      </c>
      <c r="O704" s="1310" t="s">
        <v>1548</v>
      </c>
      <c r="P704" s="1310" t="s">
        <v>1635</v>
      </c>
      <c r="Q704" s="1310" t="s">
        <v>262</v>
      </c>
      <c r="R704" s="1310" t="s">
        <v>1647</v>
      </c>
      <c r="S704" s="1310" t="s">
        <v>1625</v>
      </c>
      <c r="T704" s="1310" t="s">
        <v>1541</v>
      </c>
      <c r="U704" s="1310" t="s">
        <v>1537</v>
      </c>
      <c r="V704" s="1310" t="s">
        <v>1505</v>
      </c>
      <c r="W704" s="1310" t="s">
        <v>1622</v>
      </c>
      <c r="X704" s="1310" t="s">
        <v>1632</v>
      </c>
      <c r="Y704" s="1310" t="s">
        <v>1632</v>
      </c>
      <c r="Z704" s="1310" t="s">
        <v>1608</v>
      </c>
      <c r="AA704" s="1310" t="s">
        <v>1625</v>
      </c>
      <c r="AB704" s="1310" t="s">
        <v>1541</v>
      </c>
      <c r="AC704" s="1310" t="s">
        <v>1600</v>
      </c>
      <c r="AD704" s="1310" t="s">
        <v>1590</v>
      </c>
      <c r="AE704" s="1310" t="s">
        <v>1461</v>
      </c>
      <c r="AF704" s="1310" t="s">
        <v>1541</v>
      </c>
    </row>
    <row r="705" spans="1:32" x14ac:dyDescent="0.3">
      <c r="A705" s="1310" t="s">
        <v>1633</v>
      </c>
      <c r="B705" s="1310" t="s">
        <v>1549</v>
      </c>
      <c r="C705" s="1310" t="s">
        <v>1632</v>
      </c>
      <c r="D705" s="1310" t="s">
        <v>114</v>
      </c>
      <c r="E705" s="1310" t="s">
        <v>1595</v>
      </c>
      <c r="F705" s="1310" t="s">
        <v>1488</v>
      </c>
      <c r="G705" s="1310" t="s">
        <v>1576</v>
      </c>
      <c r="H705" s="1310" t="s">
        <v>1561</v>
      </c>
      <c r="I705" s="1310" t="s">
        <v>1456</v>
      </c>
      <c r="J705" s="1310" t="s">
        <v>126</v>
      </c>
      <c r="K705" s="1310" t="s">
        <v>1549</v>
      </c>
      <c r="L705" s="1310" t="s">
        <v>1588</v>
      </c>
      <c r="M705" s="1310" t="s">
        <v>1539</v>
      </c>
      <c r="N705" s="1310" t="s">
        <v>1566</v>
      </c>
      <c r="O705" s="1310" t="s">
        <v>1628</v>
      </c>
      <c r="P705" s="1310" t="s">
        <v>1480</v>
      </c>
      <c r="Q705" s="1310" t="s">
        <v>1470</v>
      </c>
      <c r="R705" s="1310" t="s">
        <v>1605</v>
      </c>
      <c r="S705" s="1310" t="s">
        <v>1541</v>
      </c>
      <c r="T705" s="1310" t="s">
        <v>1584</v>
      </c>
      <c r="U705" s="1310" t="s">
        <v>1619</v>
      </c>
      <c r="V705" s="1310" t="s">
        <v>1633</v>
      </c>
      <c r="W705" s="1310" t="s">
        <v>1650</v>
      </c>
      <c r="X705" s="1310" t="s">
        <v>1630</v>
      </c>
      <c r="Y705" s="1310" t="s">
        <v>130</v>
      </c>
      <c r="Z705" s="1310" t="s">
        <v>1538</v>
      </c>
      <c r="AA705" s="1310" t="s">
        <v>1616</v>
      </c>
      <c r="AB705" s="1310" t="s">
        <v>1502</v>
      </c>
      <c r="AC705" s="1310" t="s">
        <v>1530</v>
      </c>
      <c r="AD705" s="1310" t="s">
        <v>1632</v>
      </c>
      <c r="AE705" s="1310" t="s">
        <v>1027</v>
      </c>
      <c r="AF705" s="1310" t="s">
        <v>1549</v>
      </c>
    </row>
    <row r="706" spans="1:32" x14ac:dyDescent="0.3">
      <c r="A706" s="1310" t="s">
        <v>1519</v>
      </c>
      <c r="B706" s="1310" t="s">
        <v>1533</v>
      </c>
      <c r="C706" s="1310" t="s">
        <v>112</v>
      </c>
      <c r="D706" s="1310" t="s">
        <v>126</v>
      </c>
      <c r="E706" s="1310" t="s">
        <v>1514</v>
      </c>
      <c r="F706" s="1310" t="s">
        <v>1027</v>
      </c>
      <c r="G706" s="1310" t="s">
        <v>1537</v>
      </c>
      <c r="H706" s="1310" t="s">
        <v>1624</v>
      </c>
      <c r="I706" s="1310" t="s">
        <v>1456</v>
      </c>
      <c r="J706" s="1310" t="s">
        <v>1642</v>
      </c>
      <c r="K706" s="1310" t="s">
        <v>1609</v>
      </c>
      <c r="L706" s="1310" t="s">
        <v>1596</v>
      </c>
      <c r="M706" s="1310" t="s">
        <v>1537</v>
      </c>
      <c r="N706" s="1310" t="s">
        <v>1493</v>
      </c>
      <c r="O706" s="1310" t="s">
        <v>122</v>
      </c>
      <c r="P706" s="1310" t="s">
        <v>1543</v>
      </c>
      <c r="Q706" s="1310" t="s">
        <v>1626</v>
      </c>
      <c r="R706" s="1310" t="s">
        <v>1546</v>
      </c>
      <c r="S706" s="1310" t="s">
        <v>1565</v>
      </c>
      <c r="T706" s="1310" t="s">
        <v>264</v>
      </c>
      <c r="U706" s="1310" t="s">
        <v>1657</v>
      </c>
      <c r="V706" s="1310" t="s">
        <v>1539</v>
      </c>
      <c r="W706" s="1310" t="s">
        <v>1465</v>
      </c>
      <c r="X706" s="1310" t="s">
        <v>1530</v>
      </c>
      <c r="Y706" s="1310" t="s">
        <v>1514</v>
      </c>
      <c r="Z706" s="1310" t="s">
        <v>1475</v>
      </c>
      <c r="AA706" s="1310" t="s">
        <v>1446</v>
      </c>
      <c r="AB706" s="1310" t="s">
        <v>123</v>
      </c>
      <c r="AC706" s="1310" t="s">
        <v>1564</v>
      </c>
      <c r="AD706" s="1310" t="s">
        <v>1651</v>
      </c>
      <c r="AE706" s="1310" t="s">
        <v>1560</v>
      </c>
      <c r="AF706" s="1310" t="s">
        <v>1515</v>
      </c>
    </row>
    <row r="707" spans="1:32" x14ac:dyDescent="0.3">
      <c r="A707" s="1310" t="s">
        <v>1460</v>
      </c>
      <c r="B707" s="1310" t="s">
        <v>266</v>
      </c>
      <c r="C707" s="1310" t="s">
        <v>121</v>
      </c>
      <c r="D707" s="1310" t="s">
        <v>1449</v>
      </c>
      <c r="E707" s="1310" t="s">
        <v>1508</v>
      </c>
      <c r="F707" s="1310" t="s">
        <v>1595</v>
      </c>
      <c r="G707" s="1310" t="s">
        <v>114</v>
      </c>
      <c r="H707" s="1310" t="s">
        <v>1627</v>
      </c>
      <c r="I707" s="1310" t="s">
        <v>115</v>
      </c>
      <c r="J707" s="1310" t="s">
        <v>1526</v>
      </c>
      <c r="K707" s="1310" t="s">
        <v>1581</v>
      </c>
      <c r="L707" s="1310" t="s">
        <v>1604</v>
      </c>
      <c r="M707" s="1310" t="s">
        <v>1549</v>
      </c>
      <c r="N707" s="1310" t="s">
        <v>1564</v>
      </c>
      <c r="O707" s="1310" t="s">
        <v>124</v>
      </c>
      <c r="P707" s="1310" t="s">
        <v>1653</v>
      </c>
      <c r="Q707" s="1310" t="s">
        <v>1613</v>
      </c>
      <c r="R707" s="1310" t="s">
        <v>1649</v>
      </c>
      <c r="S707" s="1310" t="s">
        <v>1599</v>
      </c>
      <c r="T707" s="1310" t="s">
        <v>1646</v>
      </c>
      <c r="U707" s="1310" t="s">
        <v>1633</v>
      </c>
      <c r="V707" s="1310" t="s">
        <v>1555</v>
      </c>
      <c r="W707" s="1310" t="s">
        <v>1592</v>
      </c>
      <c r="X707" s="1310" t="s">
        <v>1548</v>
      </c>
      <c r="Y707" s="1310" t="s">
        <v>123</v>
      </c>
      <c r="Z707" s="1310" t="s">
        <v>270</v>
      </c>
      <c r="AA707" s="1310" t="s">
        <v>1557</v>
      </c>
      <c r="AB707" s="1310" t="s">
        <v>1617</v>
      </c>
      <c r="AC707" s="1310" t="s">
        <v>1595</v>
      </c>
      <c r="AD707" s="1310" t="s">
        <v>1660</v>
      </c>
      <c r="AE707" s="1310" t="s">
        <v>1635</v>
      </c>
      <c r="AF707" s="1310" t="s">
        <v>1536</v>
      </c>
    </row>
    <row r="708" spans="1:32" x14ac:dyDescent="0.3">
      <c r="A708" s="1310" t="s">
        <v>1487</v>
      </c>
      <c r="B708" s="1310" t="s">
        <v>1566</v>
      </c>
      <c r="C708" s="1310" t="s">
        <v>1558</v>
      </c>
      <c r="D708" s="1310" t="s">
        <v>1610</v>
      </c>
      <c r="E708" s="1310" t="s">
        <v>1472</v>
      </c>
      <c r="F708" s="1310" t="s">
        <v>1493</v>
      </c>
      <c r="G708" s="1310" t="s">
        <v>1612</v>
      </c>
      <c r="H708" s="1310" t="s">
        <v>1480</v>
      </c>
      <c r="I708" s="1310" t="s">
        <v>264</v>
      </c>
      <c r="J708" s="1310" t="s">
        <v>1535</v>
      </c>
      <c r="K708" s="1310" t="s">
        <v>1610</v>
      </c>
      <c r="L708" s="1310" t="s">
        <v>1480</v>
      </c>
      <c r="M708" s="1310" t="s">
        <v>130</v>
      </c>
      <c r="N708" s="1310" t="s">
        <v>1656</v>
      </c>
      <c r="O708" s="1310" t="s">
        <v>1473</v>
      </c>
      <c r="P708" s="1310" t="s">
        <v>1554</v>
      </c>
      <c r="Q708" s="1310" t="s">
        <v>1491</v>
      </c>
      <c r="R708" s="1310" t="s">
        <v>1645</v>
      </c>
      <c r="S708" s="1310" t="s">
        <v>1633</v>
      </c>
      <c r="T708" s="1310" t="s">
        <v>1464</v>
      </c>
      <c r="U708" s="1310" t="s">
        <v>1492</v>
      </c>
      <c r="V708" s="1310" t="s">
        <v>1585</v>
      </c>
      <c r="W708" s="1310" t="s">
        <v>1542</v>
      </c>
      <c r="X708" s="1310" t="s">
        <v>1624</v>
      </c>
      <c r="Y708" s="1310" t="s">
        <v>1637</v>
      </c>
      <c r="Z708" s="1310" t="s">
        <v>1533</v>
      </c>
      <c r="AA708" s="1310" t="s">
        <v>1649</v>
      </c>
      <c r="AB708" s="1310" t="s">
        <v>1529</v>
      </c>
      <c r="AC708" s="1310" t="s">
        <v>1444</v>
      </c>
      <c r="AD708" s="1310" t="s">
        <v>1496</v>
      </c>
      <c r="AE708" s="1310" t="s">
        <v>1587</v>
      </c>
      <c r="AF708" s="1310" t="s">
        <v>1608</v>
      </c>
    </row>
    <row r="709" spans="1:32" x14ac:dyDescent="0.3">
      <c r="A709" s="1310" t="s">
        <v>1658</v>
      </c>
      <c r="B709" s="1310" t="s">
        <v>122</v>
      </c>
      <c r="C709" s="1310" t="s">
        <v>1561</v>
      </c>
      <c r="D709" s="1310" t="s">
        <v>1560</v>
      </c>
      <c r="E709" s="1310" t="s">
        <v>1618</v>
      </c>
      <c r="F709" s="1310" t="s">
        <v>1482</v>
      </c>
      <c r="G709" s="1310" t="s">
        <v>1659</v>
      </c>
      <c r="H709" s="1310" t="s">
        <v>1449</v>
      </c>
      <c r="I709" s="1310" t="s">
        <v>1446</v>
      </c>
      <c r="J709" s="1310" t="s">
        <v>1564</v>
      </c>
      <c r="K709" s="1310" t="s">
        <v>112</v>
      </c>
      <c r="L709" s="1310" t="s">
        <v>1522</v>
      </c>
      <c r="M709" s="1310" t="s">
        <v>1633</v>
      </c>
      <c r="N709" s="1310" t="s">
        <v>1464</v>
      </c>
      <c r="O709" s="1310" t="s">
        <v>1493</v>
      </c>
      <c r="P709" s="1310" t="s">
        <v>1599</v>
      </c>
      <c r="Q709" s="1310" t="s">
        <v>1552</v>
      </c>
      <c r="R709" s="1310" t="s">
        <v>1635</v>
      </c>
      <c r="S709" s="1310" t="s">
        <v>1569</v>
      </c>
      <c r="T709" s="1310" t="s">
        <v>1533</v>
      </c>
      <c r="U709" s="1310" t="s">
        <v>1649</v>
      </c>
      <c r="V709" s="1310" t="s">
        <v>1627</v>
      </c>
      <c r="W709" s="1310" t="s">
        <v>1567</v>
      </c>
      <c r="X709" s="1310" t="s">
        <v>123</v>
      </c>
      <c r="Y709" s="1310" t="s">
        <v>1450</v>
      </c>
      <c r="Z709" s="1310" t="s">
        <v>264</v>
      </c>
      <c r="AA709" s="1310" t="s">
        <v>125</v>
      </c>
      <c r="AB709" s="1310" t="s">
        <v>1640</v>
      </c>
      <c r="AC709" s="1310" t="s">
        <v>1533</v>
      </c>
      <c r="AD709" s="1310" t="s">
        <v>1483</v>
      </c>
      <c r="AE709" s="1310" t="s">
        <v>1596</v>
      </c>
      <c r="AF709" s="1310" t="s">
        <v>117</v>
      </c>
    </row>
    <row r="710" spans="1:32" x14ac:dyDescent="0.3">
      <c r="A710" s="1310" t="s">
        <v>1568</v>
      </c>
      <c r="B710" s="1310" t="s">
        <v>1566</v>
      </c>
      <c r="C710" s="1310" t="s">
        <v>1644</v>
      </c>
      <c r="D710" s="1310" t="s">
        <v>1627</v>
      </c>
      <c r="E710" s="1310" t="s">
        <v>1578</v>
      </c>
      <c r="F710" s="1310" t="s">
        <v>1541</v>
      </c>
      <c r="G710" s="1310" t="s">
        <v>1579</v>
      </c>
      <c r="H710" s="1310" t="s">
        <v>1606</v>
      </c>
      <c r="I710" s="1310" t="s">
        <v>267</v>
      </c>
      <c r="J710" s="1310" t="s">
        <v>1553</v>
      </c>
      <c r="K710" s="1310" t="s">
        <v>1570</v>
      </c>
      <c r="L710" s="1310" t="s">
        <v>1568</v>
      </c>
      <c r="M710" s="1310" t="s">
        <v>264</v>
      </c>
      <c r="N710" s="1310" t="s">
        <v>1533</v>
      </c>
      <c r="O710" s="1310" t="s">
        <v>1560</v>
      </c>
      <c r="P710" s="1310" t="s">
        <v>1476</v>
      </c>
      <c r="Q710" s="1310" t="s">
        <v>1467</v>
      </c>
      <c r="R710" s="1310" t="s">
        <v>1611</v>
      </c>
      <c r="S710" s="1310" t="s">
        <v>1558</v>
      </c>
      <c r="T710" s="1310" t="s">
        <v>1449</v>
      </c>
      <c r="U710" s="1310" t="s">
        <v>1520</v>
      </c>
      <c r="V710" s="1310" t="s">
        <v>124</v>
      </c>
      <c r="W710" s="1310" t="s">
        <v>1586</v>
      </c>
      <c r="X710" s="1310" t="s">
        <v>1474</v>
      </c>
      <c r="Y710" s="1310" t="s">
        <v>1506</v>
      </c>
      <c r="Z710" s="1310" t="s">
        <v>131</v>
      </c>
      <c r="AA710" s="1310" t="s">
        <v>1575</v>
      </c>
      <c r="AB710" s="1310" t="s">
        <v>1493</v>
      </c>
      <c r="AC710" s="1310" t="s">
        <v>1605</v>
      </c>
      <c r="AD710" s="1310" t="s">
        <v>1518</v>
      </c>
      <c r="AE710" s="1310" t="s">
        <v>1636</v>
      </c>
      <c r="AF710" s="1310" t="s">
        <v>1629</v>
      </c>
    </row>
    <row r="711" spans="1:32" x14ac:dyDescent="0.3">
      <c r="A711" s="1310" t="s">
        <v>1579</v>
      </c>
      <c r="B711" s="1310" t="s">
        <v>133</v>
      </c>
      <c r="C711" s="1310" t="s">
        <v>1585</v>
      </c>
      <c r="D711" s="1310" t="s">
        <v>1483</v>
      </c>
      <c r="E711" s="1310" t="s">
        <v>1635</v>
      </c>
      <c r="F711" s="1310" t="s">
        <v>1477</v>
      </c>
      <c r="G711" s="1310" t="s">
        <v>1585</v>
      </c>
      <c r="H711" s="1310" t="s">
        <v>1485</v>
      </c>
      <c r="I711" s="1310" t="s">
        <v>128</v>
      </c>
      <c r="J711" s="1310" t="s">
        <v>1562</v>
      </c>
      <c r="K711" s="1310" t="s">
        <v>1655</v>
      </c>
      <c r="L711" s="1310" t="s">
        <v>1443</v>
      </c>
      <c r="M711" s="1310" t="s">
        <v>1450</v>
      </c>
      <c r="N711" s="1310" t="s">
        <v>1565</v>
      </c>
      <c r="O711" s="1310" t="s">
        <v>1443</v>
      </c>
      <c r="P711" s="1310" t="s">
        <v>1450</v>
      </c>
      <c r="Q711" s="1310" t="s">
        <v>132</v>
      </c>
      <c r="R711" s="1310" t="s">
        <v>1523</v>
      </c>
      <c r="S711" s="1310" t="s">
        <v>1577</v>
      </c>
      <c r="T711" s="1310" t="s">
        <v>1520</v>
      </c>
      <c r="U711" s="1310" t="s">
        <v>1552</v>
      </c>
      <c r="V711" s="1310" t="s">
        <v>1613</v>
      </c>
      <c r="W711" s="1310" t="s">
        <v>1654</v>
      </c>
      <c r="X711" s="1310" t="s">
        <v>1657</v>
      </c>
      <c r="Y711" s="1310" t="s">
        <v>1648</v>
      </c>
      <c r="Z711" s="1310" t="s">
        <v>122</v>
      </c>
      <c r="AA711" s="1310" t="s">
        <v>1558</v>
      </c>
      <c r="AB711" s="1310" t="s">
        <v>1646</v>
      </c>
      <c r="AC711" s="1310" t="s">
        <v>1460</v>
      </c>
      <c r="AD711" s="1310" t="s">
        <v>1593</v>
      </c>
      <c r="AE711" s="1310" t="s">
        <v>1591</v>
      </c>
      <c r="AF711" s="1310" t="s">
        <v>1657</v>
      </c>
    </row>
    <row r="712" spans="1:32" x14ac:dyDescent="0.3">
      <c r="A712" s="1310" t="s">
        <v>1652</v>
      </c>
      <c r="B712" s="1310" t="s">
        <v>1581</v>
      </c>
      <c r="C712" s="1310" t="s">
        <v>1547</v>
      </c>
      <c r="D712" s="1310" t="s">
        <v>265</v>
      </c>
      <c r="E712" s="1310" t="s">
        <v>1596</v>
      </c>
      <c r="F712" s="1310" t="s">
        <v>130</v>
      </c>
      <c r="G712" s="1310" t="s">
        <v>1467</v>
      </c>
      <c r="H712" s="1310" t="s">
        <v>111</v>
      </c>
      <c r="I712" s="1310" t="s">
        <v>1584</v>
      </c>
      <c r="J712" s="1310" t="s">
        <v>1549</v>
      </c>
      <c r="K712" s="1310" t="s">
        <v>1609</v>
      </c>
      <c r="L712" s="1310" t="s">
        <v>1609</v>
      </c>
      <c r="M712" s="1310" t="s">
        <v>1659</v>
      </c>
      <c r="N712" s="1310" t="s">
        <v>1487</v>
      </c>
      <c r="O712" s="1310" t="s">
        <v>1446</v>
      </c>
      <c r="P712" s="1310" t="s">
        <v>1503</v>
      </c>
      <c r="Q712" s="1310" t="s">
        <v>1548</v>
      </c>
      <c r="R712" s="1310" t="s">
        <v>1513</v>
      </c>
      <c r="S712" s="1310" t="s">
        <v>121</v>
      </c>
      <c r="T712" s="1310" t="s">
        <v>1641</v>
      </c>
      <c r="U712" s="1310" t="s">
        <v>1451</v>
      </c>
      <c r="V712" s="1310" t="s">
        <v>113</v>
      </c>
      <c r="W712" s="1310" t="s">
        <v>1598</v>
      </c>
      <c r="X712" s="1310" t="s">
        <v>112</v>
      </c>
      <c r="Y712" s="1310" t="s">
        <v>1444</v>
      </c>
      <c r="Z712" s="1310" t="s">
        <v>1512</v>
      </c>
      <c r="AA712" s="1310" t="s">
        <v>1572</v>
      </c>
      <c r="AB712" s="1310" t="s">
        <v>1570</v>
      </c>
      <c r="AC712" s="1310" t="s">
        <v>1506</v>
      </c>
      <c r="AD712" s="1310" t="s">
        <v>1447</v>
      </c>
      <c r="AE712" s="1310" t="s">
        <v>1523</v>
      </c>
      <c r="AF712" s="1310" t="s">
        <v>1561</v>
      </c>
    </row>
    <row r="713" spans="1:32" x14ac:dyDescent="0.3">
      <c r="A713" s="1310" t="s">
        <v>1574</v>
      </c>
      <c r="B713" s="1310" t="s">
        <v>1605</v>
      </c>
      <c r="C713" s="1310" t="s">
        <v>1603</v>
      </c>
      <c r="D713" s="1310" t="s">
        <v>465</v>
      </c>
      <c r="E713" s="1310" t="s">
        <v>1577</v>
      </c>
      <c r="F713" s="1310" t="s">
        <v>1030</v>
      </c>
      <c r="G713" s="1310" t="s">
        <v>1589</v>
      </c>
      <c r="H713" s="1310" t="s">
        <v>1494</v>
      </c>
      <c r="I713" s="1310" t="s">
        <v>1598</v>
      </c>
      <c r="J713" s="1310" t="s">
        <v>1466</v>
      </c>
      <c r="K713" s="1310" t="s">
        <v>1527</v>
      </c>
      <c r="L713" s="1310" t="s">
        <v>1614</v>
      </c>
      <c r="M713" s="1310" t="s">
        <v>1596</v>
      </c>
      <c r="N713" s="1310" t="s">
        <v>123</v>
      </c>
      <c r="O713" s="1310" t="s">
        <v>1653</v>
      </c>
      <c r="P713" s="1310" t="s">
        <v>120</v>
      </c>
      <c r="Q713" s="1310" t="s">
        <v>1601</v>
      </c>
      <c r="R713" s="1310" t="s">
        <v>1618</v>
      </c>
      <c r="S713" s="1310" t="s">
        <v>1592</v>
      </c>
      <c r="T713" s="1310" t="s">
        <v>1030</v>
      </c>
      <c r="U713" s="1310" t="s">
        <v>1517</v>
      </c>
      <c r="V713" s="1310" t="s">
        <v>1612</v>
      </c>
      <c r="W713" s="1310" t="s">
        <v>132</v>
      </c>
      <c r="X713" s="1310" t="s">
        <v>1569</v>
      </c>
      <c r="Y713" s="1310" t="s">
        <v>1575</v>
      </c>
      <c r="Z713" s="1310" t="s">
        <v>1570</v>
      </c>
      <c r="AA713" s="1310" t="s">
        <v>1491</v>
      </c>
      <c r="AB713" s="1310" t="s">
        <v>1573</v>
      </c>
      <c r="AC713" s="1310" t="s">
        <v>1443</v>
      </c>
      <c r="AD713" s="1310" t="s">
        <v>1450</v>
      </c>
      <c r="AE713" s="1310" t="s">
        <v>269</v>
      </c>
      <c r="AF713" s="1310" t="s">
        <v>1585</v>
      </c>
    </row>
    <row r="714" spans="1:32" x14ac:dyDescent="0.3">
      <c r="A714" s="1310" t="s">
        <v>1519</v>
      </c>
      <c r="B714" s="1310" t="s">
        <v>1620</v>
      </c>
      <c r="C714" s="1310" t="s">
        <v>1598</v>
      </c>
      <c r="D714" s="1310" t="s">
        <v>1652</v>
      </c>
      <c r="E714" s="1310" t="s">
        <v>1532</v>
      </c>
      <c r="F714" s="1310" t="s">
        <v>1571</v>
      </c>
      <c r="G714" s="1310" t="s">
        <v>1472</v>
      </c>
      <c r="H714" s="1310" t="s">
        <v>1639</v>
      </c>
      <c r="I714" s="1310" t="s">
        <v>1604</v>
      </c>
      <c r="J714" s="1310" t="s">
        <v>119</v>
      </c>
      <c r="K714" s="1310" t="s">
        <v>1580</v>
      </c>
      <c r="L714" s="1310" t="s">
        <v>1514</v>
      </c>
      <c r="M714" s="1310" t="s">
        <v>465</v>
      </c>
      <c r="N714" s="1310" t="s">
        <v>1468</v>
      </c>
      <c r="O714" s="1310" t="s">
        <v>1596</v>
      </c>
      <c r="P714" s="1310" t="s">
        <v>1517</v>
      </c>
      <c r="Q714" s="1310" t="s">
        <v>1552</v>
      </c>
      <c r="R714" s="1310" t="s">
        <v>1525</v>
      </c>
      <c r="S714" s="1310" t="s">
        <v>1636</v>
      </c>
      <c r="T714" s="1310" t="s">
        <v>1579</v>
      </c>
      <c r="U714" s="1310" t="s">
        <v>1601</v>
      </c>
      <c r="V714" s="1310" t="s">
        <v>1499</v>
      </c>
      <c r="W714" s="1310" t="s">
        <v>1517</v>
      </c>
      <c r="X714" s="1310" t="s">
        <v>1557</v>
      </c>
      <c r="Y714" s="1310" t="s">
        <v>1608</v>
      </c>
      <c r="Z714" s="1310" t="s">
        <v>1571</v>
      </c>
      <c r="AA714" s="1310" t="s">
        <v>1549</v>
      </c>
      <c r="AB714" s="1310" t="s">
        <v>1659</v>
      </c>
      <c r="AC714" s="1310" t="s">
        <v>1539</v>
      </c>
      <c r="AD714" s="1310" t="s">
        <v>1604</v>
      </c>
      <c r="AE714" s="1310" t="s">
        <v>1611</v>
      </c>
      <c r="AF714" s="1310" t="s">
        <v>1585</v>
      </c>
    </row>
    <row r="715" spans="1:32" x14ac:dyDescent="0.3">
      <c r="A715" s="1310" t="s">
        <v>1489</v>
      </c>
      <c r="B715" s="1310" t="s">
        <v>1477</v>
      </c>
      <c r="C715" s="1310" t="s">
        <v>1584</v>
      </c>
      <c r="D715" s="1310" t="s">
        <v>1488</v>
      </c>
      <c r="E715" s="1310" t="s">
        <v>131</v>
      </c>
      <c r="F715" s="1310" t="s">
        <v>1636</v>
      </c>
      <c r="G715" s="1310" t="s">
        <v>1547</v>
      </c>
      <c r="H715" s="1310" t="s">
        <v>1542</v>
      </c>
      <c r="I715" s="1310" t="s">
        <v>113</v>
      </c>
      <c r="J715" s="1310" t="s">
        <v>1638</v>
      </c>
      <c r="K715" s="1310" t="s">
        <v>1465</v>
      </c>
      <c r="L715" s="1310" t="s">
        <v>1488</v>
      </c>
      <c r="M715" s="1310" t="s">
        <v>1634</v>
      </c>
      <c r="N715" s="1310" t="s">
        <v>471</v>
      </c>
      <c r="O715" s="1310" t="s">
        <v>1465</v>
      </c>
      <c r="P715" s="1310" t="s">
        <v>1594</v>
      </c>
      <c r="Q715" s="1310" t="s">
        <v>1653</v>
      </c>
      <c r="R715" s="1310" t="s">
        <v>1586</v>
      </c>
      <c r="S715" s="1310" t="s">
        <v>1506</v>
      </c>
      <c r="T715" s="1310" t="s">
        <v>128</v>
      </c>
      <c r="U715" s="1310" t="s">
        <v>1458</v>
      </c>
      <c r="V715" s="1310" t="s">
        <v>1447</v>
      </c>
      <c r="W715" s="1310" t="s">
        <v>1643</v>
      </c>
      <c r="X715" s="1310" t="s">
        <v>1512</v>
      </c>
      <c r="Y715" s="1310" t="s">
        <v>1657</v>
      </c>
      <c r="Z715" s="1310" t="s">
        <v>1467</v>
      </c>
      <c r="AA715" s="1310" t="s">
        <v>1534</v>
      </c>
      <c r="AB715" s="1310" t="s">
        <v>1451</v>
      </c>
      <c r="AC715" s="1310" t="s">
        <v>1592</v>
      </c>
      <c r="AD715" s="1310" t="s">
        <v>1623</v>
      </c>
      <c r="AE715" s="1310" t="s">
        <v>1453</v>
      </c>
      <c r="AF715" s="1310" t="s">
        <v>1496</v>
      </c>
    </row>
    <row r="716" spans="1:32" x14ac:dyDescent="0.3">
      <c r="A716" s="1310" t="s">
        <v>1613</v>
      </c>
      <c r="B716" s="1310" t="s">
        <v>1604</v>
      </c>
      <c r="C716" s="1310" t="s">
        <v>1551</v>
      </c>
      <c r="D716" s="1310" t="s">
        <v>1583</v>
      </c>
      <c r="E716" s="1310" t="s">
        <v>1622</v>
      </c>
      <c r="F716" s="1310" t="s">
        <v>1637</v>
      </c>
      <c r="G716" s="1310" t="s">
        <v>1580</v>
      </c>
      <c r="H716" s="1310" t="s">
        <v>1622</v>
      </c>
      <c r="I716" s="1310" t="s">
        <v>1650</v>
      </c>
      <c r="J716" s="1310" t="s">
        <v>1633</v>
      </c>
      <c r="K716" s="1310" t="s">
        <v>1657</v>
      </c>
      <c r="L716" s="1310" t="s">
        <v>1505</v>
      </c>
      <c r="M716" s="1310" t="s">
        <v>1586</v>
      </c>
      <c r="N716" s="1310" t="s">
        <v>1617</v>
      </c>
      <c r="O716" s="1310" t="s">
        <v>1659</v>
      </c>
      <c r="P716" s="1310" t="s">
        <v>1585</v>
      </c>
      <c r="Q716" s="1310" t="s">
        <v>122</v>
      </c>
      <c r="R716" s="1310" t="s">
        <v>126</v>
      </c>
      <c r="S716" s="1310" t="s">
        <v>1636</v>
      </c>
      <c r="T716" s="1310" t="s">
        <v>1615</v>
      </c>
      <c r="U716" s="1310" t="s">
        <v>6</v>
      </c>
      <c r="V716" s="1310" t="s">
        <v>1502</v>
      </c>
      <c r="W716" s="1310" t="s">
        <v>1518</v>
      </c>
      <c r="X716" s="1310" t="s">
        <v>1584</v>
      </c>
      <c r="Y716" s="1310" t="s">
        <v>1553</v>
      </c>
      <c r="Z716" s="1310" t="s">
        <v>1555</v>
      </c>
      <c r="AA716" s="1310" t="s">
        <v>1030</v>
      </c>
      <c r="AB716" s="1310" t="s">
        <v>1527</v>
      </c>
      <c r="AC716" s="1310" t="s">
        <v>1529</v>
      </c>
      <c r="AD716" s="1310" t="s">
        <v>1624</v>
      </c>
      <c r="AE716" s="1310" t="s">
        <v>1451</v>
      </c>
      <c r="AF716" s="1310" t="s">
        <v>1650</v>
      </c>
    </row>
    <row r="717" spans="1:32" x14ac:dyDescent="0.3">
      <c r="A717" s="1310" t="s">
        <v>1027</v>
      </c>
      <c r="B717" s="1310" t="s">
        <v>1565</v>
      </c>
      <c r="C717" s="1310" t="s">
        <v>1540</v>
      </c>
      <c r="D717" s="1310" t="s">
        <v>1519</v>
      </c>
      <c r="E717" s="1310" t="s">
        <v>1643</v>
      </c>
      <c r="F717" s="1310" t="s">
        <v>1481</v>
      </c>
      <c r="G717" s="1310" t="s">
        <v>1538</v>
      </c>
      <c r="H717" s="1310" t="s">
        <v>133</v>
      </c>
      <c r="I717" s="1310" t="s">
        <v>1566</v>
      </c>
      <c r="J717" s="1310" t="s">
        <v>465</v>
      </c>
      <c r="K717" s="1310" t="s">
        <v>1531</v>
      </c>
      <c r="L717" s="1310" t="s">
        <v>1595</v>
      </c>
      <c r="M717" s="1310" t="s">
        <v>1537</v>
      </c>
      <c r="N717" s="1310" t="s">
        <v>1592</v>
      </c>
      <c r="O717" s="1310" t="s">
        <v>1452</v>
      </c>
      <c r="P717" s="1310" t="s">
        <v>1641</v>
      </c>
      <c r="Q717" s="1310" t="s">
        <v>465</v>
      </c>
      <c r="R717" s="1310" t="s">
        <v>131</v>
      </c>
      <c r="S717" s="1310" t="s">
        <v>1501</v>
      </c>
      <c r="T717" s="1310" t="s">
        <v>132</v>
      </c>
      <c r="U717" s="1310" t="s">
        <v>1489</v>
      </c>
      <c r="V717" s="1310" t="s">
        <v>132</v>
      </c>
      <c r="W717" s="1310" t="s">
        <v>1586</v>
      </c>
      <c r="X717" s="1310" t="s">
        <v>132</v>
      </c>
      <c r="Y717" s="1310" t="s">
        <v>1510</v>
      </c>
      <c r="Z717" s="1310" t="s">
        <v>1650</v>
      </c>
      <c r="AA717" s="1310" t="s">
        <v>1577</v>
      </c>
      <c r="AB717" s="1310" t="s">
        <v>1517</v>
      </c>
      <c r="AC717" s="1310" t="s">
        <v>1602</v>
      </c>
      <c r="AD717" s="1310" t="s">
        <v>1542</v>
      </c>
      <c r="AE717" s="1310" t="s">
        <v>1448</v>
      </c>
      <c r="AF717" s="1310" t="s">
        <v>1660</v>
      </c>
    </row>
    <row r="718" spans="1:32" x14ac:dyDescent="0.3">
      <c r="A718" s="1310" t="s">
        <v>471</v>
      </c>
      <c r="B718" s="1310" t="s">
        <v>1483</v>
      </c>
      <c r="C718" s="1310" t="s">
        <v>1548</v>
      </c>
      <c r="D718" s="1310" t="s">
        <v>1509</v>
      </c>
      <c r="E718" s="1310" t="s">
        <v>1581</v>
      </c>
      <c r="F718" s="1310" t="s">
        <v>1443</v>
      </c>
      <c r="G718" s="1310" t="s">
        <v>1450</v>
      </c>
      <c r="H718" s="1310" t="s">
        <v>1481</v>
      </c>
      <c r="I718" s="1310" t="s">
        <v>1558</v>
      </c>
      <c r="J718" s="1310" t="s">
        <v>1572</v>
      </c>
      <c r="K718" s="1310" t="s">
        <v>1623</v>
      </c>
      <c r="L718" s="1310" t="s">
        <v>1499</v>
      </c>
      <c r="M718" s="1310" t="s">
        <v>113</v>
      </c>
      <c r="N718" s="1310" t="s">
        <v>1629</v>
      </c>
      <c r="O718" s="1310" t="s">
        <v>1611</v>
      </c>
      <c r="P718" s="1310" t="s">
        <v>1484</v>
      </c>
      <c r="Q718" s="1310" t="s">
        <v>1535</v>
      </c>
      <c r="R718" s="1310" t="s">
        <v>1558</v>
      </c>
      <c r="S718" s="1310" t="s">
        <v>264</v>
      </c>
      <c r="T718" s="1310" t="s">
        <v>1626</v>
      </c>
      <c r="U718" s="1310" t="s">
        <v>1583</v>
      </c>
      <c r="V718" s="1310" t="s">
        <v>1580</v>
      </c>
      <c r="W718" s="1310" t="s">
        <v>1460</v>
      </c>
      <c r="X718" s="1310" t="s">
        <v>1540</v>
      </c>
      <c r="Y718" s="1310" t="s">
        <v>1523</v>
      </c>
      <c r="Z718" s="1310" t="s">
        <v>1593</v>
      </c>
      <c r="AA718" s="1310" t="s">
        <v>1459</v>
      </c>
      <c r="AB718" s="1310" t="s">
        <v>1517</v>
      </c>
      <c r="AC718" s="1310" t="s">
        <v>1538</v>
      </c>
      <c r="AD718" s="1310" t="s">
        <v>1457</v>
      </c>
      <c r="AE718" s="1310" t="s">
        <v>1488</v>
      </c>
      <c r="AF718" s="1310" t="s">
        <v>1590</v>
      </c>
    </row>
    <row r="719" spans="1:32" x14ac:dyDescent="0.3">
      <c r="A719" s="1310" t="s">
        <v>1613</v>
      </c>
      <c r="B719" s="1310" t="s">
        <v>1622</v>
      </c>
      <c r="C719" s="1310" t="s">
        <v>128</v>
      </c>
      <c r="D719" s="1310" t="s">
        <v>1639</v>
      </c>
      <c r="E719" s="1310" t="s">
        <v>1604</v>
      </c>
      <c r="F719" s="1310" t="s">
        <v>1443</v>
      </c>
      <c r="G719" s="1310" t="s">
        <v>1450</v>
      </c>
      <c r="H719" s="1310" t="s">
        <v>265</v>
      </c>
      <c r="I719" s="1310" t="s">
        <v>1458</v>
      </c>
      <c r="J719" s="1310" t="s">
        <v>1562</v>
      </c>
      <c r="K719" s="1310" t="s">
        <v>1564</v>
      </c>
      <c r="L719" s="1310" t="s">
        <v>1478</v>
      </c>
      <c r="M719" s="1310" t="s">
        <v>1633</v>
      </c>
      <c r="N719" s="1310" t="s">
        <v>1573</v>
      </c>
      <c r="O719" s="1310" t="s">
        <v>1625</v>
      </c>
      <c r="P719" s="1310" t="s">
        <v>268</v>
      </c>
      <c r="Q719" s="1310" t="s">
        <v>1455</v>
      </c>
      <c r="R719" s="1310" t="s">
        <v>1658</v>
      </c>
      <c r="S719" s="1310" t="s">
        <v>1485</v>
      </c>
      <c r="T719" s="1310" t="s">
        <v>1459</v>
      </c>
      <c r="U719" s="1310" t="s">
        <v>1491</v>
      </c>
      <c r="V719" s="1310" t="s">
        <v>1608</v>
      </c>
      <c r="W719" s="1310" t="s">
        <v>1589</v>
      </c>
      <c r="X719" s="1310" t="s">
        <v>1543</v>
      </c>
      <c r="Y719" s="1310" t="s">
        <v>1580</v>
      </c>
      <c r="Z719" s="1310" t="s">
        <v>1563</v>
      </c>
      <c r="AA719" s="1310" t="s">
        <v>267</v>
      </c>
      <c r="AB719" s="1310" t="s">
        <v>1624</v>
      </c>
      <c r="AC719" s="1310" t="s">
        <v>1452</v>
      </c>
      <c r="AD719" s="1310" t="s">
        <v>1577</v>
      </c>
      <c r="AE719" s="1310" t="s">
        <v>1516</v>
      </c>
      <c r="AF719" s="1310" t="s">
        <v>1557</v>
      </c>
    </row>
    <row r="720" spans="1:32" x14ac:dyDescent="0.3">
      <c r="A720" s="1310" t="s">
        <v>1598</v>
      </c>
      <c r="B720" s="1310" t="s">
        <v>267</v>
      </c>
      <c r="C720" s="1310" t="s">
        <v>1609</v>
      </c>
      <c r="D720" s="1310" t="s">
        <v>1642</v>
      </c>
      <c r="E720" s="1310" t="s">
        <v>1653</v>
      </c>
      <c r="F720" s="1310" t="s">
        <v>1584</v>
      </c>
      <c r="G720" s="1310" t="s">
        <v>1602</v>
      </c>
      <c r="H720" s="1310" t="s">
        <v>1529</v>
      </c>
      <c r="I720" s="1310" t="s">
        <v>1555</v>
      </c>
      <c r="J720" s="1310" t="s">
        <v>1591</v>
      </c>
      <c r="K720" s="1310" t="s">
        <v>128</v>
      </c>
      <c r="L720" s="1310" t="s">
        <v>1640</v>
      </c>
      <c r="M720" s="1310" t="s">
        <v>1645</v>
      </c>
      <c r="N720" s="1310" t="s">
        <v>1648</v>
      </c>
      <c r="O720" s="1310" t="s">
        <v>1581</v>
      </c>
      <c r="P720" s="1310" t="s">
        <v>1467</v>
      </c>
      <c r="Q720" s="1310" t="s">
        <v>1585</v>
      </c>
      <c r="R720" s="1310" t="s">
        <v>1525</v>
      </c>
      <c r="S720" s="1310" t="s">
        <v>1619</v>
      </c>
      <c r="T720" s="1310" t="s">
        <v>1468</v>
      </c>
      <c r="U720" s="1310" t="s">
        <v>110</v>
      </c>
      <c r="V720" s="1310" t="s">
        <v>131</v>
      </c>
      <c r="W720" s="1310" t="s">
        <v>1630</v>
      </c>
      <c r="X720" s="1310" t="s">
        <v>1602</v>
      </c>
      <c r="Y720" s="1310" t="s">
        <v>1523</v>
      </c>
      <c r="Z720" s="1310" t="s">
        <v>1636</v>
      </c>
      <c r="AA720" s="1310" t="s">
        <v>1655</v>
      </c>
      <c r="AB720" s="1310" t="s">
        <v>1492</v>
      </c>
      <c r="AC720" s="1310" t="s">
        <v>1599</v>
      </c>
      <c r="AD720" s="1310" t="s">
        <v>1625</v>
      </c>
      <c r="AE720" s="1310" t="s">
        <v>1479</v>
      </c>
      <c r="AF720" s="1310" t="s">
        <v>1483</v>
      </c>
    </row>
    <row r="721" spans="1:32" x14ac:dyDescent="0.3">
      <c r="A721" s="1310" t="s">
        <v>1460</v>
      </c>
      <c r="B721" s="1310" t="s">
        <v>1503</v>
      </c>
      <c r="C721" s="1310" t="s">
        <v>1559</v>
      </c>
      <c r="D721" s="1310" t="s">
        <v>1565</v>
      </c>
      <c r="E721" s="1310" t="s">
        <v>1591</v>
      </c>
      <c r="F721" s="1310" t="s">
        <v>1507</v>
      </c>
      <c r="G721" s="1310" t="s">
        <v>1506</v>
      </c>
      <c r="H721" s="1310" t="s">
        <v>1576</v>
      </c>
      <c r="I721" s="1310" t="s">
        <v>1625</v>
      </c>
      <c r="J721" s="1310" t="s">
        <v>1553</v>
      </c>
      <c r="K721" s="1310" t="s">
        <v>1610</v>
      </c>
      <c r="L721" s="1310" t="s">
        <v>1627</v>
      </c>
      <c r="M721" s="1310" t="s">
        <v>1606</v>
      </c>
      <c r="N721" s="1310" t="s">
        <v>1448</v>
      </c>
      <c r="O721" s="1310" t="s">
        <v>1467</v>
      </c>
      <c r="P721" s="1310" t="s">
        <v>1613</v>
      </c>
      <c r="Q721" s="1310" t="s">
        <v>265</v>
      </c>
      <c r="R721" s="1310" t="s">
        <v>1649</v>
      </c>
      <c r="S721" s="1310" t="s">
        <v>1553</v>
      </c>
      <c r="T721" s="1310" t="s">
        <v>465</v>
      </c>
      <c r="U721" s="1310" t="s">
        <v>114</v>
      </c>
      <c r="V721" s="1310" t="s">
        <v>1618</v>
      </c>
      <c r="W721" s="1310" t="s">
        <v>1500</v>
      </c>
      <c r="X721" s="1310" t="s">
        <v>1469</v>
      </c>
      <c r="Y721" s="1310" t="s">
        <v>1443</v>
      </c>
      <c r="Z721" s="1310" t="s">
        <v>1450</v>
      </c>
      <c r="AA721" s="1310" t="s">
        <v>1445</v>
      </c>
      <c r="AB721" s="1310" t="s">
        <v>1590</v>
      </c>
      <c r="AC721" s="1310" t="s">
        <v>1475</v>
      </c>
      <c r="AD721" s="1310" t="s">
        <v>1552</v>
      </c>
      <c r="AE721" s="1310" t="s">
        <v>1568</v>
      </c>
      <c r="AF721" s="1310" t="s">
        <v>1646</v>
      </c>
    </row>
    <row r="722" spans="1:32" x14ac:dyDescent="0.3">
      <c r="A722" s="1310" t="s">
        <v>1639</v>
      </c>
      <c r="B722" s="1310" t="s">
        <v>1486</v>
      </c>
      <c r="C722" s="1310" t="s">
        <v>1517</v>
      </c>
      <c r="D722" s="1310" t="s">
        <v>1577</v>
      </c>
      <c r="E722" s="1310" t="s">
        <v>1628</v>
      </c>
      <c r="F722" s="1310" t="s">
        <v>1602</v>
      </c>
      <c r="G722" s="1310" t="s">
        <v>128</v>
      </c>
      <c r="H722" s="1310" t="s">
        <v>1648</v>
      </c>
      <c r="I722" s="1310" t="s">
        <v>1630</v>
      </c>
      <c r="J722" s="1310" t="s">
        <v>127</v>
      </c>
      <c r="K722" s="1310" t="s">
        <v>1499</v>
      </c>
      <c r="L722" s="1310" t="s">
        <v>1639</v>
      </c>
      <c r="M722" s="1310" t="s">
        <v>1633</v>
      </c>
      <c r="N722" s="1310" t="s">
        <v>1485</v>
      </c>
      <c r="O722" s="1310" t="s">
        <v>132</v>
      </c>
      <c r="P722" s="1310" t="s">
        <v>1485</v>
      </c>
      <c r="Q722" s="1310" t="s">
        <v>1570</v>
      </c>
      <c r="R722" s="1310" t="s">
        <v>1540</v>
      </c>
      <c r="S722" s="1310" t="s">
        <v>1468</v>
      </c>
      <c r="T722" s="1310" t="s">
        <v>126</v>
      </c>
      <c r="U722" s="1310" t="s">
        <v>1614</v>
      </c>
      <c r="V722" s="1310" t="s">
        <v>1551</v>
      </c>
      <c r="W722" s="1310" t="s">
        <v>1633</v>
      </c>
      <c r="X722" s="1310" t="s">
        <v>1561</v>
      </c>
      <c r="Y722" s="1310" t="s">
        <v>1539</v>
      </c>
      <c r="Z722" s="1310" t="s">
        <v>1523</v>
      </c>
      <c r="AA722" s="1310" t="s">
        <v>1483</v>
      </c>
      <c r="AB722" s="1310" t="s">
        <v>1616</v>
      </c>
      <c r="AC722" s="1310" t="s">
        <v>1636</v>
      </c>
      <c r="AD722" s="1310" t="s">
        <v>1501</v>
      </c>
      <c r="AE722" s="1310" t="s">
        <v>1626</v>
      </c>
      <c r="AF722" s="1310" t="s">
        <v>1562</v>
      </c>
    </row>
    <row r="723" spans="1:32" x14ac:dyDescent="0.3">
      <c r="A723" s="1310" t="s">
        <v>6</v>
      </c>
      <c r="B723" s="1310" t="s">
        <v>1542</v>
      </c>
      <c r="C723" s="1310" t="s">
        <v>1468</v>
      </c>
      <c r="D723" s="1310" t="s">
        <v>1587</v>
      </c>
      <c r="E723" s="1310" t="s">
        <v>115</v>
      </c>
      <c r="F723" s="1310" t="s">
        <v>1567</v>
      </c>
      <c r="G723" s="1310" t="s">
        <v>122</v>
      </c>
      <c r="H723" s="1310" t="s">
        <v>1479</v>
      </c>
      <c r="I723" s="1310" t="s">
        <v>1586</v>
      </c>
      <c r="J723" s="1310" t="s">
        <v>1646</v>
      </c>
      <c r="K723" s="1310" t="s">
        <v>270</v>
      </c>
      <c r="L723" s="1310" t="s">
        <v>1533</v>
      </c>
      <c r="M723" s="1310" t="s">
        <v>1596</v>
      </c>
      <c r="N723" s="1310" t="s">
        <v>1620</v>
      </c>
      <c r="O723" s="1310" t="s">
        <v>1596</v>
      </c>
      <c r="P723" s="1310" t="s">
        <v>1485</v>
      </c>
      <c r="Q723" s="1310" t="s">
        <v>1545</v>
      </c>
      <c r="R723" s="1310" t="s">
        <v>1503</v>
      </c>
      <c r="S723" s="1310" t="s">
        <v>1525</v>
      </c>
      <c r="T723" s="1310" t="s">
        <v>1446</v>
      </c>
      <c r="U723" s="1310" t="s">
        <v>1513</v>
      </c>
      <c r="V723" s="1310" t="s">
        <v>1591</v>
      </c>
      <c r="W723" s="1310" t="s">
        <v>111</v>
      </c>
      <c r="X723" s="1310" t="s">
        <v>1637</v>
      </c>
      <c r="Y723" s="1310" t="s">
        <v>1541</v>
      </c>
      <c r="Z723" s="1310" t="s">
        <v>1655</v>
      </c>
      <c r="AA723" s="1310" t="s">
        <v>1460</v>
      </c>
      <c r="AB723" s="1310" t="s">
        <v>1607</v>
      </c>
      <c r="AC723" s="1310" t="s">
        <v>1493</v>
      </c>
      <c r="AD723" s="1310" t="s">
        <v>1483</v>
      </c>
      <c r="AE723" s="1310" t="s">
        <v>1525</v>
      </c>
      <c r="AF723" s="1310" t="s">
        <v>1494</v>
      </c>
    </row>
    <row r="724" spans="1:32" x14ac:dyDescent="0.3">
      <c r="A724" s="1310" t="s">
        <v>1594</v>
      </c>
      <c r="B724" s="1310" t="s">
        <v>1451</v>
      </c>
      <c r="C724" s="1310" t="s">
        <v>1576</v>
      </c>
      <c r="D724" s="1310" t="s">
        <v>133</v>
      </c>
      <c r="E724" s="1310" t="s">
        <v>1647</v>
      </c>
      <c r="F724" s="1310" t="s">
        <v>1615</v>
      </c>
      <c r="G724" s="1310" t="s">
        <v>1499</v>
      </c>
      <c r="H724" s="1310" t="s">
        <v>1660</v>
      </c>
      <c r="I724" s="1310" t="s">
        <v>1627</v>
      </c>
      <c r="J724" s="1310" t="s">
        <v>112</v>
      </c>
      <c r="K724" s="1310" t="s">
        <v>1557</v>
      </c>
      <c r="L724" s="1310" t="s">
        <v>1555</v>
      </c>
      <c r="M724" s="1310" t="s">
        <v>1566</v>
      </c>
      <c r="N724" s="1310" t="s">
        <v>1513</v>
      </c>
      <c r="O724" s="1310" t="s">
        <v>1531</v>
      </c>
      <c r="P724" s="1310" t="s">
        <v>1624</v>
      </c>
      <c r="Q724" s="1310" t="s">
        <v>1626</v>
      </c>
      <c r="R724" s="1310" t="s">
        <v>1584</v>
      </c>
      <c r="S724" s="1310" t="s">
        <v>1448</v>
      </c>
      <c r="T724" s="1310" t="s">
        <v>1610</v>
      </c>
      <c r="U724" s="1310" t="s">
        <v>1473</v>
      </c>
      <c r="V724" s="1310" t="s">
        <v>1582</v>
      </c>
      <c r="W724" s="1310" t="s">
        <v>1580</v>
      </c>
      <c r="X724" s="1310" t="s">
        <v>1617</v>
      </c>
      <c r="Y724" s="1310" t="s">
        <v>1446</v>
      </c>
      <c r="Z724" s="1310" t="s">
        <v>1569</v>
      </c>
      <c r="AA724" s="1310" t="s">
        <v>1551</v>
      </c>
      <c r="AB724" s="1310" t="s">
        <v>1559</v>
      </c>
      <c r="AC724" s="1310" t="s">
        <v>1521</v>
      </c>
      <c r="AD724" s="1310" t="s">
        <v>1650</v>
      </c>
      <c r="AE724" s="1310" t="s">
        <v>129</v>
      </c>
      <c r="AF724" s="1310" t="s">
        <v>132</v>
      </c>
    </row>
    <row r="725" spans="1:32" x14ac:dyDescent="0.3">
      <c r="A725" s="1310" t="s">
        <v>270</v>
      </c>
      <c r="B725" s="1310" t="s">
        <v>1633</v>
      </c>
      <c r="C725" s="1310" t="s">
        <v>1523</v>
      </c>
      <c r="D725" s="1310" t="s">
        <v>1517</v>
      </c>
      <c r="E725" s="1310" t="s">
        <v>1570</v>
      </c>
      <c r="F725" s="1310" t="s">
        <v>1490</v>
      </c>
      <c r="G725" s="1310" t="s">
        <v>1443</v>
      </c>
      <c r="H725" s="1310" t="s">
        <v>1450</v>
      </c>
      <c r="I725" s="1310" t="s">
        <v>1570</v>
      </c>
      <c r="J725" s="1310" t="s">
        <v>1512</v>
      </c>
      <c r="K725" s="1310" t="s">
        <v>1443</v>
      </c>
      <c r="L725" s="1310" t="s">
        <v>1450</v>
      </c>
      <c r="M725" s="1310" t="s">
        <v>1654</v>
      </c>
      <c r="N725" s="1310" t="s">
        <v>1542</v>
      </c>
      <c r="O725" s="1310" t="s">
        <v>1644</v>
      </c>
      <c r="P725" s="1310" t="s">
        <v>1586</v>
      </c>
      <c r="Q725" s="1310" t="s">
        <v>1576</v>
      </c>
      <c r="R725" s="1310" t="s">
        <v>131</v>
      </c>
      <c r="S725" s="1310" t="s">
        <v>1474</v>
      </c>
      <c r="T725" s="1310" t="s">
        <v>1529</v>
      </c>
      <c r="U725" s="1310" t="s">
        <v>1655</v>
      </c>
      <c r="V725" s="1310" t="s">
        <v>1550</v>
      </c>
      <c r="W725" s="1310" t="s">
        <v>1532</v>
      </c>
      <c r="X725" s="1310" t="s">
        <v>1027</v>
      </c>
      <c r="Y725" s="1310" t="s">
        <v>1596</v>
      </c>
      <c r="Z725" s="1310" t="s">
        <v>117</v>
      </c>
      <c r="AA725" s="1310" t="s">
        <v>1491</v>
      </c>
      <c r="AB725" s="1310" t="s">
        <v>1548</v>
      </c>
      <c r="AC725" s="1310" t="s">
        <v>133</v>
      </c>
      <c r="AD725" s="1310" t="s">
        <v>1551</v>
      </c>
      <c r="AE725" s="1310" t="s">
        <v>1645</v>
      </c>
      <c r="AF725" s="1310" t="s">
        <v>1570</v>
      </c>
    </row>
    <row r="726" spans="1:32" x14ac:dyDescent="0.3">
      <c r="A726" s="1310" t="s">
        <v>1589</v>
      </c>
      <c r="B726" s="1310" t="s">
        <v>1518</v>
      </c>
      <c r="C726" s="1310" t="s">
        <v>1572</v>
      </c>
      <c r="D726" s="1310" t="s">
        <v>1524</v>
      </c>
      <c r="E726" s="1310" t="s">
        <v>1599</v>
      </c>
      <c r="F726" s="1310" t="s">
        <v>1614</v>
      </c>
      <c r="G726" s="1310" t="s">
        <v>1492</v>
      </c>
      <c r="H726" s="1310" t="s">
        <v>1585</v>
      </c>
      <c r="I726" s="1310" t="s">
        <v>1595</v>
      </c>
      <c r="J726" s="1310" t="s">
        <v>1653</v>
      </c>
      <c r="K726" s="1310" t="s">
        <v>114</v>
      </c>
      <c r="L726" s="1310" t="s">
        <v>1449</v>
      </c>
      <c r="M726" s="1310" t="s">
        <v>1515</v>
      </c>
      <c r="N726" s="1310" t="s">
        <v>1545</v>
      </c>
      <c r="O726" s="1310" t="s">
        <v>1607</v>
      </c>
      <c r="P726" s="1310" t="s">
        <v>1572</v>
      </c>
      <c r="Q726" s="1310" t="s">
        <v>1635</v>
      </c>
      <c r="R726" s="1310" t="s">
        <v>1483</v>
      </c>
      <c r="S726" s="1310" t="s">
        <v>1659</v>
      </c>
      <c r="T726" s="1310" t="s">
        <v>1578</v>
      </c>
      <c r="U726" s="1310" t="s">
        <v>1608</v>
      </c>
      <c r="V726" s="1310" t="s">
        <v>1633</v>
      </c>
      <c r="W726" s="1310" t="s">
        <v>1468</v>
      </c>
      <c r="X726" s="1310" t="s">
        <v>1505</v>
      </c>
      <c r="Y726" s="1310" t="s">
        <v>1443</v>
      </c>
      <c r="Z726" s="1310" t="s">
        <v>1450</v>
      </c>
      <c r="AA726" s="1310" t="s">
        <v>1629</v>
      </c>
      <c r="AB726" s="1310" t="s">
        <v>1485</v>
      </c>
      <c r="AC726" s="1310" t="s">
        <v>1604</v>
      </c>
      <c r="AD726" s="1310" t="s">
        <v>1555</v>
      </c>
      <c r="AE726" s="1310" t="s">
        <v>1641</v>
      </c>
      <c r="AF726" s="1310" t="s">
        <v>131</v>
      </c>
    </row>
    <row r="727" spans="1:32" x14ac:dyDescent="0.3">
      <c r="A727" s="1310" t="s">
        <v>1569</v>
      </c>
      <c r="B727" s="1310" t="s">
        <v>1637</v>
      </c>
      <c r="C727" s="1310" t="s">
        <v>1603</v>
      </c>
      <c r="D727" s="1310" t="s">
        <v>1556</v>
      </c>
      <c r="E727" s="1310" t="s">
        <v>1636</v>
      </c>
      <c r="F727" s="1310" t="s">
        <v>1473</v>
      </c>
      <c r="G727" s="1310" t="s">
        <v>1632</v>
      </c>
      <c r="H727" s="1310" t="s">
        <v>1637</v>
      </c>
      <c r="I727" s="1310" t="s">
        <v>132</v>
      </c>
      <c r="J727" s="1310" t="s">
        <v>263</v>
      </c>
      <c r="K727" s="1310" t="s">
        <v>1614</v>
      </c>
      <c r="L727" s="1310" t="s">
        <v>1451</v>
      </c>
      <c r="M727" s="1310" t="s">
        <v>1465</v>
      </c>
      <c r="N727" s="1310" t="s">
        <v>124</v>
      </c>
      <c r="O727" s="1310" t="s">
        <v>1027</v>
      </c>
      <c r="P727" s="1310" t="s">
        <v>1526</v>
      </c>
      <c r="Q727" s="1310" t="s">
        <v>1606</v>
      </c>
      <c r="R727" s="1310" t="s">
        <v>1027</v>
      </c>
      <c r="S727" s="1310" t="s">
        <v>1485</v>
      </c>
      <c r="T727" s="1310" t="s">
        <v>1494</v>
      </c>
      <c r="U727" s="1310" t="s">
        <v>118</v>
      </c>
      <c r="V727" s="1310" t="s">
        <v>1554</v>
      </c>
      <c r="W727" s="1310" t="s">
        <v>1613</v>
      </c>
      <c r="X727" s="1310" t="s">
        <v>1607</v>
      </c>
      <c r="Y727" s="1310" t="s">
        <v>1544</v>
      </c>
      <c r="Z727" s="1310" t="s">
        <v>1595</v>
      </c>
      <c r="AA727" s="1310" t="s">
        <v>1027</v>
      </c>
      <c r="AB727" s="1310" t="s">
        <v>1618</v>
      </c>
      <c r="AC727" s="1310" t="s">
        <v>1536</v>
      </c>
      <c r="AD727" s="1310" t="s">
        <v>1453</v>
      </c>
      <c r="AE727" s="1310" t="s">
        <v>1488</v>
      </c>
      <c r="AF727" s="1310" t="s">
        <v>1551</v>
      </c>
    </row>
    <row r="728" spans="1:32" x14ac:dyDescent="0.3">
      <c r="A728" s="1310" t="s">
        <v>1588</v>
      </c>
      <c r="B728" s="1310" t="s">
        <v>1612</v>
      </c>
      <c r="C728" s="1310" t="s">
        <v>1499</v>
      </c>
      <c r="D728" s="1310" t="s">
        <v>116</v>
      </c>
      <c r="E728" s="1310" t="s">
        <v>1541</v>
      </c>
      <c r="F728" s="1310" t="s">
        <v>1554</v>
      </c>
      <c r="G728" s="1310" t="s">
        <v>1648</v>
      </c>
      <c r="H728" s="1310" t="s">
        <v>1644</v>
      </c>
      <c r="I728" s="1310" t="s">
        <v>1619</v>
      </c>
      <c r="J728" s="1310" t="s">
        <v>1557</v>
      </c>
      <c r="K728" s="1310" t="s">
        <v>1454</v>
      </c>
      <c r="L728" s="1310" t="s">
        <v>1482</v>
      </c>
      <c r="M728" s="1310" t="s">
        <v>1494</v>
      </c>
      <c r="N728" s="1310" t="s">
        <v>1640</v>
      </c>
      <c r="O728" s="1310" t="s">
        <v>1517</v>
      </c>
      <c r="P728" s="1310" t="s">
        <v>1566</v>
      </c>
      <c r="Q728" s="1310" t="s">
        <v>1658</v>
      </c>
      <c r="R728" s="1310" t="s">
        <v>1475</v>
      </c>
      <c r="S728" s="1310" t="s">
        <v>1631</v>
      </c>
      <c r="T728" s="1310" t="s">
        <v>1580</v>
      </c>
      <c r="U728" s="1310" t="s">
        <v>1553</v>
      </c>
      <c r="V728" s="1310" t="s">
        <v>264</v>
      </c>
      <c r="W728" s="1310" t="s">
        <v>1632</v>
      </c>
      <c r="X728" s="1310" t="s">
        <v>1651</v>
      </c>
      <c r="Y728" s="1310" t="s">
        <v>112</v>
      </c>
      <c r="Z728" s="1310" t="s">
        <v>1512</v>
      </c>
      <c r="AA728" s="1310" t="s">
        <v>1515</v>
      </c>
      <c r="AB728" s="1310" t="s">
        <v>1450</v>
      </c>
      <c r="AC728" s="1310" t="s">
        <v>1638</v>
      </c>
      <c r="AD728" s="1310" t="s">
        <v>1571</v>
      </c>
      <c r="AE728" s="1310" t="s">
        <v>1516</v>
      </c>
      <c r="AF728" s="1310" t="s">
        <v>1502</v>
      </c>
    </row>
    <row r="729" spans="1:32" x14ac:dyDescent="0.3">
      <c r="A729" s="1310" t="s">
        <v>1497</v>
      </c>
      <c r="B729" s="1310" t="s">
        <v>122</v>
      </c>
      <c r="C729" s="1310" t="s">
        <v>1569</v>
      </c>
      <c r="D729" s="1310" t="s">
        <v>1451</v>
      </c>
      <c r="E729" s="1310" t="s">
        <v>122</v>
      </c>
      <c r="F729" s="1310" t="s">
        <v>1605</v>
      </c>
      <c r="G729" s="1310" t="s">
        <v>1548</v>
      </c>
      <c r="H729" s="1310" t="s">
        <v>1557</v>
      </c>
      <c r="I729" s="1310" t="s">
        <v>1636</v>
      </c>
      <c r="J729" s="1310" t="s">
        <v>1477</v>
      </c>
      <c r="K729" s="1310" t="s">
        <v>1585</v>
      </c>
      <c r="L729" s="1310" t="s">
        <v>1517</v>
      </c>
      <c r="M729" s="1310" t="s">
        <v>1538</v>
      </c>
      <c r="N729" s="1310" t="s">
        <v>131</v>
      </c>
      <c r="O729" s="1310" t="s">
        <v>1594</v>
      </c>
      <c r="P729" s="1310" t="s">
        <v>1593</v>
      </c>
      <c r="Q729" s="1310" t="s">
        <v>1529</v>
      </c>
      <c r="R729" s="1310" t="s">
        <v>1635</v>
      </c>
      <c r="S729" s="1310" t="s">
        <v>1590</v>
      </c>
      <c r="T729" s="1310" t="s">
        <v>1596</v>
      </c>
      <c r="U729" s="1310" t="s">
        <v>1635</v>
      </c>
      <c r="V729" s="1310" t="s">
        <v>1030</v>
      </c>
      <c r="W729" s="1310" t="s">
        <v>1647</v>
      </c>
      <c r="X729" s="1310" t="s">
        <v>131</v>
      </c>
      <c r="Y729" s="1310" t="s">
        <v>123</v>
      </c>
      <c r="Z729" s="1310" t="s">
        <v>1626</v>
      </c>
      <c r="AA729" s="1310" t="s">
        <v>1527</v>
      </c>
      <c r="AB729" s="1310" t="s">
        <v>1610</v>
      </c>
      <c r="AC729" s="1310" t="s">
        <v>1537</v>
      </c>
      <c r="AD729" s="1310" t="s">
        <v>1593</v>
      </c>
      <c r="AE729" s="1310" t="s">
        <v>126</v>
      </c>
      <c r="AF729" s="1310" t="s">
        <v>1491</v>
      </c>
    </row>
    <row r="730" spans="1:32" x14ac:dyDescent="0.3">
      <c r="A730" s="1310" t="s">
        <v>1627</v>
      </c>
      <c r="B730" s="1310" t="s">
        <v>131</v>
      </c>
      <c r="C730" s="1310" t="s">
        <v>1591</v>
      </c>
      <c r="D730" s="1310" t="s">
        <v>1523</v>
      </c>
      <c r="E730" s="1310" t="s">
        <v>1469</v>
      </c>
      <c r="F730" s="1310" t="s">
        <v>1489</v>
      </c>
      <c r="G730" s="1310" t="s">
        <v>1475</v>
      </c>
      <c r="H730" s="1310" t="s">
        <v>1606</v>
      </c>
      <c r="I730" s="1310" t="s">
        <v>1577</v>
      </c>
      <c r="J730" s="1310" t="s">
        <v>1595</v>
      </c>
      <c r="K730" s="1310" t="s">
        <v>1562</v>
      </c>
      <c r="L730" s="1310" t="s">
        <v>116</v>
      </c>
      <c r="M730" s="1310" t="s">
        <v>1637</v>
      </c>
      <c r="N730" s="1310" t="s">
        <v>1551</v>
      </c>
      <c r="O730" s="1310" t="s">
        <v>1443</v>
      </c>
      <c r="P730" s="1310" t="s">
        <v>1450</v>
      </c>
      <c r="Q730" s="1310" t="s">
        <v>266</v>
      </c>
      <c r="R730" s="1310" t="s">
        <v>1613</v>
      </c>
      <c r="S730" s="1310" t="s">
        <v>1637</v>
      </c>
      <c r="T730" s="1310" t="s">
        <v>268</v>
      </c>
      <c r="U730" s="1310" t="s">
        <v>1506</v>
      </c>
      <c r="V730" s="1310" t="s">
        <v>1494</v>
      </c>
      <c r="W730" s="1310" t="s">
        <v>1603</v>
      </c>
      <c r="X730" s="1310" t="s">
        <v>132</v>
      </c>
      <c r="Y730" s="1310" t="s">
        <v>1520</v>
      </c>
      <c r="Z730" s="1310" t="s">
        <v>1443</v>
      </c>
      <c r="AA730" s="1310" t="s">
        <v>1450</v>
      </c>
      <c r="AB730" s="1310" t="s">
        <v>1541</v>
      </c>
      <c r="AC730" s="1310" t="s">
        <v>1598</v>
      </c>
      <c r="AD730" s="1310" t="s">
        <v>1602</v>
      </c>
      <c r="AE730" s="1310" t="s">
        <v>131</v>
      </c>
      <c r="AF730" s="1310" t="s">
        <v>1484</v>
      </c>
    </row>
    <row r="731" spans="1:32" x14ac:dyDescent="0.3">
      <c r="A731" s="1310" t="s">
        <v>1619</v>
      </c>
      <c r="B731" s="1310" t="s">
        <v>130</v>
      </c>
      <c r="C731" s="1310" t="s">
        <v>1562</v>
      </c>
      <c r="D731" s="1310" t="s">
        <v>1636</v>
      </c>
      <c r="E731" s="1310" t="s">
        <v>113</v>
      </c>
      <c r="F731" s="1310" t="s">
        <v>1568</v>
      </c>
      <c r="G731" s="1310" t="s">
        <v>132</v>
      </c>
      <c r="H731" s="1310" t="s">
        <v>264</v>
      </c>
      <c r="I731" s="1310" t="s">
        <v>132</v>
      </c>
      <c r="J731" s="1310" t="s">
        <v>267</v>
      </c>
      <c r="K731" s="1310" t="s">
        <v>132</v>
      </c>
      <c r="L731" s="1310" t="s">
        <v>1633</v>
      </c>
      <c r="M731" s="1310" t="s">
        <v>1524</v>
      </c>
      <c r="N731" s="1310" t="s">
        <v>131</v>
      </c>
      <c r="O731" s="1310" t="s">
        <v>1635</v>
      </c>
      <c r="P731" s="1310" t="s">
        <v>116</v>
      </c>
      <c r="Q731" s="1310" t="s">
        <v>1561</v>
      </c>
      <c r="R731" s="1310" t="s">
        <v>1516</v>
      </c>
      <c r="S731" s="1310" t="s">
        <v>1535</v>
      </c>
      <c r="T731" s="1310" t="s">
        <v>1644</v>
      </c>
      <c r="U731" s="1310" t="s">
        <v>264</v>
      </c>
      <c r="V731" s="1310" t="s">
        <v>1633</v>
      </c>
      <c r="W731" s="1310" t="s">
        <v>1451</v>
      </c>
      <c r="X731" s="1310" t="s">
        <v>1456</v>
      </c>
      <c r="Y731" s="1310" t="s">
        <v>1652</v>
      </c>
      <c r="Z731" s="1310" t="s">
        <v>1581</v>
      </c>
      <c r="AA731" s="1310" t="s">
        <v>124</v>
      </c>
      <c r="AB731" s="1310" t="s">
        <v>1566</v>
      </c>
      <c r="AC731" s="1310" t="s">
        <v>121</v>
      </c>
      <c r="AD731" s="1310" t="s">
        <v>1503</v>
      </c>
      <c r="AE731" s="1310" t="s">
        <v>1482</v>
      </c>
      <c r="AF731" s="1310" t="s">
        <v>1474</v>
      </c>
    </row>
    <row r="732" spans="1:32" x14ac:dyDescent="0.3">
      <c r="A732" s="1310" t="s">
        <v>1542</v>
      </c>
      <c r="B732" s="1310" t="s">
        <v>1553</v>
      </c>
      <c r="C732" s="1310" t="s">
        <v>1448</v>
      </c>
      <c r="D732" s="1310" t="s">
        <v>1482</v>
      </c>
      <c r="E732" s="1310" t="s">
        <v>1656</v>
      </c>
      <c r="F732" s="1310" t="s">
        <v>1585</v>
      </c>
      <c r="G732" s="1310" t="s">
        <v>1632</v>
      </c>
      <c r="H732" s="1310" t="s">
        <v>1528</v>
      </c>
      <c r="I732" s="1310" t="s">
        <v>1638</v>
      </c>
      <c r="J732" s="1310" t="s">
        <v>1619</v>
      </c>
      <c r="K732" s="1310" t="s">
        <v>1444</v>
      </c>
      <c r="L732" s="1310" t="s">
        <v>1504</v>
      </c>
      <c r="M732" s="1310" t="s">
        <v>1654</v>
      </c>
      <c r="N732" s="1310" t="s">
        <v>119</v>
      </c>
      <c r="O732" s="1310" t="s">
        <v>1522</v>
      </c>
      <c r="P732" s="1310" t="s">
        <v>1595</v>
      </c>
      <c r="Q732" s="1310" t="s">
        <v>1566</v>
      </c>
      <c r="R732" s="1310" t="s">
        <v>120</v>
      </c>
      <c r="S732" s="1310" t="s">
        <v>1468</v>
      </c>
      <c r="T732" s="1310" t="s">
        <v>1611</v>
      </c>
      <c r="U732" s="1310" t="s">
        <v>1606</v>
      </c>
      <c r="V732" s="1310" t="s">
        <v>1610</v>
      </c>
      <c r="W732" s="1310" t="s">
        <v>1517</v>
      </c>
      <c r="X732" s="1310" t="s">
        <v>1612</v>
      </c>
      <c r="Y732" s="1310" t="s">
        <v>1535</v>
      </c>
      <c r="Z732" s="1310" t="s">
        <v>1502</v>
      </c>
      <c r="AA732" s="1310" t="s">
        <v>1541</v>
      </c>
      <c r="AB732" s="1310" t="s">
        <v>1027</v>
      </c>
      <c r="AC732" s="1310" t="s">
        <v>1568</v>
      </c>
      <c r="AD732" s="1310" t="s">
        <v>1566</v>
      </c>
      <c r="AE732" s="1310" t="s">
        <v>1555</v>
      </c>
      <c r="AF732" s="1310" t="s">
        <v>1629</v>
      </c>
    </row>
    <row r="733" spans="1:32" x14ac:dyDescent="0.3">
      <c r="A733" s="1310" t="s">
        <v>1531</v>
      </c>
      <c r="B733" s="1310" t="s">
        <v>128</v>
      </c>
      <c r="C733" s="1310" t="s">
        <v>1629</v>
      </c>
      <c r="D733" s="1310" t="s">
        <v>1521</v>
      </c>
      <c r="E733" s="1310" t="s">
        <v>1609</v>
      </c>
      <c r="F733" s="1310" t="s">
        <v>1615</v>
      </c>
      <c r="G733" s="1310" t="s">
        <v>1647</v>
      </c>
      <c r="H733" s="1310" t="s">
        <v>1583</v>
      </c>
      <c r="I733" s="1310" t="s">
        <v>6</v>
      </c>
      <c r="J733" s="1310" t="s">
        <v>1498</v>
      </c>
      <c r="K733" s="1310" t="s">
        <v>1563</v>
      </c>
      <c r="L733" s="1310" t="s">
        <v>1593</v>
      </c>
      <c r="M733" s="1310" t="s">
        <v>1514</v>
      </c>
      <c r="N733" s="1310" t="s">
        <v>1524</v>
      </c>
      <c r="O733" s="1310" t="s">
        <v>1576</v>
      </c>
      <c r="P733" s="1310" t="s">
        <v>1583</v>
      </c>
      <c r="Q733" s="1310" t="s">
        <v>1579</v>
      </c>
      <c r="R733" s="1310" t="s">
        <v>127</v>
      </c>
      <c r="S733" s="1310" t="s">
        <v>1443</v>
      </c>
      <c r="T733" s="1310" t="s">
        <v>1450</v>
      </c>
      <c r="U733" s="1310" t="s">
        <v>1631</v>
      </c>
      <c r="V733" s="1310" t="s">
        <v>1544</v>
      </c>
      <c r="W733" s="1310" t="s">
        <v>1641</v>
      </c>
      <c r="X733" s="1310" t="s">
        <v>1574</v>
      </c>
      <c r="Y733" s="1310" t="s">
        <v>1559</v>
      </c>
      <c r="Z733" s="1310" t="s">
        <v>268</v>
      </c>
      <c r="AA733" s="1310" t="s">
        <v>1543</v>
      </c>
      <c r="AB733" s="1310" t="s">
        <v>1576</v>
      </c>
      <c r="AC733" s="1310" t="s">
        <v>1464</v>
      </c>
      <c r="AD733" s="1310" t="s">
        <v>1480</v>
      </c>
      <c r="AE733" s="1310" t="s">
        <v>132</v>
      </c>
      <c r="AF733" s="1310" t="s">
        <v>127</v>
      </c>
    </row>
    <row r="734" spans="1:32" x14ac:dyDescent="0.3">
      <c r="A734" s="1310" t="s">
        <v>1648</v>
      </c>
      <c r="B734" s="1310" t="s">
        <v>1443</v>
      </c>
      <c r="C734" s="1310" t="s">
        <v>1450</v>
      </c>
      <c r="D734" s="1310" t="s">
        <v>132</v>
      </c>
      <c r="E734" s="1310" t="s">
        <v>1556</v>
      </c>
      <c r="F734" s="1310" t="s">
        <v>1602</v>
      </c>
      <c r="G734" s="1310" t="s">
        <v>132</v>
      </c>
      <c r="H734" s="1310" t="s">
        <v>1578</v>
      </c>
      <c r="I734" s="1310" t="s">
        <v>1619</v>
      </c>
      <c r="J734" s="1310" t="s">
        <v>1457</v>
      </c>
      <c r="K734" s="1310" t="s">
        <v>1445</v>
      </c>
      <c r="L734" s="1310" t="s">
        <v>1596</v>
      </c>
      <c r="M734" s="1310" t="s">
        <v>1618</v>
      </c>
      <c r="N734" s="1310" t="s">
        <v>1575</v>
      </c>
      <c r="O734" s="1310" t="s">
        <v>1491</v>
      </c>
      <c r="P734" s="1310" t="s">
        <v>1644</v>
      </c>
      <c r="Q734" s="1310" t="s">
        <v>1448</v>
      </c>
      <c r="R734" s="1310" t="s">
        <v>1562</v>
      </c>
      <c r="S734" s="1310" t="s">
        <v>1460</v>
      </c>
      <c r="T734" s="1310" t="s">
        <v>1637</v>
      </c>
      <c r="U734" s="1310" t="s">
        <v>1626</v>
      </c>
      <c r="V734" s="1310" t="s">
        <v>1625</v>
      </c>
      <c r="W734" s="1310" t="s">
        <v>1659</v>
      </c>
      <c r="X734" s="1310" t="s">
        <v>1536</v>
      </c>
      <c r="Y734" s="1310" t="s">
        <v>1481</v>
      </c>
      <c r="Z734" s="1310" t="s">
        <v>1448</v>
      </c>
      <c r="AA734" s="1310" t="s">
        <v>1460</v>
      </c>
      <c r="AB734" s="1310" t="s">
        <v>1563</v>
      </c>
      <c r="AC734" s="1310" t="s">
        <v>1502</v>
      </c>
      <c r="AD734" s="1310" t="s">
        <v>1477</v>
      </c>
      <c r="AE734" s="1310" t="s">
        <v>1584</v>
      </c>
      <c r="AF734" s="1310" t="s">
        <v>1521</v>
      </c>
    </row>
    <row r="735" spans="1:32" x14ac:dyDescent="0.3">
      <c r="A735" s="1310" t="s">
        <v>1596</v>
      </c>
      <c r="B735" s="1310" t="s">
        <v>1658</v>
      </c>
      <c r="C735" s="1310" t="s">
        <v>1489</v>
      </c>
      <c r="D735" s="1310" t="s">
        <v>1658</v>
      </c>
      <c r="E735" s="1310" t="s">
        <v>1563</v>
      </c>
      <c r="F735" s="1310" t="s">
        <v>1534</v>
      </c>
      <c r="G735" s="1310" t="s">
        <v>1652</v>
      </c>
      <c r="H735" s="1310" t="s">
        <v>1466</v>
      </c>
      <c r="I735" s="1310" t="s">
        <v>1575</v>
      </c>
      <c r="J735" s="1310" t="s">
        <v>1596</v>
      </c>
      <c r="K735" s="1310" t="s">
        <v>1556</v>
      </c>
      <c r="L735" s="1310" t="s">
        <v>1620</v>
      </c>
      <c r="M735" s="1310" t="s">
        <v>1657</v>
      </c>
      <c r="N735" s="1310" t="s">
        <v>1628</v>
      </c>
      <c r="O735" s="1310" t="s">
        <v>1585</v>
      </c>
      <c r="P735" s="1310" t="s">
        <v>268</v>
      </c>
      <c r="Q735" s="1310" t="s">
        <v>1547</v>
      </c>
      <c r="R735" s="1310" t="s">
        <v>1591</v>
      </c>
      <c r="S735" s="1310" t="s">
        <v>1638</v>
      </c>
      <c r="T735" s="1310" t="s">
        <v>1659</v>
      </c>
      <c r="U735" s="1310" t="s">
        <v>1640</v>
      </c>
      <c r="V735" s="1310" t="s">
        <v>1639</v>
      </c>
      <c r="W735" s="1310" t="s">
        <v>1559</v>
      </c>
      <c r="X735" s="1310" t="s">
        <v>465</v>
      </c>
      <c r="Y735" s="1310" t="s">
        <v>1027</v>
      </c>
      <c r="Z735" s="1310" t="s">
        <v>1619</v>
      </c>
      <c r="AA735" s="1310" t="s">
        <v>1633</v>
      </c>
      <c r="AB735" s="1310" t="s">
        <v>1628</v>
      </c>
      <c r="AC735" s="1310" t="s">
        <v>1457</v>
      </c>
      <c r="AD735" s="1310" t="s">
        <v>1565</v>
      </c>
      <c r="AE735" s="1310" t="s">
        <v>1484</v>
      </c>
      <c r="AF735" s="1310" t="s">
        <v>1475</v>
      </c>
    </row>
    <row r="736" spans="1:32" x14ac:dyDescent="0.3">
      <c r="A736" s="1310" t="s">
        <v>1600</v>
      </c>
      <c r="B736" s="1310" t="s">
        <v>1587</v>
      </c>
      <c r="C736" s="1310" t="s">
        <v>1600</v>
      </c>
      <c r="D736" s="1310" t="s">
        <v>1546</v>
      </c>
      <c r="E736" s="1310" t="s">
        <v>1570</v>
      </c>
      <c r="F736" s="1310" t="s">
        <v>1594</v>
      </c>
      <c r="G736" s="1310" t="s">
        <v>1599</v>
      </c>
      <c r="H736" s="1310" t="s">
        <v>1456</v>
      </c>
      <c r="I736" s="1310" t="s">
        <v>465</v>
      </c>
      <c r="J736" s="1310" t="s">
        <v>1643</v>
      </c>
      <c r="K736" s="1310" t="s">
        <v>1526</v>
      </c>
      <c r="L736" s="1310" t="s">
        <v>1506</v>
      </c>
      <c r="M736" s="1310" t="s">
        <v>116</v>
      </c>
      <c r="N736" s="1310" t="s">
        <v>1459</v>
      </c>
      <c r="O736" s="1310" t="s">
        <v>1503</v>
      </c>
      <c r="P736" s="1310" t="s">
        <v>1573</v>
      </c>
      <c r="Q736" s="1310" t="s">
        <v>1549</v>
      </c>
      <c r="R736" s="1310" t="s">
        <v>1501</v>
      </c>
      <c r="S736" s="1310" t="s">
        <v>1543</v>
      </c>
      <c r="T736" s="1310" t="s">
        <v>1443</v>
      </c>
      <c r="U736" s="1310" t="s">
        <v>1450</v>
      </c>
      <c r="V736" s="1310" t="s">
        <v>1601</v>
      </c>
      <c r="W736" s="1310" t="s">
        <v>1510</v>
      </c>
      <c r="X736" s="1310" t="s">
        <v>1443</v>
      </c>
      <c r="Y736" s="1310" t="s">
        <v>1450</v>
      </c>
      <c r="Z736" s="1310" t="s">
        <v>128</v>
      </c>
      <c r="AA736" s="1310" t="s">
        <v>1444</v>
      </c>
      <c r="AB736" s="1310" t="s">
        <v>1560</v>
      </c>
      <c r="AC736" s="1310" t="s">
        <v>1517</v>
      </c>
      <c r="AD736" s="1310" t="s">
        <v>1531</v>
      </c>
      <c r="AE736" s="1310" t="s">
        <v>1598</v>
      </c>
      <c r="AF736" s="1310" t="s">
        <v>1604</v>
      </c>
    </row>
    <row r="737" spans="1:32" x14ac:dyDescent="0.3">
      <c r="A737" s="1310" t="s">
        <v>1443</v>
      </c>
      <c r="B737" s="1310" t="s">
        <v>1450</v>
      </c>
      <c r="C737" s="1310" t="s">
        <v>1628</v>
      </c>
      <c r="D737" s="1310" t="s">
        <v>1626</v>
      </c>
      <c r="E737" s="1310" t="s">
        <v>1625</v>
      </c>
      <c r="F737" s="1310" t="s">
        <v>131</v>
      </c>
      <c r="G737" s="1310" t="s">
        <v>1633</v>
      </c>
      <c r="H737" s="1310" t="s">
        <v>1612</v>
      </c>
      <c r="I737" s="1310" t="s">
        <v>1458</v>
      </c>
      <c r="J737" s="1310" t="s">
        <v>1443</v>
      </c>
      <c r="K737" s="1310" t="s">
        <v>1450</v>
      </c>
      <c r="L737" s="1310" t="s">
        <v>1559</v>
      </c>
      <c r="M737" s="1310" t="s">
        <v>1619</v>
      </c>
      <c r="N737" s="1310" t="s">
        <v>1517</v>
      </c>
      <c r="O737" s="1310" t="s">
        <v>1612</v>
      </c>
      <c r="P737" s="1310" t="s">
        <v>1479</v>
      </c>
      <c r="Q737" s="1310" t="s">
        <v>1580</v>
      </c>
      <c r="R737" s="1310" t="s">
        <v>1579</v>
      </c>
      <c r="S737" s="1310" t="s">
        <v>1594</v>
      </c>
      <c r="T737" s="1310" t="s">
        <v>1488</v>
      </c>
      <c r="U737" s="1310" t="s">
        <v>1596</v>
      </c>
      <c r="V737" s="1310" t="s">
        <v>1617</v>
      </c>
      <c r="W737" s="1310" t="s">
        <v>1602</v>
      </c>
      <c r="X737" s="1310" t="s">
        <v>6</v>
      </c>
      <c r="Y737" s="1310" t="s">
        <v>1602</v>
      </c>
      <c r="Z737" s="1310" t="s">
        <v>1489</v>
      </c>
      <c r="AA737" s="1310" t="s">
        <v>1579</v>
      </c>
      <c r="AB737" s="1310" t="s">
        <v>1500</v>
      </c>
      <c r="AC737" s="1310" t="s">
        <v>1607</v>
      </c>
      <c r="AD737" s="1310" t="s">
        <v>1636</v>
      </c>
      <c r="AE737" s="1310" t="s">
        <v>1480</v>
      </c>
      <c r="AF737" s="1310" t="s">
        <v>1474</v>
      </c>
    </row>
    <row r="738" spans="1:32" x14ac:dyDescent="0.3">
      <c r="A738" s="1310" t="s">
        <v>1648</v>
      </c>
      <c r="B738" s="1310" t="s">
        <v>1567</v>
      </c>
      <c r="C738" s="1310" t="s">
        <v>1659</v>
      </c>
      <c r="D738" s="1310" t="s">
        <v>1592</v>
      </c>
      <c r="E738" s="1310" t="s">
        <v>1611</v>
      </c>
      <c r="F738" s="1310" t="s">
        <v>128</v>
      </c>
      <c r="G738" s="1310" t="s">
        <v>1443</v>
      </c>
      <c r="H738" s="1310" t="s">
        <v>1450</v>
      </c>
      <c r="I738" s="1310" t="s">
        <v>1637</v>
      </c>
      <c r="J738" s="1310" t="s">
        <v>1456</v>
      </c>
      <c r="K738" s="1310" t="s">
        <v>268</v>
      </c>
      <c r="L738" s="1310" t="s">
        <v>1582</v>
      </c>
      <c r="M738" s="1310" t="s">
        <v>123</v>
      </c>
      <c r="N738" s="1310" t="s">
        <v>1603</v>
      </c>
      <c r="O738" s="1310" t="s">
        <v>122</v>
      </c>
      <c r="P738" s="1310" t="s">
        <v>1569</v>
      </c>
      <c r="Q738" s="1310" t="s">
        <v>1519</v>
      </c>
      <c r="R738" s="1310" t="s">
        <v>115</v>
      </c>
      <c r="S738" s="1310" t="s">
        <v>1628</v>
      </c>
      <c r="T738" s="1310" t="s">
        <v>1609</v>
      </c>
      <c r="U738" s="1310" t="s">
        <v>1551</v>
      </c>
      <c r="V738" s="1310" t="s">
        <v>1589</v>
      </c>
      <c r="W738" s="1310" t="s">
        <v>1554</v>
      </c>
      <c r="X738" s="1310" t="s">
        <v>116</v>
      </c>
      <c r="Y738" s="1310" t="s">
        <v>117</v>
      </c>
      <c r="Z738" s="1310" t="s">
        <v>1518</v>
      </c>
      <c r="AA738" s="1310" t="s">
        <v>1571</v>
      </c>
      <c r="AB738" s="1310" t="s">
        <v>1582</v>
      </c>
      <c r="AC738" s="1310" t="s">
        <v>1527</v>
      </c>
      <c r="AD738" s="1310" t="s">
        <v>1565</v>
      </c>
      <c r="AE738" s="1310" t="s">
        <v>1658</v>
      </c>
      <c r="AF738" s="1310" t="s">
        <v>1464</v>
      </c>
    </row>
    <row r="739" spans="1:32" x14ac:dyDescent="0.3">
      <c r="A739" s="1310" t="s">
        <v>1617</v>
      </c>
      <c r="B739" s="1310" t="s">
        <v>112</v>
      </c>
      <c r="C739" s="1310" t="s">
        <v>1583</v>
      </c>
      <c r="D739" s="1310" t="s">
        <v>1501</v>
      </c>
      <c r="E739" s="1310" t="s">
        <v>1617</v>
      </c>
      <c r="F739" s="1310" t="s">
        <v>121</v>
      </c>
      <c r="G739" s="1310" t="s">
        <v>1443</v>
      </c>
      <c r="H739" s="1310" t="s">
        <v>1450</v>
      </c>
      <c r="I739" s="1310" t="s">
        <v>1514</v>
      </c>
      <c r="J739" s="1310" t="s">
        <v>116</v>
      </c>
      <c r="K739" s="1310" t="s">
        <v>116</v>
      </c>
      <c r="L739" s="1310" t="s">
        <v>1469</v>
      </c>
      <c r="M739" s="1310" t="s">
        <v>1555</v>
      </c>
      <c r="N739" s="1310" t="s">
        <v>1623</v>
      </c>
      <c r="O739" s="1310" t="s">
        <v>1473</v>
      </c>
      <c r="P739" s="1310" t="s">
        <v>1604</v>
      </c>
      <c r="Q739" s="1310" t="s">
        <v>1030</v>
      </c>
      <c r="R739" s="1310" t="s">
        <v>1534</v>
      </c>
      <c r="S739" s="1310" t="s">
        <v>1613</v>
      </c>
      <c r="T739" s="1310" t="s">
        <v>130</v>
      </c>
      <c r="U739" s="1310" t="s">
        <v>1541</v>
      </c>
      <c r="V739" s="1310" t="s">
        <v>1537</v>
      </c>
      <c r="W739" s="1310" t="s">
        <v>1486</v>
      </c>
      <c r="X739" s="1310" t="s">
        <v>1466</v>
      </c>
      <c r="Y739" s="1310" t="s">
        <v>1587</v>
      </c>
      <c r="Z739" s="1310" t="s">
        <v>1488</v>
      </c>
      <c r="AA739" s="1310" t="s">
        <v>1584</v>
      </c>
      <c r="AB739" s="1310" t="s">
        <v>1639</v>
      </c>
      <c r="AC739" s="1310" t="s">
        <v>1490</v>
      </c>
      <c r="AD739" s="1310" t="s">
        <v>1475</v>
      </c>
      <c r="AE739" s="1310" t="s">
        <v>1572</v>
      </c>
      <c r="AF739" s="1310" t="s">
        <v>1622</v>
      </c>
    </row>
    <row r="740" spans="1:32" x14ac:dyDescent="0.3">
      <c r="A740" s="1310" t="s">
        <v>129</v>
      </c>
      <c r="B740" s="1310" t="s">
        <v>1525</v>
      </c>
      <c r="C740" s="1310" t="s">
        <v>1575</v>
      </c>
      <c r="D740" s="1310" t="s">
        <v>1458</v>
      </c>
      <c r="E740" s="1310" t="s">
        <v>1534</v>
      </c>
      <c r="F740" s="1310" t="s">
        <v>1494</v>
      </c>
      <c r="G740" s="1310" t="s">
        <v>1612</v>
      </c>
      <c r="H740" s="1310" t="s">
        <v>1622</v>
      </c>
      <c r="I740" s="1310" t="s">
        <v>1547</v>
      </c>
      <c r="J740" s="1310" t="s">
        <v>1454</v>
      </c>
      <c r="K740" s="1310" t="s">
        <v>1539</v>
      </c>
      <c r="L740" s="1310" t="s">
        <v>1565</v>
      </c>
      <c r="M740" s="1310" t="s">
        <v>1509</v>
      </c>
      <c r="N740" s="1310" t="s">
        <v>1595</v>
      </c>
      <c r="O740" s="1310" t="s">
        <v>1630</v>
      </c>
      <c r="P740" s="1310" t="s">
        <v>1548</v>
      </c>
      <c r="Q740" s="1310" t="s">
        <v>1545</v>
      </c>
      <c r="R740" s="1310" t="s">
        <v>1589</v>
      </c>
      <c r="S740" s="1310" t="s">
        <v>1608</v>
      </c>
      <c r="T740" s="1310" t="s">
        <v>1545</v>
      </c>
      <c r="U740" s="1310" t="s">
        <v>117</v>
      </c>
      <c r="V740" s="1310" t="s">
        <v>1448</v>
      </c>
      <c r="W740" s="1310" t="s">
        <v>1500</v>
      </c>
      <c r="X740" s="1310" t="s">
        <v>1576</v>
      </c>
      <c r="Y740" s="1310" t="s">
        <v>1567</v>
      </c>
      <c r="Z740" s="1310" t="s">
        <v>1660</v>
      </c>
      <c r="AA740" s="1310" t="s">
        <v>1532</v>
      </c>
      <c r="AB740" s="1310" t="s">
        <v>1477</v>
      </c>
      <c r="AC740" s="1310" t="s">
        <v>111</v>
      </c>
      <c r="AD740" s="1310" t="s">
        <v>1566</v>
      </c>
      <c r="AE740" s="1310" t="s">
        <v>1568</v>
      </c>
      <c r="AF740" s="1310" t="s">
        <v>1482</v>
      </c>
    </row>
    <row r="741" spans="1:32" x14ac:dyDescent="0.3">
      <c r="A741" s="1310" t="s">
        <v>1552</v>
      </c>
      <c r="B741" s="1310" t="s">
        <v>1466</v>
      </c>
      <c r="C741" s="1310" t="s">
        <v>1604</v>
      </c>
      <c r="D741" s="1310" t="s">
        <v>1603</v>
      </c>
      <c r="E741" s="1310" t="s">
        <v>1509</v>
      </c>
      <c r="F741" s="1310" t="s">
        <v>1544</v>
      </c>
      <c r="G741" s="1310" t="s">
        <v>1592</v>
      </c>
      <c r="H741" s="1310" t="s">
        <v>1573</v>
      </c>
      <c r="I741" s="1310" t="s">
        <v>1649</v>
      </c>
      <c r="J741" s="1310" t="s">
        <v>1613</v>
      </c>
      <c r="K741" s="1310" t="s">
        <v>1460</v>
      </c>
      <c r="L741" s="1310" t="s">
        <v>1539</v>
      </c>
      <c r="M741" s="1310" t="s">
        <v>1637</v>
      </c>
      <c r="N741" s="1310" t="s">
        <v>133</v>
      </c>
      <c r="O741" s="1310" t="s">
        <v>1640</v>
      </c>
      <c r="P741" s="1310" t="s">
        <v>1517</v>
      </c>
      <c r="Q741" s="1310" t="s">
        <v>1523</v>
      </c>
      <c r="R741" s="1310" t="s">
        <v>1456</v>
      </c>
      <c r="S741" s="1310" t="s">
        <v>1449</v>
      </c>
      <c r="T741" s="1310" t="s">
        <v>112</v>
      </c>
      <c r="U741" s="1310" t="s">
        <v>1608</v>
      </c>
      <c r="V741" s="1310" t="s">
        <v>1457</v>
      </c>
      <c r="W741" s="1310" t="s">
        <v>1480</v>
      </c>
      <c r="X741" s="1310" t="s">
        <v>1465</v>
      </c>
      <c r="Y741" s="1310" t="s">
        <v>126</v>
      </c>
      <c r="Z741" s="1310" t="s">
        <v>1558</v>
      </c>
      <c r="AA741" s="1310" t="s">
        <v>1483</v>
      </c>
      <c r="AB741" s="1310" t="s">
        <v>1547</v>
      </c>
      <c r="AC741" s="1310" t="s">
        <v>1448</v>
      </c>
      <c r="AD741" s="1310" t="s">
        <v>1602</v>
      </c>
      <c r="AE741" s="1310" t="s">
        <v>1564</v>
      </c>
      <c r="AF741" s="1310" t="s">
        <v>1482</v>
      </c>
    </row>
    <row r="742" spans="1:32" x14ac:dyDescent="0.3">
      <c r="A742" s="1310" t="s">
        <v>1570</v>
      </c>
      <c r="B742" s="1310" t="s">
        <v>1548</v>
      </c>
      <c r="C742" s="1310" t="s">
        <v>1454</v>
      </c>
      <c r="D742" s="1310" t="s">
        <v>1464</v>
      </c>
      <c r="E742" s="1310" t="s">
        <v>1620</v>
      </c>
      <c r="F742" s="1310" t="s">
        <v>1534</v>
      </c>
      <c r="G742" s="1310" t="s">
        <v>264</v>
      </c>
      <c r="H742" s="1310" t="s">
        <v>1487</v>
      </c>
      <c r="I742" s="1310" t="s">
        <v>114</v>
      </c>
      <c r="J742" s="1310" t="s">
        <v>114</v>
      </c>
      <c r="K742" s="1310" t="s">
        <v>269</v>
      </c>
      <c r="L742" s="1310" t="s">
        <v>268</v>
      </c>
      <c r="M742" s="1310" t="s">
        <v>1617</v>
      </c>
      <c r="N742" s="1310" t="s">
        <v>111</v>
      </c>
      <c r="O742" s="1310" t="s">
        <v>1637</v>
      </c>
      <c r="P742" s="1310" t="s">
        <v>1463</v>
      </c>
      <c r="Q742" s="1310" t="s">
        <v>1516</v>
      </c>
      <c r="R742" s="1310" t="s">
        <v>1560</v>
      </c>
      <c r="S742" s="1310" t="s">
        <v>1625</v>
      </c>
      <c r="T742" s="1310" t="s">
        <v>1538</v>
      </c>
      <c r="U742" s="1310" t="s">
        <v>1649</v>
      </c>
      <c r="V742" s="1310" t="s">
        <v>1462</v>
      </c>
      <c r="W742" s="1310" t="s">
        <v>269</v>
      </c>
      <c r="X742" s="1310" t="s">
        <v>1604</v>
      </c>
      <c r="Y742" s="1310" t="s">
        <v>1642</v>
      </c>
      <c r="Z742" s="1310" t="s">
        <v>1470</v>
      </c>
      <c r="AA742" s="1310" t="s">
        <v>1475</v>
      </c>
      <c r="AB742" s="1310" t="s">
        <v>1643</v>
      </c>
      <c r="AC742" s="1310" t="s">
        <v>1515</v>
      </c>
      <c r="AD742" s="1310" t="s">
        <v>1529</v>
      </c>
      <c r="AE742" s="1310" t="s">
        <v>1483</v>
      </c>
      <c r="AF742" s="1310" t="s">
        <v>1543</v>
      </c>
    </row>
    <row r="743" spans="1:32" x14ac:dyDescent="0.3">
      <c r="A743" s="1310" t="s">
        <v>1656</v>
      </c>
      <c r="B743" s="1310" t="s">
        <v>1515</v>
      </c>
      <c r="C743" s="1310" t="s">
        <v>1630</v>
      </c>
      <c r="D743" s="1310" t="s">
        <v>132</v>
      </c>
      <c r="E743" s="1310" t="s">
        <v>1475</v>
      </c>
      <c r="F743" s="1310" t="s">
        <v>1469</v>
      </c>
      <c r="G743" s="1310" t="s">
        <v>1586</v>
      </c>
      <c r="H743" s="1310" t="s">
        <v>1522</v>
      </c>
      <c r="I743" s="1310" t="s">
        <v>1463</v>
      </c>
      <c r="J743" s="1310" t="s">
        <v>1538</v>
      </c>
      <c r="K743" s="1310" t="s">
        <v>118</v>
      </c>
      <c r="L743" s="1310" t="s">
        <v>1542</v>
      </c>
      <c r="M743" s="1310" t="s">
        <v>1646</v>
      </c>
      <c r="N743" s="1310" t="s">
        <v>1030</v>
      </c>
      <c r="O743" s="1310" t="s">
        <v>1548</v>
      </c>
      <c r="P743" s="1310" t="s">
        <v>471</v>
      </c>
      <c r="Q743" s="1310" t="s">
        <v>1479</v>
      </c>
      <c r="R743" s="1310" t="s">
        <v>1610</v>
      </c>
      <c r="S743" s="1310" t="s">
        <v>1447</v>
      </c>
      <c r="T743" s="1310" t="s">
        <v>1491</v>
      </c>
      <c r="U743" s="1310" t="s">
        <v>1513</v>
      </c>
      <c r="V743" s="1310" t="s">
        <v>1543</v>
      </c>
      <c r="W743" s="1310" t="s">
        <v>1543</v>
      </c>
      <c r="X743" s="1310" t="s">
        <v>264</v>
      </c>
      <c r="Y743" s="1310" t="s">
        <v>1616</v>
      </c>
      <c r="Z743" s="1310" t="s">
        <v>1516</v>
      </c>
      <c r="AA743" s="1310" t="s">
        <v>1460</v>
      </c>
      <c r="AB743" s="1310" t="s">
        <v>1654</v>
      </c>
      <c r="AC743" s="1310" t="s">
        <v>471</v>
      </c>
      <c r="AD743" s="1310" t="s">
        <v>1474</v>
      </c>
      <c r="AE743" s="1310" t="s">
        <v>1465</v>
      </c>
      <c r="AF743" s="1310" t="s">
        <v>1549</v>
      </c>
    </row>
    <row r="744" spans="1:32" x14ac:dyDescent="0.3">
      <c r="A744" s="1310" t="s">
        <v>1570</v>
      </c>
      <c r="B744" s="1310" t="s">
        <v>132</v>
      </c>
      <c r="C744" s="1310" t="s">
        <v>1451</v>
      </c>
      <c r="D744" s="1310" t="s">
        <v>1642</v>
      </c>
      <c r="E744" s="1310" t="s">
        <v>1601</v>
      </c>
      <c r="F744" s="1310" t="s">
        <v>1468</v>
      </c>
      <c r="G744" s="1310" t="s">
        <v>1505</v>
      </c>
      <c r="H744" s="1310" t="s">
        <v>1539</v>
      </c>
      <c r="I744" s="1310" t="s">
        <v>1507</v>
      </c>
      <c r="J744" s="1310" t="s">
        <v>1504</v>
      </c>
      <c r="K744" s="1310" t="s">
        <v>1558</v>
      </c>
      <c r="L744" s="1310" t="s">
        <v>1446</v>
      </c>
      <c r="M744" s="1310" t="s">
        <v>1542</v>
      </c>
      <c r="N744" s="1310" t="s">
        <v>117</v>
      </c>
      <c r="O744" s="1310" t="s">
        <v>1528</v>
      </c>
      <c r="P744" s="1310" t="s">
        <v>1444</v>
      </c>
      <c r="Q744" s="1310" t="s">
        <v>1483</v>
      </c>
      <c r="R744" s="1310" t="s">
        <v>1445</v>
      </c>
      <c r="S744" s="1310" t="s">
        <v>1446</v>
      </c>
      <c r="T744" s="1310" t="s">
        <v>1459</v>
      </c>
      <c r="U744" s="1310" t="s">
        <v>1584</v>
      </c>
      <c r="V744" s="1310" t="s">
        <v>1490</v>
      </c>
      <c r="W744" s="1310" t="s">
        <v>122</v>
      </c>
      <c r="X744" s="1310" t="s">
        <v>1027</v>
      </c>
      <c r="Y744" s="1310" t="s">
        <v>465</v>
      </c>
      <c r="Z744" s="1310" t="s">
        <v>1451</v>
      </c>
      <c r="AA744" s="1310" t="s">
        <v>116</v>
      </c>
      <c r="AB744" s="1310" t="s">
        <v>1586</v>
      </c>
      <c r="AC744" s="1310" t="s">
        <v>1463</v>
      </c>
      <c r="AD744" s="1310" t="s">
        <v>1484</v>
      </c>
      <c r="AE744" s="1310" t="s">
        <v>123</v>
      </c>
      <c r="AF744" s="1310" t="s">
        <v>1504</v>
      </c>
    </row>
    <row r="745" spans="1:32" x14ac:dyDescent="0.3">
      <c r="A745" s="1310" t="s">
        <v>1539</v>
      </c>
      <c r="B745" s="1310" t="s">
        <v>1532</v>
      </c>
      <c r="C745" s="1310" t="s">
        <v>1520</v>
      </c>
      <c r="D745" s="1310" t="s">
        <v>1566</v>
      </c>
      <c r="E745" s="1310" t="s">
        <v>1621</v>
      </c>
      <c r="F745" s="1310" t="s">
        <v>1539</v>
      </c>
      <c r="G745" s="1310" t="s">
        <v>1640</v>
      </c>
      <c r="H745" s="1310" t="s">
        <v>1539</v>
      </c>
      <c r="I745" s="1310" t="s">
        <v>1576</v>
      </c>
      <c r="J745" s="1310" t="s">
        <v>1635</v>
      </c>
      <c r="K745" s="1310" t="s">
        <v>1443</v>
      </c>
      <c r="L745" s="1310" t="s">
        <v>1450</v>
      </c>
      <c r="M745" s="1310" t="s">
        <v>268</v>
      </c>
      <c r="N745" s="1310" t="s">
        <v>1526</v>
      </c>
      <c r="O745" s="1310" t="s">
        <v>124</v>
      </c>
      <c r="P745" s="1310" t="s">
        <v>1588</v>
      </c>
      <c r="Q745" s="1310" t="s">
        <v>1504</v>
      </c>
      <c r="R745" s="1310" t="s">
        <v>1627</v>
      </c>
      <c r="S745" s="1310" t="s">
        <v>1494</v>
      </c>
      <c r="T745" s="1310" t="s">
        <v>1501</v>
      </c>
      <c r="U745" s="1310" t="s">
        <v>1625</v>
      </c>
      <c r="V745" s="1310" t="s">
        <v>1635</v>
      </c>
      <c r="W745" s="1310" t="s">
        <v>1571</v>
      </c>
      <c r="X745" s="1310" t="s">
        <v>1462</v>
      </c>
      <c r="Y745" s="1310" t="s">
        <v>1453</v>
      </c>
      <c r="Z745" s="1310" t="s">
        <v>1611</v>
      </c>
      <c r="AA745" s="1310" t="s">
        <v>1543</v>
      </c>
      <c r="AB745" s="1310" t="s">
        <v>129</v>
      </c>
      <c r="AC745" s="1310" t="s">
        <v>1521</v>
      </c>
      <c r="AD745" s="1310" t="s">
        <v>1618</v>
      </c>
      <c r="AE745" s="1310" t="s">
        <v>1475</v>
      </c>
      <c r="AF745" s="1310" t="s">
        <v>1589</v>
      </c>
    </row>
    <row r="746" spans="1:32" x14ac:dyDescent="0.3">
      <c r="A746" s="1310" t="s">
        <v>1566</v>
      </c>
      <c r="B746" s="1310" t="s">
        <v>1600</v>
      </c>
      <c r="C746" s="1310" t="s">
        <v>1565</v>
      </c>
      <c r="D746" s="1310" t="s">
        <v>1643</v>
      </c>
      <c r="E746" s="1310" t="s">
        <v>1464</v>
      </c>
      <c r="F746" s="1310" t="s">
        <v>1638</v>
      </c>
      <c r="G746" s="1310" t="s">
        <v>1533</v>
      </c>
      <c r="H746" s="1310" t="s">
        <v>1455</v>
      </c>
      <c r="I746" s="1310" t="s">
        <v>1566</v>
      </c>
      <c r="J746" s="1310" t="s">
        <v>1482</v>
      </c>
      <c r="K746" s="1310" t="s">
        <v>1516</v>
      </c>
      <c r="L746" s="1310" t="s">
        <v>125</v>
      </c>
      <c r="M746" s="1310" t="s">
        <v>1537</v>
      </c>
      <c r="N746" s="1310" t="s">
        <v>1595</v>
      </c>
      <c r="O746" s="1310" t="s">
        <v>1529</v>
      </c>
      <c r="P746" s="1310" t="s">
        <v>1479</v>
      </c>
      <c r="Q746" s="1310" t="s">
        <v>1568</v>
      </c>
      <c r="R746" s="1310" t="s">
        <v>1635</v>
      </c>
      <c r="S746" s="1310" t="s">
        <v>1483</v>
      </c>
      <c r="T746" s="1310" t="s">
        <v>1497</v>
      </c>
      <c r="U746" s="1310" t="s">
        <v>1470</v>
      </c>
      <c r="V746" s="1310" t="s">
        <v>1482</v>
      </c>
      <c r="W746" s="1310" t="s">
        <v>1466</v>
      </c>
      <c r="X746" s="1310" t="s">
        <v>1455</v>
      </c>
      <c r="Y746" s="1310" t="s">
        <v>1486</v>
      </c>
      <c r="Z746" s="1310" t="s">
        <v>465</v>
      </c>
      <c r="AA746" s="1310" t="s">
        <v>1539</v>
      </c>
      <c r="AB746" s="1310" t="s">
        <v>1538</v>
      </c>
      <c r="AC746" s="1310" t="s">
        <v>1603</v>
      </c>
      <c r="AD746" s="1310" t="s">
        <v>1495</v>
      </c>
      <c r="AE746" s="1310" t="s">
        <v>262</v>
      </c>
      <c r="AF746" s="1310" t="s">
        <v>1579</v>
      </c>
    </row>
    <row r="747" spans="1:32" x14ac:dyDescent="0.3">
      <c r="A747" s="1310" t="s">
        <v>1649</v>
      </c>
      <c r="B747" s="1310" t="s">
        <v>1514</v>
      </c>
      <c r="C747" s="1310" t="s">
        <v>1581</v>
      </c>
      <c r="D747" s="1310" t="s">
        <v>1642</v>
      </c>
      <c r="E747" s="1310" t="s">
        <v>1604</v>
      </c>
      <c r="F747" s="1310" t="s">
        <v>1541</v>
      </c>
      <c r="G747" s="1310" t="s">
        <v>1556</v>
      </c>
      <c r="H747" s="1310" t="s">
        <v>1625</v>
      </c>
      <c r="I747" s="1310" t="s">
        <v>1486</v>
      </c>
      <c r="J747" s="1310" t="s">
        <v>1558</v>
      </c>
      <c r="K747" s="1310" t="s">
        <v>1480</v>
      </c>
      <c r="L747" s="1310" t="s">
        <v>1576</v>
      </c>
      <c r="M747" s="1310" t="s">
        <v>1455</v>
      </c>
      <c r="N747" s="1310" t="s">
        <v>1574</v>
      </c>
      <c r="O747" s="1310" t="s">
        <v>1658</v>
      </c>
      <c r="P747" s="1310" t="s">
        <v>1490</v>
      </c>
      <c r="Q747" s="1310" t="s">
        <v>1509</v>
      </c>
      <c r="R747" s="1310" t="s">
        <v>1540</v>
      </c>
      <c r="S747" s="1310" t="s">
        <v>1593</v>
      </c>
      <c r="T747" s="1310" t="s">
        <v>1656</v>
      </c>
      <c r="U747" s="1310" t="s">
        <v>1521</v>
      </c>
      <c r="V747" s="1310" t="s">
        <v>128</v>
      </c>
      <c r="W747" s="1310" t="s">
        <v>1506</v>
      </c>
      <c r="X747" s="1310" t="s">
        <v>1556</v>
      </c>
      <c r="Y747" s="1310" t="s">
        <v>1491</v>
      </c>
      <c r="Z747" s="1310" t="s">
        <v>1582</v>
      </c>
      <c r="AA747" s="1310" t="s">
        <v>1448</v>
      </c>
      <c r="AB747" s="1310" t="s">
        <v>1518</v>
      </c>
      <c r="AC747" s="1310" t="s">
        <v>267</v>
      </c>
      <c r="AD747" s="1310" t="s">
        <v>1515</v>
      </c>
      <c r="AE747" s="1310" t="s">
        <v>123</v>
      </c>
      <c r="AF747" s="1310" t="s">
        <v>264</v>
      </c>
    </row>
    <row r="748" spans="1:32" x14ac:dyDescent="0.3">
      <c r="A748" s="1310" t="s">
        <v>1599</v>
      </c>
      <c r="B748" s="1310" t="s">
        <v>1502</v>
      </c>
      <c r="C748" s="1310" t="s">
        <v>1465</v>
      </c>
      <c r="D748" s="1310" t="s">
        <v>1549</v>
      </c>
      <c r="E748" s="1310" t="s">
        <v>1445</v>
      </c>
      <c r="F748" s="1310" t="s">
        <v>1466</v>
      </c>
      <c r="G748" s="1310" t="s">
        <v>1477</v>
      </c>
      <c r="H748" s="1310" t="s">
        <v>1628</v>
      </c>
      <c r="I748" s="1310" t="s">
        <v>465</v>
      </c>
      <c r="J748" s="1310" t="s">
        <v>1584</v>
      </c>
      <c r="K748" s="1310" t="s">
        <v>1476</v>
      </c>
      <c r="L748" s="1310" t="s">
        <v>1507</v>
      </c>
      <c r="M748" s="1310" t="s">
        <v>1507</v>
      </c>
      <c r="N748" s="1310" t="s">
        <v>1557</v>
      </c>
      <c r="O748" s="1310" t="s">
        <v>1533</v>
      </c>
      <c r="P748" s="1310" t="s">
        <v>1612</v>
      </c>
      <c r="Q748" s="1310" t="s">
        <v>1549</v>
      </c>
      <c r="R748" s="1310" t="s">
        <v>1533</v>
      </c>
      <c r="S748" s="1310" t="s">
        <v>1584</v>
      </c>
      <c r="T748" s="1310" t="s">
        <v>1651</v>
      </c>
      <c r="U748" s="1310" t="s">
        <v>1578</v>
      </c>
      <c r="V748" s="1310" t="s">
        <v>1480</v>
      </c>
      <c r="W748" s="1310" t="s">
        <v>114</v>
      </c>
      <c r="X748" s="1310" t="s">
        <v>118</v>
      </c>
      <c r="Y748" s="1310" t="s">
        <v>1489</v>
      </c>
      <c r="Z748" s="1310" t="s">
        <v>1476</v>
      </c>
      <c r="AA748" s="1310" t="s">
        <v>1589</v>
      </c>
      <c r="AB748" s="1310" t="s">
        <v>1448</v>
      </c>
      <c r="AC748" s="1310" t="s">
        <v>1572</v>
      </c>
      <c r="AD748" s="1310" t="s">
        <v>125</v>
      </c>
      <c r="AE748" s="1310" t="s">
        <v>129</v>
      </c>
      <c r="AF748" s="1310" t="s">
        <v>1611</v>
      </c>
    </row>
    <row r="749" spans="1:32" x14ac:dyDescent="0.3">
      <c r="A749" s="1310" t="s">
        <v>1509</v>
      </c>
      <c r="B749" s="1310" t="s">
        <v>1514</v>
      </c>
      <c r="C749" s="1310" t="s">
        <v>1530</v>
      </c>
      <c r="D749" s="1310" t="s">
        <v>1569</v>
      </c>
      <c r="E749" s="1310" t="s">
        <v>1459</v>
      </c>
      <c r="F749" s="1310" t="s">
        <v>1461</v>
      </c>
      <c r="G749" s="1310" t="s">
        <v>1600</v>
      </c>
      <c r="H749" s="1310" t="s">
        <v>1648</v>
      </c>
      <c r="I749" s="1310" t="s">
        <v>1511</v>
      </c>
      <c r="J749" s="1310" t="s">
        <v>1537</v>
      </c>
      <c r="K749" s="1310" t="s">
        <v>1584</v>
      </c>
      <c r="L749" s="1310" t="s">
        <v>1456</v>
      </c>
      <c r="M749" s="1310" t="s">
        <v>1640</v>
      </c>
      <c r="N749" s="1310" t="s">
        <v>1559</v>
      </c>
      <c r="O749" s="1310" t="s">
        <v>1622</v>
      </c>
      <c r="P749" s="1310" t="s">
        <v>1601</v>
      </c>
      <c r="Q749" s="1310" t="s">
        <v>1638</v>
      </c>
      <c r="R749" s="1310" t="s">
        <v>1516</v>
      </c>
      <c r="S749" s="1310" t="s">
        <v>1636</v>
      </c>
      <c r="T749" s="1310" t="s">
        <v>1500</v>
      </c>
      <c r="U749" s="1310" t="s">
        <v>1482</v>
      </c>
      <c r="V749" s="1310" t="s">
        <v>127</v>
      </c>
      <c r="W749" s="1310" t="s">
        <v>1502</v>
      </c>
      <c r="X749" s="1310" t="s">
        <v>1600</v>
      </c>
      <c r="Y749" s="1310" t="s">
        <v>1591</v>
      </c>
      <c r="Z749" s="1310" t="s">
        <v>1644</v>
      </c>
      <c r="AA749" s="1310" t="s">
        <v>132</v>
      </c>
      <c r="AB749" s="1310" t="s">
        <v>1545</v>
      </c>
      <c r="AC749" s="1310" t="s">
        <v>1499</v>
      </c>
      <c r="AD749" s="1310" t="s">
        <v>263</v>
      </c>
      <c r="AE749" s="1310" t="s">
        <v>1614</v>
      </c>
      <c r="AF749" s="1310" t="s">
        <v>1487</v>
      </c>
    </row>
    <row r="750" spans="1:32" x14ac:dyDescent="0.3">
      <c r="A750" s="1310" t="s">
        <v>1549</v>
      </c>
      <c r="B750" s="1310" t="s">
        <v>1579</v>
      </c>
      <c r="C750" s="1310" t="s">
        <v>1491</v>
      </c>
      <c r="D750" s="1310" t="s">
        <v>1493</v>
      </c>
      <c r="E750" s="1310" t="s">
        <v>1550</v>
      </c>
      <c r="F750" s="1310" t="s">
        <v>1508</v>
      </c>
      <c r="G750" s="1310" t="s">
        <v>1629</v>
      </c>
      <c r="H750" s="1310" t="s">
        <v>268</v>
      </c>
      <c r="I750" s="1310" t="s">
        <v>1465</v>
      </c>
      <c r="J750" s="1310" t="s">
        <v>1600</v>
      </c>
      <c r="K750" s="1310" t="s">
        <v>1482</v>
      </c>
      <c r="L750" s="1310" t="s">
        <v>1520</v>
      </c>
      <c r="M750" s="1310" t="s">
        <v>1463</v>
      </c>
      <c r="N750" s="1310" t="s">
        <v>1444</v>
      </c>
      <c r="O750" s="1310" t="s">
        <v>1492</v>
      </c>
      <c r="P750" s="1310" t="s">
        <v>1538</v>
      </c>
      <c r="Q750" s="1310" t="s">
        <v>1564</v>
      </c>
      <c r="R750" s="1310" t="s">
        <v>1490</v>
      </c>
      <c r="S750" s="1310" t="s">
        <v>1629</v>
      </c>
      <c r="T750" s="1310" t="s">
        <v>1604</v>
      </c>
      <c r="U750" s="1310" t="s">
        <v>1523</v>
      </c>
      <c r="V750" s="1310" t="s">
        <v>1543</v>
      </c>
      <c r="W750" s="1310" t="s">
        <v>1601</v>
      </c>
      <c r="X750" s="1310" t="s">
        <v>1546</v>
      </c>
      <c r="Y750" s="1310" t="s">
        <v>1502</v>
      </c>
      <c r="Z750" s="1310" t="s">
        <v>1606</v>
      </c>
      <c r="AA750" s="1310" t="s">
        <v>1523</v>
      </c>
      <c r="AB750" s="1310" t="s">
        <v>1618</v>
      </c>
      <c r="AC750" s="1310" t="s">
        <v>116</v>
      </c>
      <c r="AD750" s="1310" t="s">
        <v>1455</v>
      </c>
      <c r="AE750" s="1310" t="s">
        <v>1659</v>
      </c>
      <c r="AF750" s="1310" t="s">
        <v>124</v>
      </c>
    </row>
    <row r="751" spans="1:32" x14ac:dyDescent="0.3">
      <c r="A751" s="1310" t="s">
        <v>1509</v>
      </c>
      <c r="B751" s="1310" t="s">
        <v>1553</v>
      </c>
      <c r="C751" s="1310" t="s">
        <v>1640</v>
      </c>
      <c r="D751" s="1310" t="s">
        <v>1560</v>
      </c>
      <c r="E751" s="1310" t="s">
        <v>1463</v>
      </c>
      <c r="F751" s="1310" t="s">
        <v>1483</v>
      </c>
      <c r="G751" s="1310" t="s">
        <v>1461</v>
      </c>
      <c r="H751" s="1310" t="s">
        <v>1510</v>
      </c>
      <c r="I751" s="1310" t="s">
        <v>1490</v>
      </c>
      <c r="J751" s="1310" t="s">
        <v>132</v>
      </c>
      <c r="K751" s="1310" t="s">
        <v>1627</v>
      </c>
      <c r="L751" s="1310" t="s">
        <v>1547</v>
      </c>
      <c r="M751" s="1310" t="s">
        <v>1502</v>
      </c>
      <c r="N751" s="1310" t="s">
        <v>1499</v>
      </c>
      <c r="O751" s="1310" t="s">
        <v>1630</v>
      </c>
      <c r="P751" s="1310" t="s">
        <v>1557</v>
      </c>
      <c r="Q751" s="1310" t="s">
        <v>1464</v>
      </c>
      <c r="R751" s="1310" t="s">
        <v>1525</v>
      </c>
      <c r="S751" s="1310" t="s">
        <v>1464</v>
      </c>
      <c r="T751" s="1310" t="s">
        <v>1487</v>
      </c>
      <c r="U751" s="1310" t="s">
        <v>130</v>
      </c>
      <c r="V751" s="1310" t="s">
        <v>1633</v>
      </c>
      <c r="W751" s="1310" t="s">
        <v>1494</v>
      </c>
      <c r="X751" s="1310" t="s">
        <v>1617</v>
      </c>
      <c r="Y751" s="1310" t="s">
        <v>1634</v>
      </c>
      <c r="Z751" s="1310" t="s">
        <v>471</v>
      </c>
      <c r="AA751" s="1310" t="s">
        <v>6</v>
      </c>
      <c r="AB751" s="1310" t="s">
        <v>1631</v>
      </c>
      <c r="AC751" s="1310" t="s">
        <v>1496</v>
      </c>
      <c r="AD751" s="1310" t="s">
        <v>1454</v>
      </c>
      <c r="AE751" s="1310" t="s">
        <v>1658</v>
      </c>
      <c r="AF751" s="1310" t="s">
        <v>1592</v>
      </c>
    </row>
    <row r="752" spans="1:32" x14ac:dyDescent="0.3">
      <c r="A752" s="1310" t="s">
        <v>265</v>
      </c>
      <c r="B752" s="1310" t="s">
        <v>120</v>
      </c>
      <c r="C752" s="1310" t="s">
        <v>1615</v>
      </c>
      <c r="D752" s="1310" t="s">
        <v>1542</v>
      </c>
      <c r="E752" s="1310" t="s">
        <v>1600</v>
      </c>
      <c r="F752" s="1310" t="s">
        <v>1610</v>
      </c>
      <c r="G752" s="1310" t="s">
        <v>1494</v>
      </c>
      <c r="H752" s="1310" t="s">
        <v>1483</v>
      </c>
      <c r="I752" s="1310" t="s">
        <v>1630</v>
      </c>
      <c r="J752" s="1310" t="s">
        <v>1594</v>
      </c>
      <c r="K752" s="1310" t="s">
        <v>1463</v>
      </c>
      <c r="L752" s="1310" t="s">
        <v>1484</v>
      </c>
      <c r="M752" s="1310" t="s">
        <v>1526</v>
      </c>
      <c r="N752" s="1310" t="s">
        <v>1534</v>
      </c>
      <c r="O752" s="1310" t="s">
        <v>1504</v>
      </c>
      <c r="P752" s="1310" t="s">
        <v>1649</v>
      </c>
      <c r="Q752" s="1310" t="s">
        <v>1551</v>
      </c>
      <c r="R752" s="1310" t="s">
        <v>1548</v>
      </c>
      <c r="S752" s="1310" t="s">
        <v>1604</v>
      </c>
      <c r="T752" s="1310" t="s">
        <v>1592</v>
      </c>
      <c r="U752" s="1310" t="s">
        <v>1561</v>
      </c>
      <c r="V752" s="1310" t="s">
        <v>1512</v>
      </c>
      <c r="W752" s="1310" t="s">
        <v>1559</v>
      </c>
      <c r="X752" s="1310" t="s">
        <v>1478</v>
      </c>
      <c r="Y752" s="1310" t="s">
        <v>1644</v>
      </c>
      <c r="Z752" s="1310" t="s">
        <v>1473</v>
      </c>
      <c r="AA752" s="1310" t="s">
        <v>1595</v>
      </c>
      <c r="AB752" s="1310" t="s">
        <v>1464</v>
      </c>
      <c r="AC752" s="1310" t="s">
        <v>1449</v>
      </c>
      <c r="AD752" s="1310" t="s">
        <v>1502</v>
      </c>
      <c r="AE752" s="1310" t="s">
        <v>1477</v>
      </c>
      <c r="AF752" s="1310" t="s">
        <v>1647</v>
      </c>
    </row>
    <row r="753" spans="1:32" x14ac:dyDescent="0.3">
      <c r="A753" s="1310" t="s">
        <v>130</v>
      </c>
      <c r="B753" s="1310" t="s">
        <v>1646</v>
      </c>
      <c r="C753" s="1310" t="s">
        <v>1648</v>
      </c>
      <c r="D753" s="1310" t="s">
        <v>1475</v>
      </c>
      <c r="E753" s="1310" t="s">
        <v>1495</v>
      </c>
      <c r="F753" s="1310" t="s">
        <v>1575</v>
      </c>
      <c r="G753" s="1310" t="s">
        <v>1455</v>
      </c>
      <c r="H753" s="1310" t="s">
        <v>1580</v>
      </c>
      <c r="I753" s="1310" t="s">
        <v>1570</v>
      </c>
      <c r="J753" s="1310" t="s">
        <v>1613</v>
      </c>
      <c r="K753" s="1310" t="s">
        <v>1468</v>
      </c>
      <c r="L753" s="1310" t="s">
        <v>130</v>
      </c>
      <c r="M753" s="1310" t="s">
        <v>1510</v>
      </c>
      <c r="N753" s="1310" t="s">
        <v>1561</v>
      </c>
      <c r="O753" s="1310" t="s">
        <v>267</v>
      </c>
      <c r="P753" s="1310" t="s">
        <v>1551</v>
      </c>
      <c r="Q753" s="1310" t="s">
        <v>1645</v>
      </c>
      <c r="R753" s="1310" t="s">
        <v>1565</v>
      </c>
      <c r="S753" s="1310" t="s">
        <v>1492</v>
      </c>
      <c r="T753" s="1310" t="s">
        <v>1444</v>
      </c>
      <c r="U753" s="1310" t="s">
        <v>1030</v>
      </c>
      <c r="V753" s="1310" t="s">
        <v>1629</v>
      </c>
      <c r="W753" s="1310" t="s">
        <v>1591</v>
      </c>
      <c r="X753" s="1310" t="s">
        <v>1482</v>
      </c>
      <c r="Y753" s="1310" t="s">
        <v>1556</v>
      </c>
      <c r="Z753" s="1310" t="s">
        <v>1488</v>
      </c>
      <c r="AA753" s="1310" t="s">
        <v>1535</v>
      </c>
      <c r="AB753" s="1310" t="s">
        <v>1548</v>
      </c>
      <c r="AC753" s="1310" t="s">
        <v>1535</v>
      </c>
      <c r="AD753" s="1310" t="s">
        <v>1596</v>
      </c>
      <c r="AE753" s="1310" t="s">
        <v>1446</v>
      </c>
      <c r="AF753" s="1310" t="s">
        <v>1507</v>
      </c>
    </row>
    <row r="754" spans="1:32" x14ac:dyDescent="0.3">
      <c r="A754" s="1310" t="s">
        <v>1631</v>
      </c>
      <c r="B754" s="1310" t="s">
        <v>1517</v>
      </c>
      <c r="C754" s="1310" t="s">
        <v>1539</v>
      </c>
      <c r="D754" s="1310" t="s">
        <v>1530</v>
      </c>
      <c r="E754" s="1310" t="s">
        <v>1649</v>
      </c>
      <c r="F754" s="1310" t="s">
        <v>1651</v>
      </c>
      <c r="G754" s="1310" t="s">
        <v>1619</v>
      </c>
      <c r="H754" s="1310" t="s">
        <v>1602</v>
      </c>
      <c r="I754" s="1310" t="s">
        <v>1632</v>
      </c>
      <c r="J754" s="1310" t="s">
        <v>1600</v>
      </c>
      <c r="K754" s="1310" t="s">
        <v>1509</v>
      </c>
      <c r="L754" s="1310" t="s">
        <v>1554</v>
      </c>
      <c r="M754" s="1310" t="s">
        <v>1452</v>
      </c>
      <c r="N754" s="1310" t="s">
        <v>1621</v>
      </c>
      <c r="O754" s="1310" t="s">
        <v>1541</v>
      </c>
      <c r="P754" s="1310" t="s">
        <v>1444</v>
      </c>
      <c r="Q754" s="1310" t="s">
        <v>465</v>
      </c>
      <c r="R754" s="1310" t="s">
        <v>114</v>
      </c>
      <c r="S754" s="1310" t="s">
        <v>1488</v>
      </c>
      <c r="T754" s="1310" t="s">
        <v>1455</v>
      </c>
      <c r="U754" s="1310" t="s">
        <v>1635</v>
      </c>
      <c r="V754" s="1310" t="s">
        <v>1549</v>
      </c>
      <c r="W754" s="1310" t="s">
        <v>1644</v>
      </c>
      <c r="X754" s="1310" t="s">
        <v>1632</v>
      </c>
      <c r="Y754" s="1310" t="s">
        <v>1600</v>
      </c>
      <c r="Z754" s="1310" t="s">
        <v>1509</v>
      </c>
      <c r="AA754" s="1310" t="s">
        <v>1554</v>
      </c>
      <c r="AB754" s="1310" t="s">
        <v>1452</v>
      </c>
      <c r="AC754" s="1310" t="s">
        <v>1621</v>
      </c>
      <c r="AD754" s="1310" t="s">
        <v>1541</v>
      </c>
      <c r="AE754" s="1310" t="s">
        <v>1444</v>
      </c>
      <c r="AF754" s="1310" t="s">
        <v>465</v>
      </c>
    </row>
    <row r="755" spans="1:32" x14ac:dyDescent="0.3">
      <c r="A755" s="1310" t="s">
        <v>114</v>
      </c>
      <c r="B755" s="1310" t="s">
        <v>1488</v>
      </c>
      <c r="C755" s="1310" t="s">
        <v>1455</v>
      </c>
      <c r="D755" s="1310" t="s">
        <v>1583</v>
      </c>
      <c r="E755" s="1310" t="s">
        <v>1443</v>
      </c>
      <c r="F755" s="1310" t="s">
        <v>1550</v>
      </c>
      <c r="G755" s="1310" t="s">
        <v>1571</v>
      </c>
      <c r="H755" s="1310" t="s">
        <v>1562</v>
      </c>
      <c r="I755" s="1310" t="s">
        <v>1452</v>
      </c>
      <c r="J755" s="1310" t="s">
        <v>1621</v>
      </c>
      <c r="K755" s="1310" t="s">
        <v>1541</v>
      </c>
      <c r="L755" s="1310" t="s">
        <v>1444</v>
      </c>
      <c r="M755" s="1310" t="s">
        <v>465</v>
      </c>
      <c r="N755" s="1310" t="s">
        <v>114</v>
      </c>
      <c r="O755" s="1310" t="s">
        <v>1488</v>
      </c>
      <c r="P755" s="1310" t="s">
        <v>1455</v>
      </c>
      <c r="Q755" s="1310" t="s">
        <v>1635</v>
      </c>
      <c r="R755" s="1310" t="s">
        <v>1549</v>
      </c>
      <c r="S755" s="1310" t="s">
        <v>1644</v>
      </c>
      <c r="T755" s="1310" t="s">
        <v>1632</v>
      </c>
      <c r="U755" s="1310" t="s">
        <v>1600</v>
      </c>
      <c r="V755" s="1310" t="s">
        <v>1509</v>
      </c>
      <c r="W755" s="1310" t="s">
        <v>1554</v>
      </c>
      <c r="X755" s="1310" t="s">
        <v>1452</v>
      </c>
      <c r="Y755" s="1310" t="s">
        <v>1621</v>
      </c>
      <c r="Z755" s="1310" t="s">
        <v>1541</v>
      </c>
      <c r="AA755" s="1310" t="s">
        <v>1444</v>
      </c>
      <c r="AB755" s="1310" t="s">
        <v>465</v>
      </c>
      <c r="AC755" s="1310" t="s">
        <v>114</v>
      </c>
      <c r="AD755" s="1310" t="s">
        <v>1488</v>
      </c>
      <c r="AE755" s="1310" t="s">
        <v>1455</v>
      </c>
      <c r="AF755" s="1310" t="s">
        <v>1635</v>
      </c>
    </row>
    <row r="756" spans="1:32" x14ac:dyDescent="0.3">
      <c r="A756" s="1310" t="s">
        <v>1549</v>
      </c>
      <c r="B756" s="1310" t="s">
        <v>1644</v>
      </c>
      <c r="C756" s="1310" t="s">
        <v>1632</v>
      </c>
      <c r="D756" s="1310" t="s">
        <v>1600</v>
      </c>
      <c r="E756" s="1310" t="s">
        <v>1509</v>
      </c>
      <c r="F756" s="1310" t="s">
        <v>1605</v>
      </c>
      <c r="G756" s="1310" t="s">
        <v>1641</v>
      </c>
      <c r="H756" s="1310" t="s">
        <v>1443</v>
      </c>
      <c r="I756" s="1310" t="s">
        <v>1450</v>
      </c>
      <c r="J756" s="1310" t="s">
        <v>1631</v>
      </c>
      <c r="K756" s="1310" t="s">
        <v>1609</v>
      </c>
      <c r="L756" s="1310" t="s">
        <v>1622</v>
      </c>
      <c r="M756" s="1310" t="s">
        <v>1632</v>
      </c>
      <c r="N756" s="1310" t="s">
        <v>1594</v>
      </c>
      <c r="O756" s="1310" t="s">
        <v>1502</v>
      </c>
      <c r="P756" s="1310" t="s">
        <v>1468</v>
      </c>
      <c r="Q756" s="1310" t="s">
        <v>1602</v>
      </c>
      <c r="R756" s="1310" t="s">
        <v>124</v>
      </c>
      <c r="S756" s="1310" t="s">
        <v>1483</v>
      </c>
      <c r="T756" s="1310" t="s">
        <v>1520</v>
      </c>
      <c r="U756" s="1310" t="s">
        <v>1565</v>
      </c>
      <c r="V756" s="1310" t="s">
        <v>123</v>
      </c>
      <c r="W756" s="1310" t="s">
        <v>1550</v>
      </c>
      <c r="X756" s="1310" t="s">
        <v>1492</v>
      </c>
      <c r="Y756" s="1310" t="s">
        <v>131</v>
      </c>
      <c r="Z756" s="1310" t="s">
        <v>1493</v>
      </c>
      <c r="AA756" s="1310" t="s">
        <v>1626</v>
      </c>
      <c r="AB756" s="1310" t="s">
        <v>1515</v>
      </c>
      <c r="AC756" s="1310" t="s">
        <v>1513</v>
      </c>
      <c r="AD756" s="1310" t="s">
        <v>1597</v>
      </c>
      <c r="AE756" s="1310" t="s">
        <v>1588</v>
      </c>
      <c r="AF756" s="1310" t="s">
        <v>1636</v>
      </c>
    </row>
    <row r="757" spans="1:32" x14ac:dyDescent="0.3">
      <c r="A757" s="1310" t="s">
        <v>130</v>
      </c>
      <c r="B757" s="1310" t="s">
        <v>1590</v>
      </c>
      <c r="C757" s="1310" t="s">
        <v>1468</v>
      </c>
      <c r="D757" s="1310" t="s">
        <v>1467</v>
      </c>
      <c r="E757" s="1310" t="s">
        <v>1507</v>
      </c>
      <c r="F757" s="1310" t="s">
        <v>1469</v>
      </c>
      <c r="G757" s="1310" t="s">
        <v>465</v>
      </c>
      <c r="H757" s="1310" t="s">
        <v>131</v>
      </c>
      <c r="I757" s="1310" t="s">
        <v>1557</v>
      </c>
      <c r="J757" s="1310" t="s">
        <v>1559</v>
      </c>
      <c r="K757" s="1310" t="s">
        <v>1452</v>
      </c>
      <c r="L757" s="1310" t="s">
        <v>1465</v>
      </c>
      <c r="M757" s="1310" t="s">
        <v>1648</v>
      </c>
      <c r="N757" s="1310" t="s">
        <v>1651</v>
      </c>
      <c r="O757" s="1310" t="s">
        <v>1529</v>
      </c>
      <c r="P757" s="1310" t="s">
        <v>1449</v>
      </c>
      <c r="Q757" s="1310" t="s">
        <v>1597</v>
      </c>
      <c r="R757" s="1310" t="s">
        <v>1558</v>
      </c>
      <c r="S757" s="1310" t="s">
        <v>1609</v>
      </c>
      <c r="T757" s="1310" t="s">
        <v>1596</v>
      </c>
      <c r="U757" s="1310" t="s">
        <v>1553</v>
      </c>
      <c r="V757" s="1310" t="s">
        <v>1644</v>
      </c>
      <c r="W757" s="1310" t="s">
        <v>116</v>
      </c>
      <c r="X757" s="1310" t="s">
        <v>1502</v>
      </c>
      <c r="Y757" s="1310" t="s">
        <v>1591</v>
      </c>
      <c r="Z757" s="1310" t="s">
        <v>1646</v>
      </c>
      <c r="AA757" s="1310" t="s">
        <v>1479</v>
      </c>
      <c r="AB757" s="1310" t="s">
        <v>1502</v>
      </c>
      <c r="AC757" s="1310" t="s">
        <v>1560</v>
      </c>
      <c r="AD757" s="1310" t="s">
        <v>1605</v>
      </c>
      <c r="AE757" s="1310" t="s">
        <v>114</v>
      </c>
      <c r="AF757" s="1310" t="s">
        <v>1475</v>
      </c>
    </row>
    <row r="758" spans="1:32" x14ac:dyDescent="0.3">
      <c r="A758" s="1310" t="s">
        <v>1527</v>
      </c>
      <c r="B758" s="1310" t="s">
        <v>1646</v>
      </c>
      <c r="C758" s="1310" t="s">
        <v>1564</v>
      </c>
      <c r="D758" s="1310" t="s">
        <v>1540</v>
      </c>
      <c r="E758" s="1310" t="s">
        <v>1635</v>
      </c>
      <c r="F758" s="1310" t="s">
        <v>1615</v>
      </c>
      <c r="G758" s="1310" t="s">
        <v>1561</v>
      </c>
      <c r="H758" s="1310" t="s">
        <v>1497</v>
      </c>
      <c r="I758" s="1310" t="s">
        <v>1627</v>
      </c>
      <c r="J758" s="1310" t="s">
        <v>1566</v>
      </c>
      <c r="K758" s="1310" t="s">
        <v>1637</v>
      </c>
      <c r="L758" s="1310" t="s">
        <v>1539</v>
      </c>
      <c r="M758" s="1310" t="s">
        <v>1538</v>
      </c>
      <c r="N758" s="1310" t="s">
        <v>270</v>
      </c>
      <c r="O758" s="1310" t="s">
        <v>1567</v>
      </c>
      <c r="P758" s="1310" t="s">
        <v>1555</v>
      </c>
      <c r="Q758" s="1310" t="s">
        <v>1481</v>
      </c>
      <c r="R758" s="1310" t="s">
        <v>1454</v>
      </c>
      <c r="S758" s="1310" t="s">
        <v>1621</v>
      </c>
      <c r="T758" s="1310" t="s">
        <v>1635</v>
      </c>
      <c r="U758" s="1310" t="s">
        <v>1605</v>
      </c>
      <c r="V758" s="1310" t="s">
        <v>264</v>
      </c>
      <c r="W758" s="1310" t="s">
        <v>1550</v>
      </c>
      <c r="X758" s="1310" t="s">
        <v>1493</v>
      </c>
      <c r="Y758" s="1310" t="s">
        <v>1596</v>
      </c>
      <c r="Z758" s="1310" t="s">
        <v>1610</v>
      </c>
      <c r="AA758" s="1310" t="s">
        <v>1452</v>
      </c>
      <c r="AB758" s="1310" t="s">
        <v>1499</v>
      </c>
      <c r="AC758" s="1310" t="s">
        <v>1629</v>
      </c>
      <c r="AD758" s="1310" t="s">
        <v>1484</v>
      </c>
      <c r="AE758" s="1310" t="s">
        <v>1557</v>
      </c>
      <c r="AF758" s="1310" t="s">
        <v>1484</v>
      </c>
    </row>
    <row r="759" spans="1:32" x14ac:dyDescent="0.3">
      <c r="A759" s="1310" t="s">
        <v>1576</v>
      </c>
      <c r="B759" s="1310" t="s">
        <v>1502</v>
      </c>
      <c r="C759" s="1310" t="s">
        <v>1490</v>
      </c>
      <c r="D759" s="1310" t="s">
        <v>1609</v>
      </c>
      <c r="E759" s="1310" t="s">
        <v>1458</v>
      </c>
      <c r="F759" s="1310" t="s">
        <v>1649</v>
      </c>
      <c r="G759" s="1310" t="s">
        <v>1557</v>
      </c>
      <c r="H759" s="1310" t="s">
        <v>1523</v>
      </c>
      <c r="I759" s="1310" t="s">
        <v>1516</v>
      </c>
      <c r="J759" s="1310" t="s">
        <v>1604</v>
      </c>
      <c r="K759" s="1310" t="s">
        <v>1657</v>
      </c>
      <c r="L759" s="1310" t="s">
        <v>124</v>
      </c>
      <c r="M759" s="1310" t="s">
        <v>1568</v>
      </c>
      <c r="N759" s="1310" t="s">
        <v>119</v>
      </c>
      <c r="O759" s="1310" t="s">
        <v>1480</v>
      </c>
      <c r="P759" s="1310" t="s">
        <v>1494</v>
      </c>
      <c r="Q759" s="1310" t="s">
        <v>264</v>
      </c>
      <c r="R759" s="1310" t="s">
        <v>270</v>
      </c>
      <c r="S759" s="1310" t="s">
        <v>1660</v>
      </c>
      <c r="T759" s="1310" t="s">
        <v>1030</v>
      </c>
      <c r="U759" s="1310" t="s">
        <v>1648</v>
      </c>
      <c r="V759" s="1310" t="s">
        <v>1564</v>
      </c>
      <c r="W759" s="1310" t="s">
        <v>125</v>
      </c>
      <c r="X759" s="1310" t="s">
        <v>1605</v>
      </c>
      <c r="Y759" s="1310" t="s">
        <v>1638</v>
      </c>
      <c r="Z759" s="1310" t="s">
        <v>133</v>
      </c>
      <c r="AA759" s="1310" t="s">
        <v>1624</v>
      </c>
      <c r="AB759" s="1310" t="s">
        <v>1625</v>
      </c>
      <c r="AC759" s="1310" t="s">
        <v>6</v>
      </c>
      <c r="AD759" s="1310" t="s">
        <v>1490</v>
      </c>
      <c r="AE759" s="1310" t="s">
        <v>1561</v>
      </c>
      <c r="AF759" s="1310" t="s">
        <v>1601</v>
      </c>
    </row>
    <row r="760" spans="1:32" x14ac:dyDescent="0.3">
      <c r="A760" s="1310" t="s">
        <v>1583</v>
      </c>
      <c r="B760" s="1310" t="s">
        <v>133</v>
      </c>
      <c r="C760" s="1310" t="s">
        <v>1570</v>
      </c>
      <c r="D760" s="1310" t="s">
        <v>1495</v>
      </c>
      <c r="E760" s="1310" t="s">
        <v>1562</v>
      </c>
      <c r="F760" s="1310" t="s">
        <v>1620</v>
      </c>
      <c r="G760" s="1310" t="s">
        <v>1534</v>
      </c>
      <c r="H760" s="1310" t="s">
        <v>1523</v>
      </c>
      <c r="I760" s="1310" t="s">
        <v>127</v>
      </c>
      <c r="J760" s="1310" t="s">
        <v>1581</v>
      </c>
      <c r="K760" s="1310" t="s">
        <v>1571</v>
      </c>
      <c r="L760" s="1310" t="s">
        <v>1572</v>
      </c>
      <c r="M760" s="1310" t="s">
        <v>1482</v>
      </c>
      <c r="N760" s="1310" t="s">
        <v>1614</v>
      </c>
      <c r="O760" s="1310" t="s">
        <v>1493</v>
      </c>
      <c r="P760" s="1310" t="s">
        <v>1592</v>
      </c>
      <c r="Q760" s="1310" t="s">
        <v>1500</v>
      </c>
      <c r="R760" s="1310" t="s">
        <v>1606</v>
      </c>
      <c r="S760" s="1310" t="s">
        <v>1533</v>
      </c>
      <c r="T760" s="1310" t="s">
        <v>110</v>
      </c>
      <c r="U760" s="1310" t="s">
        <v>124</v>
      </c>
      <c r="V760" s="1310" t="s">
        <v>1570</v>
      </c>
      <c r="W760" s="1310" t="s">
        <v>1573</v>
      </c>
      <c r="X760" s="1310" t="s">
        <v>1545</v>
      </c>
      <c r="Y760" s="1310" t="s">
        <v>1559</v>
      </c>
      <c r="Z760" s="1310" t="s">
        <v>1490</v>
      </c>
      <c r="AA760" s="1310" t="s">
        <v>1633</v>
      </c>
      <c r="AB760" s="1310" t="s">
        <v>1499</v>
      </c>
      <c r="AC760" s="1310" t="s">
        <v>1449</v>
      </c>
      <c r="AD760" s="1310" t="s">
        <v>1481</v>
      </c>
      <c r="AE760" s="1310" t="s">
        <v>1582</v>
      </c>
      <c r="AF760" s="1310" t="s">
        <v>1609</v>
      </c>
    </row>
    <row r="761" spans="1:32" x14ac:dyDescent="0.3">
      <c r="A761" s="1310" t="s">
        <v>1555</v>
      </c>
      <c r="B761" s="1310" t="s">
        <v>1652</v>
      </c>
      <c r="C761" s="1310" t="s">
        <v>1658</v>
      </c>
      <c r="D761" s="1310" t="s">
        <v>1452</v>
      </c>
      <c r="E761" s="1310" t="s">
        <v>1463</v>
      </c>
      <c r="F761" s="1310" t="s">
        <v>1572</v>
      </c>
      <c r="G761" s="1310" t="s">
        <v>1516</v>
      </c>
      <c r="H761" s="1310" t="s">
        <v>1509</v>
      </c>
      <c r="I761" s="1310" t="s">
        <v>1557</v>
      </c>
      <c r="J761" s="1310" t="s">
        <v>1612</v>
      </c>
      <c r="K761" s="1310" t="s">
        <v>1616</v>
      </c>
      <c r="L761" s="1310" t="s">
        <v>1585</v>
      </c>
      <c r="M761" s="1310" t="s">
        <v>1448</v>
      </c>
      <c r="N761" s="1310" t="s">
        <v>1591</v>
      </c>
      <c r="O761" s="1310" t="s">
        <v>1544</v>
      </c>
      <c r="P761" s="1310" t="s">
        <v>264</v>
      </c>
      <c r="Q761" s="1310" t="s">
        <v>126</v>
      </c>
      <c r="R761" s="1310" t="s">
        <v>1549</v>
      </c>
      <c r="S761" s="1310" t="s">
        <v>1530</v>
      </c>
      <c r="T761" s="1310" t="s">
        <v>1498</v>
      </c>
      <c r="U761" s="1310" t="s">
        <v>1552</v>
      </c>
      <c r="V761" s="1310" t="s">
        <v>111</v>
      </c>
      <c r="W761" s="1310" t="s">
        <v>267</v>
      </c>
      <c r="X761" s="1310" t="s">
        <v>1572</v>
      </c>
      <c r="Y761" s="1310" t="s">
        <v>1549</v>
      </c>
      <c r="Z761" s="1310" t="s">
        <v>1553</v>
      </c>
      <c r="AA761" s="1310" t="s">
        <v>1637</v>
      </c>
      <c r="AB761" s="1310" t="s">
        <v>1611</v>
      </c>
      <c r="AC761" s="1310" t="s">
        <v>114</v>
      </c>
      <c r="AD761" s="1310" t="s">
        <v>1603</v>
      </c>
      <c r="AE761" s="1310" t="s">
        <v>1596</v>
      </c>
      <c r="AF761" s="1310" t="s">
        <v>1509</v>
      </c>
    </row>
    <row r="762" spans="1:32" x14ac:dyDescent="0.3">
      <c r="A762" s="1310" t="s">
        <v>1652</v>
      </c>
      <c r="B762" s="1310" t="s">
        <v>1635</v>
      </c>
      <c r="C762" s="1310" t="s">
        <v>1552</v>
      </c>
      <c r="D762" s="1310" t="s">
        <v>1527</v>
      </c>
      <c r="E762" s="1310" t="s">
        <v>1550</v>
      </c>
      <c r="F762" s="1310" t="s">
        <v>1612</v>
      </c>
      <c r="G762" s="1310" t="s">
        <v>114</v>
      </c>
      <c r="H762" s="1310" t="s">
        <v>1538</v>
      </c>
      <c r="I762" s="1310" t="s">
        <v>1592</v>
      </c>
      <c r="J762" s="1310" t="s">
        <v>1561</v>
      </c>
      <c r="K762" s="1310" t="s">
        <v>1621</v>
      </c>
      <c r="L762" s="1310" t="s">
        <v>1548</v>
      </c>
      <c r="M762" s="1310" t="s">
        <v>1489</v>
      </c>
      <c r="N762" s="1310" t="s">
        <v>1549</v>
      </c>
      <c r="O762" s="1310" t="s">
        <v>1527</v>
      </c>
      <c r="P762" s="1310" t="s">
        <v>1643</v>
      </c>
      <c r="Q762" s="1310" t="s">
        <v>1473</v>
      </c>
      <c r="R762" s="1310" t="s">
        <v>128</v>
      </c>
      <c r="S762" s="1310" t="s">
        <v>1521</v>
      </c>
      <c r="T762" s="1310" t="s">
        <v>1538</v>
      </c>
      <c r="U762" s="1310" t="s">
        <v>1459</v>
      </c>
      <c r="V762" s="1310" t="s">
        <v>1492</v>
      </c>
      <c r="W762" s="1310" t="s">
        <v>1549</v>
      </c>
      <c r="X762" s="1310" t="s">
        <v>1644</v>
      </c>
      <c r="Y762" s="1310" t="s">
        <v>1632</v>
      </c>
      <c r="Z762" s="1310" t="s">
        <v>111</v>
      </c>
      <c r="AA762" s="1310" t="s">
        <v>1483</v>
      </c>
      <c r="AB762" s="1310" t="s">
        <v>1647</v>
      </c>
      <c r="AC762" s="1310" t="s">
        <v>1634</v>
      </c>
      <c r="AD762" s="1310" t="s">
        <v>1514</v>
      </c>
      <c r="AE762" s="1310" t="s">
        <v>1027</v>
      </c>
      <c r="AF762" s="1310" t="s">
        <v>1565</v>
      </c>
    </row>
    <row r="763" spans="1:32" x14ac:dyDescent="0.3">
      <c r="A763" s="1310" t="s">
        <v>1451</v>
      </c>
      <c r="B763" s="1310" t="s">
        <v>1638</v>
      </c>
      <c r="C763" s="1310" t="s">
        <v>1461</v>
      </c>
      <c r="D763" s="1310" t="s">
        <v>265</v>
      </c>
      <c r="E763" s="1310" t="s">
        <v>1548</v>
      </c>
      <c r="F763" s="1310" t="s">
        <v>1643</v>
      </c>
      <c r="G763" s="1310" t="s">
        <v>1646</v>
      </c>
      <c r="H763" s="1310" t="s">
        <v>1496</v>
      </c>
      <c r="I763" s="1310" t="s">
        <v>1579</v>
      </c>
      <c r="J763" s="1310" t="s">
        <v>1527</v>
      </c>
      <c r="K763" s="1310" t="s">
        <v>1604</v>
      </c>
      <c r="L763" s="1310" t="s">
        <v>1651</v>
      </c>
      <c r="M763" s="1310" t="s">
        <v>113</v>
      </c>
      <c r="N763" s="1310" t="s">
        <v>125</v>
      </c>
      <c r="O763" s="1310" t="s">
        <v>1473</v>
      </c>
      <c r="P763" s="1310" t="s">
        <v>1500</v>
      </c>
      <c r="Q763" s="1310" t="s">
        <v>1641</v>
      </c>
      <c r="R763" s="1310" t="s">
        <v>1451</v>
      </c>
      <c r="S763" s="1310" t="s">
        <v>1445</v>
      </c>
      <c r="T763" s="1310" t="s">
        <v>1628</v>
      </c>
      <c r="U763" s="1310" t="s">
        <v>1539</v>
      </c>
      <c r="V763" s="1310" t="s">
        <v>1648</v>
      </c>
      <c r="W763" s="1310" t="s">
        <v>1448</v>
      </c>
      <c r="X763" s="1310" t="s">
        <v>1451</v>
      </c>
      <c r="Y763" s="1310" t="s">
        <v>1550</v>
      </c>
      <c r="Z763" s="1310" t="s">
        <v>1449</v>
      </c>
      <c r="AA763" s="1310" t="s">
        <v>1632</v>
      </c>
      <c r="AB763" s="1310" t="s">
        <v>1620</v>
      </c>
      <c r="AC763" s="1310" t="s">
        <v>266</v>
      </c>
      <c r="AD763" s="1310" t="s">
        <v>1649</v>
      </c>
      <c r="AE763" s="1310" t="s">
        <v>1457</v>
      </c>
      <c r="AF763" s="1310" t="s">
        <v>1483</v>
      </c>
    </row>
    <row r="764" spans="1:32" x14ac:dyDescent="0.3">
      <c r="A764" s="1310" t="s">
        <v>1544</v>
      </c>
      <c r="B764" s="1310" t="s">
        <v>1653</v>
      </c>
      <c r="C764" s="1310" t="s">
        <v>1657</v>
      </c>
      <c r="D764" s="1310" t="s">
        <v>1566</v>
      </c>
      <c r="E764" s="1310" t="s">
        <v>1643</v>
      </c>
      <c r="F764" s="1310" t="s">
        <v>1595</v>
      </c>
      <c r="G764" s="1310" t="s">
        <v>1603</v>
      </c>
      <c r="H764" s="1310" t="s">
        <v>1613</v>
      </c>
      <c r="I764" s="1310" t="s">
        <v>1463</v>
      </c>
      <c r="J764" s="1310" t="s">
        <v>1586</v>
      </c>
      <c r="K764" s="1310" t="s">
        <v>1558</v>
      </c>
      <c r="L764" s="1310" t="s">
        <v>1532</v>
      </c>
      <c r="M764" s="1310" t="s">
        <v>1637</v>
      </c>
      <c r="N764" s="1310" t="s">
        <v>1494</v>
      </c>
      <c r="O764" s="1310" t="s">
        <v>1506</v>
      </c>
      <c r="P764" s="1310" t="s">
        <v>1481</v>
      </c>
      <c r="Q764" s="1310" t="s">
        <v>111</v>
      </c>
      <c r="R764" s="1310" t="s">
        <v>111</v>
      </c>
      <c r="S764" s="1310" t="s">
        <v>122</v>
      </c>
      <c r="T764" s="1310" t="s">
        <v>270</v>
      </c>
      <c r="U764" s="1310" t="s">
        <v>1517</v>
      </c>
      <c r="V764" s="1310" t="s">
        <v>1564</v>
      </c>
      <c r="W764" s="1310" t="s">
        <v>1459</v>
      </c>
      <c r="X764" s="1310" t="s">
        <v>1470</v>
      </c>
      <c r="Y764" s="1310" t="s">
        <v>1628</v>
      </c>
      <c r="Z764" s="1310" t="s">
        <v>1651</v>
      </c>
      <c r="AA764" s="1310" t="s">
        <v>1481</v>
      </c>
      <c r="AB764" s="1310" t="s">
        <v>1470</v>
      </c>
      <c r="AC764" s="1310" t="s">
        <v>1539</v>
      </c>
      <c r="AD764" s="1310" t="s">
        <v>1659</v>
      </c>
      <c r="AE764" s="1310" t="s">
        <v>1490</v>
      </c>
      <c r="AF764" s="1310" t="s">
        <v>1505</v>
      </c>
    </row>
    <row r="765" spans="1:32" x14ac:dyDescent="0.3">
      <c r="A765" s="1310" t="s">
        <v>125</v>
      </c>
      <c r="B765" s="1310" t="s">
        <v>1640</v>
      </c>
      <c r="C765" s="1310" t="s">
        <v>1554</v>
      </c>
      <c r="D765" s="1310" t="s">
        <v>1644</v>
      </c>
      <c r="E765" s="1310" t="s">
        <v>1530</v>
      </c>
      <c r="F765" s="1310" t="s">
        <v>1630</v>
      </c>
      <c r="G765" s="1310" t="s">
        <v>1590</v>
      </c>
      <c r="H765" s="1310" t="s">
        <v>1651</v>
      </c>
      <c r="I765" s="1310" t="s">
        <v>1643</v>
      </c>
      <c r="J765" s="1310" t="s">
        <v>1625</v>
      </c>
      <c r="K765" s="1310" t="s">
        <v>1479</v>
      </c>
      <c r="L765" s="1310" t="s">
        <v>1619</v>
      </c>
      <c r="M765" s="1310" t="s">
        <v>1602</v>
      </c>
      <c r="N765" s="1310" t="s">
        <v>1504</v>
      </c>
      <c r="O765" s="1310" t="s">
        <v>1448</v>
      </c>
      <c r="P765" s="1310" t="s">
        <v>116</v>
      </c>
      <c r="Q765" s="1310" t="s">
        <v>1596</v>
      </c>
      <c r="R765" s="1310" t="s">
        <v>1598</v>
      </c>
      <c r="S765" s="1310" t="s">
        <v>1635</v>
      </c>
      <c r="T765" s="1310" t="s">
        <v>1654</v>
      </c>
      <c r="U765" s="1310" t="s">
        <v>1494</v>
      </c>
      <c r="V765" s="1310" t="s">
        <v>1525</v>
      </c>
      <c r="W765" s="1310" t="s">
        <v>115</v>
      </c>
      <c r="X765" s="1310" t="s">
        <v>121</v>
      </c>
      <c r="Y765" s="1310" t="s">
        <v>1514</v>
      </c>
      <c r="Z765" s="1310" t="s">
        <v>1566</v>
      </c>
      <c r="AA765" s="1310" t="s">
        <v>120</v>
      </c>
      <c r="AB765" s="1310" t="s">
        <v>1463</v>
      </c>
      <c r="AC765" s="1310" t="s">
        <v>1625</v>
      </c>
      <c r="AD765" s="1310" t="s">
        <v>1577</v>
      </c>
      <c r="AE765" s="1310" t="s">
        <v>1569</v>
      </c>
      <c r="AF765" s="1310" t="s">
        <v>1483</v>
      </c>
    </row>
    <row r="766" spans="1:32" x14ac:dyDescent="0.3">
      <c r="A766" s="1310" t="s">
        <v>1584</v>
      </c>
      <c r="B766" s="1310" t="s">
        <v>1651</v>
      </c>
      <c r="C766" s="1310" t="s">
        <v>1602</v>
      </c>
      <c r="D766" s="1310" t="s">
        <v>1572</v>
      </c>
      <c r="E766" s="1310" t="s">
        <v>1579</v>
      </c>
      <c r="F766" s="1310" t="s">
        <v>1582</v>
      </c>
      <c r="G766" s="1310" t="s">
        <v>1530</v>
      </c>
      <c r="H766" s="1310" t="s">
        <v>125</v>
      </c>
      <c r="I766" s="1310" t="s">
        <v>1640</v>
      </c>
      <c r="J766" s="1310" t="s">
        <v>268</v>
      </c>
      <c r="K766" s="1310" t="s">
        <v>1623</v>
      </c>
      <c r="L766" s="1310" t="s">
        <v>1596</v>
      </c>
      <c r="M766" s="1310" t="s">
        <v>1548</v>
      </c>
      <c r="N766" s="1310" t="s">
        <v>1568</v>
      </c>
      <c r="O766" s="1310" t="s">
        <v>1566</v>
      </c>
      <c r="P766" s="1310" t="s">
        <v>1624</v>
      </c>
      <c r="Q766" s="1310" t="s">
        <v>1654</v>
      </c>
      <c r="R766" s="1310" t="s">
        <v>1621</v>
      </c>
      <c r="S766" s="1310" t="s">
        <v>1450</v>
      </c>
      <c r="T766" s="1310" t="s">
        <v>1557</v>
      </c>
      <c r="U766" s="1310" t="s">
        <v>1617</v>
      </c>
      <c r="V766" s="1310" t="s">
        <v>112</v>
      </c>
      <c r="W766" s="1310" t="s">
        <v>1640</v>
      </c>
      <c r="X766" s="1310" t="s">
        <v>465</v>
      </c>
      <c r="Y766" s="1310" t="s">
        <v>1554</v>
      </c>
      <c r="Z766" s="1310" t="s">
        <v>1574</v>
      </c>
      <c r="AA766" s="1310" t="s">
        <v>1531</v>
      </c>
      <c r="AB766" s="1310" t="s">
        <v>1525</v>
      </c>
      <c r="AC766" s="1310" t="s">
        <v>122</v>
      </c>
      <c r="AD766" s="1310" t="s">
        <v>1444</v>
      </c>
      <c r="AE766" s="1310" t="s">
        <v>262</v>
      </c>
      <c r="AF766" s="1310" t="s">
        <v>123</v>
      </c>
    </row>
    <row r="767" spans="1:32" x14ac:dyDescent="0.3">
      <c r="A767" s="1310" t="s">
        <v>1492</v>
      </c>
      <c r="B767" s="1310" t="s">
        <v>1597</v>
      </c>
      <c r="C767" s="1310" t="s">
        <v>1492</v>
      </c>
      <c r="D767" s="1310" t="s">
        <v>1486</v>
      </c>
      <c r="E767" s="1310" t="s">
        <v>1479</v>
      </c>
      <c r="F767" s="1310" t="s">
        <v>1459</v>
      </c>
      <c r="G767" s="1310" t="s">
        <v>1518</v>
      </c>
      <c r="H767" s="1310" t="s">
        <v>1645</v>
      </c>
      <c r="I767" s="1310" t="s">
        <v>1515</v>
      </c>
      <c r="J767" s="1310" t="s">
        <v>262</v>
      </c>
      <c r="K767" s="1310" t="s">
        <v>1624</v>
      </c>
      <c r="L767" s="1310" t="s">
        <v>1541</v>
      </c>
      <c r="M767" s="1310" t="s">
        <v>1658</v>
      </c>
      <c r="N767" s="1310" t="s">
        <v>1562</v>
      </c>
      <c r="O767" s="1310" t="s">
        <v>1586</v>
      </c>
      <c r="P767" s="1310" t="s">
        <v>1506</v>
      </c>
      <c r="Q767" s="1310" t="s">
        <v>1511</v>
      </c>
      <c r="R767" s="1310" t="s">
        <v>1624</v>
      </c>
      <c r="S767" s="1310" t="s">
        <v>1589</v>
      </c>
      <c r="T767" s="1310" t="s">
        <v>117</v>
      </c>
      <c r="U767" s="1310" t="s">
        <v>1553</v>
      </c>
      <c r="V767" s="1310" t="s">
        <v>1640</v>
      </c>
      <c r="W767" s="1310" t="s">
        <v>471</v>
      </c>
      <c r="X767" s="1310" t="s">
        <v>1602</v>
      </c>
      <c r="Y767" s="1310" t="s">
        <v>1525</v>
      </c>
      <c r="Z767" s="1310" t="s">
        <v>1512</v>
      </c>
      <c r="AA767" s="1310" t="s">
        <v>1540</v>
      </c>
      <c r="AB767" s="1310" t="s">
        <v>1578</v>
      </c>
      <c r="AC767" s="1310" t="s">
        <v>1585</v>
      </c>
      <c r="AD767" s="1310" t="s">
        <v>1583</v>
      </c>
      <c r="AE767" s="1310" t="s">
        <v>112</v>
      </c>
      <c r="AF767" s="1310" t="s">
        <v>1570</v>
      </c>
    </row>
    <row r="768" spans="1:32" x14ac:dyDescent="0.3">
      <c r="A768" s="1310" t="s">
        <v>1564</v>
      </c>
      <c r="B768" s="1310" t="s">
        <v>1495</v>
      </c>
      <c r="C768" s="1310" t="s">
        <v>1537</v>
      </c>
      <c r="D768" s="1310" t="s">
        <v>1584</v>
      </c>
      <c r="E768" s="1310" t="s">
        <v>1487</v>
      </c>
      <c r="F768" s="1310" t="s">
        <v>1622</v>
      </c>
      <c r="G768" s="1310" t="s">
        <v>1567</v>
      </c>
      <c r="H768" s="1310" t="s">
        <v>132</v>
      </c>
      <c r="I768" s="1310" t="s">
        <v>1467</v>
      </c>
      <c r="J768" s="1310" t="s">
        <v>1562</v>
      </c>
      <c r="K768" s="1310" t="s">
        <v>1570</v>
      </c>
      <c r="L768" s="1310" t="s">
        <v>1536</v>
      </c>
      <c r="M768" s="1310" t="s">
        <v>132</v>
      </c>
      <c r="N768" s="1310" t="s">
        <v>1613</v>
      </c>
      <c r="O768" s="1310" t="s">
        <v>1584</v>
      </c>
      <c r="P768" s="1310" t="s">
        <v>1561</v>
      </c>
      <c r="Q768" s="1310" t="s">
        <v>1513</v>
      </c>
      <c r="R768" s="1310" t="s">
        <v>1461</v>
      </c>
      <c r="S768" s="1310" t="s">
        <v>1502</v>
      </c>
      <c r="T768" s="1310" t="s">
        <v>268</v>
      </c>
      <c r="U768" s="1310" t="s">
        <v>1611</v>
      </c>
      <c r="V768" s="1310" t="s">
        <v>1475</v>
      </c>
      <c r="W768" s="1310" t="s">
        <v>1645</v>
      </c>
      <c r="X768" s="1310" t="s">
        <v>1583</v>
      </c>
      <c r="Y768" s="1310" t="s">
        <v>1483</v>
      </c>
      <c r="Z768" s="1310" t="s">
        <v>1481</v>
      </c>
      <c r="AA768" s="1310" t="s">
        <v>1450</v>
      </c>
      <c r="AB768" s="1310" t="s">
        <v>1528</v>
      </c>
      <c r="AC768" s="1310" t="s">
        <v>1528</v>
      </c>
      <c r="AD768" s="1310" t="s">
        <v>117</v>
      </c>
      <c r="AE768" s="1310" t="s">
        <v>1523</v>
      </c>
      <c r="AF768" s="1310" t="s">
        <v>1528</v>
      </c>
    </row>
    <row r="769" spans="1:32" x14ac:dyDescent="0.3">
      <c r="A769" s="1310" t="s">
        <v>1609</v>
      </c>
      <c r="B769" s="1310" t="s">
        <v>1628</v>
      </c>
      <c r="C769" s="1310" t="s">
        <v>1457</v>
      </c>
      <c r="D769" s="1310" t="s">
        <v>1608</v>
      </c>
      <c r="E769" s="1310" t="s">
        <v>1533</v>
      </c>
      <c r="F769" s="1310" t="s">
        <v>1492</v>
      </c>
      <c r="G769" s="1310" t="s">
        <v>1030</v>
      </c>
      <c r="H769" s="1310" t="s">
        <v>1627</v>
      </c>
      <c r="I769" s="1310" t="s">
        <v>1530</v>
      </c>
      <c r="J769" s="1310" t="s">
        <v>115</v>
      </c>
      <c r="K769" s="1310" t="s">
        <v>1459</v>
      </c>
      <c r="L769" s="1310" t="s">
        <v>1568</v>
      </c>
      <c r="M769" s="1310" t="s">
        <v>1608</v>
      </c>
      <c r="N769" s="1310" t="s">
        <v>1602</v>
      </c>
      <c r="O769" s="1310" t="s">
        <v>1535</v>
      </c>
      <c r="P769" s="1310" t="s">
        <v>1658</v>
      </c>
      <c r="Q769" s="1310" t="s">
        <v>1445</v>
      </c>
      <c r="R769" s="1310" t="s">
        <v>125</v>
      </c>
      <c r="S769" s="1310" t="s">
        <v>1518</v>
      </c>
      <c r="T769" s="1310" t="s">
        <v>120</v>
      </c>
      <c r="U769" s="1310" t="s">
        <v>1518</v>
      </c>
      <c r="V769" s="1310" t="s">
        <v>1551</v>
      </c>
      <c r="W769" s="1310" t="s">
        <v>1487</v>
      </c>
      <c r="X769" s="1310" t="s">
        <v>1532</v>
      </c>
      <c r="Y769" s="1310" t="s">
        <v>1645</v>
      </c>
      <c r="Z769" s="1310" t="s">
        <v>1606</v>
      </c>
      <c r="AA769" s="1310" t="s">
        <v>1542</v>
      </c>
      <c r="AB769" s="1310" t="s">
        <v>1649</v>
      </c>
      <c r="AC769" s="1310" t="s">
        <v>1633</v>
      </c>
      <c r="AD769" s="1310" t="s">
        <v>1500</v>
      </c>
      <c r="AE769" s="1310" t="s">
        <v>1522</v>
      </c>
      <c r="AF769" s="1310" t="s">
        <v>1658</v>
      </c>
    </row>
    <row r="770" spans="1:32" x14ac:dyDescent="0.3">
      <c r="A770" s="1310" t="s">
        <v>1030</v>
      </c>
      <c r="B770" s="1310" t="s">
        <v>1573</v>
      </c>
      <c r="C770" s="1310" t="s">
        <v>1443</v>
      </c>
      <c r="D770" s="1310" t="s">
        <v>1450</v>
      </c>
      <c r="E770" s="1310" t="s">
        <v>1601</v>
      </c>
      <c r="F770" s="1310" t="s">
        <v>1542</v>
      </c>
      <c r="G770" s="1310" t="s">
        <v>1512</v>
      </c>
      <c r="H770" s="1310" t="s">
        <v>1636</v>
      </c>
      <c r="I770" s="1310" t="s">
        <v>1533</v>
      </c>
      <c r="J770" s="1310" t="s">
        <v>131</v>
      </c>
      <c r="K770" s="1310" t="s">
        <v>1529</v>
      </c>
      <c r="L770" s="1310" t="s">
        <v>1562</v>
      </c>
      <c r="M770" s="1310" t="s">
        <v>1491</v>
      </c>
      <c r="N770" s="1310" t="s">
        <v>1545</v>
      </c>
      <c r="O770" s="1310" t="s">
        <v>1643</v>
      </c>
      <c r="P770" s="1310" t="s">
        <v>1517</v>
      </c>
      <c r="Q770" s="1310" t="s">
        <v>1536</v>
      </c>
      <c r="R770" s="1310" t="s">
        <v>1525</v>
      </c>
      <c r="S770" s="1310" t="s">
        <v>1577</v>
      </c>
      <c r="T770" s="1310" t="s">
        <v>1570</v>
      </c>
      <c r="U770" s="1310" t="s">
        <v>1529</v>
      </c>
      <c r="V770" s="1310" t="s">
        <v>1443</v>
      </c>
      <c r="W770" s="1310" t="s">
        <v>1450</v>
      </c>
      <c r="X770" s="1310" t="s">
        <v>1514</v>
      </c>
      <c r="Y770" s="1310" t="s">
        <v>465</v>
      </c>
      <c r="Z770" s="1310" t="s">
        <v>1468</v>
      </c>
      <c r="AA770" s="1310" t="s">
        <v>1564</v>
      </c>
      <c r="AB770" s="1310" t="s">
        <v>1517</v>
      </c>
      <c r="AC770" s="1310" t="s">
        <v>1552</v>
      </c>
      <c r="AD770" s="1310" t="s">
        <v>1525</v>
      </c>
      <c r="AE770" s="1310" t="s">
        <v>1636</v>
      </c>
      <c r="AF770" s="1310" t="s">
        <v>1579</v>
      </c>
    </row>
    <row r="771" spans="1:32" x14ac:dyDescent="0.3">
      <c r="A771" s="1310" t="s">
        <v>1572</v>
      </c>
      <c r="B771" s="1310" t="s">
        <v>1562</v>
      </c>
      <c r="C771" s="1310" t="s">
        <v>1602</v>
      </c>
      <c r="D771" s="1310" t="s">
        <v>123</v>
      </c>
      <c r="E771" s="1310" t="s">
        <v>1603</v>
      </c>
      <c r="F771" s="1310" t="s">
        <v>1620</v>
      </c>
      <c r="G771" s="1310" t="s">
        <v>125</v>
      </c>
      <c r="H771" s="1310" t="s">
        <v>1468</v>
      </c>
      <c r="I771" s="1310" t="s">
        <v>1577</v>
      </c>
      <c r="J771" s="1310" t="s">
        <v>1598</v>
      </c>
      <c r="K771" s="1310" t="s">
        <v>1634</v>
      </c>
      <c r="L771" s="1310" t="s">
        <v>1618</v>
      </c>
      <c r="M771" s="1310" t="s">
        <v>1509</v>
      </c>
      <c r="N771" s="1310" t="s">
        <v>1647</v>
      </c>
      <c r="O771" s="1310" t="s">
        <v>1556</v>
      </c>
      <c r="P771" s="1310" t="s">
        <v>1443</v>
      </c>
      <c r="Q771" s="1310" t="s">
        <v>1450</v>
      </c>
      <c r="R771" s="1310" t="s">
        <v>1601</v>
      </c>
      <c r="S771" s="1310" t="s">
        <v>1490</v>
      </c>
      <c r="T771" s="1310" t="s">
        <v>1443</v>
      </c>
      <c r="U771" s="1310" t="s">
        <v>1450</v>
      </c>
      <c r="V771" s="1310" t="s">
        <v>128</v>
      </c>
      <c r="W771" s="1310" t="s">
        <v>1534</v>
      </c>
      <c r="X771" s="1310" t="s">
        <v>131</v>
      </c>
      <c r="Y771" s="1310" t="s">
        <v>1565</v>
      </c>
      <c r="Z771" s="1310" t="s">
        <v>1639</v>
      </c>
      <c r="AA771" s="1310" t="s">
        <v>1655</v>
      </c>
      <c r="AB771" s="1310" t="s">
        <v>1580</v>
      </c>
      <c r="AC771" s="1310" t="s">
        <v>1503</v>
      </c>
      <c r="AD771" s="1310" t="s">
        <v>1566</v>
      </c>
      <c r="AE771" s="1310" t="s">
        <v>1542</v>
      </c>
      <c r="AF771" s="1310" t="s">
        <v>1602</v>
      </c>
    </row>
    <row r="772" spans="1:32" x14ac:dyDescent="0.3">
      <c r="A772" s="1310" t="s">
        <v>1526</v>
      </c>
      <c r="B772" s="1310" t="s">
        <v>1641</v>
      </c>
      <c r="C772" s="1310" t="s">
        <v>1623</v>
      </c>
      <c r="D772" s="1310" t="s">
        <v>1443</v>
      </c>
      <c r="E772" s="1310" t="s">
        <v>1450</v>
      </c>
      <c r="F772" s="1310" t="s">
        <v>1456</v>
      </c>
      <c r="G772" s="1310" t="s">
        <v>1649</v>
      </c>
      <c r="H772" s="1310" t="s">
        <v>1443</v>
      </c>
      <c r="I772" s="1310" t="s">
        <v>1450</v>
      </c>
      <c r="J772" s="1310" t="s">
        <v>128</v>
      </c>
      <c r="K772" s="1310" t="s">
        <v>1602</v>
      </c>
      <c r="L772" s="1310" t="s">
        <v>1639</v>
      </c>
      <c r="M772" s="1310" t="s">
        <v>1461</v>
      </c>
      <c r="N772" s="1310" t="s">
        <v>1559</v>
      </c>
      <c r="O772" s="1310" t="s">
        <v>1552</v>
      </c>
      <c r="P772" s="1310" t="s">
        <v>1659</v>
      </c>
      <c r="Q772" s="1310" t="s">
        <v>1603</v>
      </c>
      <c r="R772" s="1310" t="s">
        <v>1503</v>
      </c>
      <c r="S772" s="1310" t="s">
        <v>1532</v>
      </c>
      <c r="T772" s="1310" t="s">
        <v>130</v>
      </c>
      <c r="U772" s="1310" t="s">
        <v>1641</v>
      </c>
      <c r="V772" s="1310" t="s">
        <v>1637</v>
      </c>
      <c r="W772" s="1310" t="s">
        <v>1617</v>
      </c>
      <c r="X772" s="1310" t="s">
        <v>1480</v>
      </c>
      <c r="Y772" s="1310" t="s">
        <v>1445</v>
      </c>
      <c r="Z772" s="1310" t="s">
        <v>1480</v>
      </c>
      <c r="AA772" s="1310" t="s">
        <v>1602</v>
      </c>
      <c r="AB772" s="1310" t="s">
        <v>1463</v>
      </c>
      <c r="AC772" s="1310" t="s">
        <v>1517</v>
      </c>
      <c r="AD772" s="1310" t="s">
        <v>132</v>
      </c>
      <c r="AE772" s="1310" t="s">
        <v>1546</v>
      </c>
      <c r="AF772" s="1310" t="s">
        <v>1602</v>
      </c>
    </row>
    <row r="773" spans="1:32" x14ac:dyDescent="0.3">
      <c r="A773" s="1310" t="s">
        <v>1622</v>
      </c>
      <c r="B773" s="1310" t="s">
        <v>1517</v>
      </c>
      <c r="C773" s="1310" t="s">
        <v>1660</v>
      </c>
      <c r="D773" s="1310" t="s">
        <v>1505</v>
      </c>
      <c r="E773" s="1310" t="s">
        <v>1443</v>
      </c>
      <c r="F773" s="1310" t="s">
        <v>1450</v>
      </c>
      <c r="G773" s="1310" t="s">
        <v>1484</v>
      </c>
      <c r="H773" s="1310" t="s">
        <v>1614</v>
      </c>
      <c r="I773" s="1310" t="s">
        <v>1641</v>
      </c>
      <c r="J773" s="1310" t="s">
        <v>1557</v>
      </c>
      <c r="K773" s="1310" t="s">
        <v>1659</v>
      </c>
      <c r="L773" s="1310" t="s">
        <v>1570</v>
      </c>
      <c r="M773" s="1310" t="s">
        <v>1560</v>
      </c>
      <c r="N773" s="1310" t="s">
        <v>6</v>
      </c>
      <c r="O773" s="1310" t="s">
        <v>1514</v>
      </c>
      <c r="P773" s="1310" t="s">
        <v>1443</v>
      </c>
      <c r="Q773" s="1310" t="s">
        <v>1450</v>
      </c>
      <c r="R773" s="1310" t="s">
        <v>1559</v>
      </c>
      <c r="S773" s="1310" t="s">
        <v>1613</v>
      </c>
      <c r="T773" s="1310" t="s">
        <v>1510</v>
      </c>
      <c r="U773" s="1310" t="s">
        <v>1622</v>
      </c>
      <c r="V773" s="1310" t="s">
        <v>1490</v>
      </c>
      <c r="W773" s="1310" t="s">
        <v>1443</v>
      </c>
      <c r="X773" s="1310" t="s">
        <v>1450</v>
      </c>
      <c r="Y773" s="1310" t="s">
        <v>1451</v>
      </c>
      <c r="Z773" s="1310" t="s">
        <v>1460</v>
      </c>
      <c r="AA773" s="1310" t="s">
        <v>1660</v>
      </c>
      <c r="AB773" s="1310" t="s">
        <v>1635</v>
      </c>
      <c r="AC773" s="1310" t="s">
        <v>1600</v>
      </c>
      <c r="AD773" s="1310" t="s">
        <v>1641</v>
      </c>
      <c r="AE773" s="1310" t="s">
        <v>1579</v>
      </c>
      <c r="AF773" s="1310" t="s">
        <v>1605</v>
      </c>
    </row>
    <row r="774" spans="1:32" x14ac:dyDescent="0.3">
      <c r="A774" s="1310" t="s">
        <v>1608</v>
      </c>
      <c r="B774" s="1310" t="s">
        <v>1656</v>
      </c>
      <c r="C774" s="1310" t="s">
        <v>130</v>
      </c>
      <c r="D774" s="1310" t="s">
        <v>1655</v>
      </c>
      <c r="E774" s="1310" t="s">
        <v>1614</v>
      </c>
      <c r="F774" s="1310" t="s">
        <v>1576</v>
      </c>
      <c r="G774" s="1310" t="s">
        <v>1533</v>
      </c>
      <c r="H774" s="1310" t="s">
        <v>1475</v>
      </c>
      <c r="I774" s="1310" t="s">
        <v>1622</v>
      </c>
      <c r="J774" s="1310" t="s">
        <v>1446</v>
      </c>
      <c r="K774" s="1310" t="s">
        <v>1443</v>
      </c>
      <c r="L774" s="1310" t="s">
        <v>1450</v>
      </c>
      <c r="M774" s="1310" t="s">
        <v>1537</v>
      </c>
      <c r="N774" s="1310" t="s">
        <v>1532</v>
      </c>
      <c r="O774" s="1310" t="s">
        <v>1650</v>
      </c>
      <c r="P774" s="1310" t="s">
        <v>1602</v>
      </c>
      <c r="Q774" s="1310" t="s">
        <v>1612</v>
      </c>
      <c r="R774" s="1310" t="s">
        <v>1507</v>
      </c>
      <c r="S774" s="1310" t="s">
        <v>1448</v>
      </c>
      <c r="T774" s="1310" t="s">
        <v>1603</v>
      </c>
      <c r="U774" s="1310" t="s">
        <v>1552</v>
      </c>
      <c r="V774" s="1310" t="s">
        <v>1598</v>
      </c>
      <c r="W774" s="1310" t="s">
        <v>1504</v>
      </c>
      <c r="X774" s="1310" t="s">
        <v>1478</v>
      </c>
      <c r="Y774" s="1310" t="s">
        <v>1623</v>
      </c>
      <c r="Z774" s="1310" t="s">
        <v>111</v>
      </c>
      <c r="AA774" s="1310" t="s">
        <v>1443</v>
      </c>
      <c r="AB774" s="1310" t="s">
        <v>1450</v>
      </c>
      <c r="AC774" s="1310" t="s">
        <v>1642</v>
      </c>
      <c r="AD774" s="1310" t="s">
        <v>1587</v>
      </c>
      <c r="AE774" s="1310" t="s">
        <v>1488</v>
      </c>
      <c r="AF774" s="1310" t="s">
        <v>1468</v>
      </c>
    </row>
    <row r="775" spans="1:32" x14ac:dyDescent="0.3">
      <c r="A775" s="1310" t="s">
        <v>1470</v>
      </c>
      <c r="B775" s="1310" t="s">
        <v>1645</v>
      </c>
      <c r="C775" s="1310" t="s">
        <v>1639</v>
      </c>
      <c r="D775" s="1310" t="s">
        <v>1494</v>
      </c>
      <c r="E775" s="1310" t="s">
        <v>1537</v>
      </c>
      <c r="F775" s="1310" t="s">
        <v>1647</v>
      </c>
      <c r="G775" s="1310" t="s">
        <v>1602</v>
      </c>
      <c r="H775" s="1310" t="s">
        <v>1641</v>
      </c>
      <c r="I775" s="1310" t="s">
        <v>1444</v>
      </c>
      <c r="J775" s="1310" t="s">
        <v>1641</v>
      </c>
      <c r="K775" s="1310" t="s">
        <v>1568</v>
      </c>
      <c r="L775" s="1310" t="s">
        <v>6</v>
      </c>
      <c r="M775" s="1310" t="s">
        <v>1639</v>
      </c>
      <c r="N775" s="1310" t="s">
        <v>1582</v>
      </c>
      <c r="O775" s="1310" t="s">
        <v>1607</v>
      </c>
      <c r="P775" s="1310" t="s">
        <v>1632</v>
      </c>
      <c r="Q775" s="1310" t="s">
        <v>1594</v>
      </c>
      <c r="R775" s="1310" t="s">
        <v>1549</v>
      </c>
      <c r="S775" s="1310" t="s">
        <v>1555</v>
      </c>
      <c r="T775" s="1310" t="s">
        <v>1636</v>
      </c>
      <c r="U775" s="1310" t="s">
        <v>1484</v>
      </c>
      <c r="V775" s="1310" t="s">
        <v>1580</v>
      </c>
      <c r="W775" s="1310" t="s">
        <v>128</v>
      </c>
      <c r="X775" s="1310" t="s">
        <v>1628</v>
      </c>
      <c r="Y775" s="1310" t="s">
        <v>132</v>
      </c>
      <c r="Z775" s="1310" t="s">
        <v>1030</v>
      </c>
      <c r="AA775" s="1310" t="s">
        <v>1636</v>
      </c>
      <c r="AB775" s="1310" t="s">
        <v>264</v>
      </c>
      <c r="AC775" s="1310" t="s">
        <v>1572</v>
      </c>
      <c r="AD775" s="1310" t="s">
        <v>1567</v>
      </c>
      <c r="AE775" s="1310" t="s">
        <v>1639</v>
      </c>
      <c r="AF775" s="1310" t="s">
        <v>1497</v>
      </c>
    </row>
    <row r="776" spans="1:32" x14ac:dyDescent="0.3">
      <c r="A776" s="1310" t="s">
        <v>1640</v>
      </c>
      <c r="B776" s="1310" t="s">
        <v>1646</v>
      </c>
      <c r="C776" s="1310" t="s">
        <v>1614</v>
      </c>
      <c r="D776" s="1310" t="s">
        <v>1564</v>
      </c>
      <c r="E776" s="1310" t="s">
        <v>1575</v>
      </c>
      <c r="F776" s="1310" t="s">
        <v>127</v>
      </c>
      <c r="G776" s="1310" t="s">
        <v>1530</v>
      </c>
      <c r="H776" s="1310" t="s">
        <v>1451</v>
      </c>
      <c r="I776" s="1310" t="s">
        <v>1443</v>
      </c>
      <c r="J776" s="1310" t="s">
        <v>1450</v>
      </c>
      <c r="K776" s="1310" t="s">
        <v>1504</v>
      </c>
      <c r="L776" s="1310" t="s">
        <v>1549</v>
      </c>
      <c r="M776" s="1310" t="s">
        <v>1443</v>
      </c>
      <c r="N776" s="1310" t="s">
        <v>1450</v>
      </c>
      <c r="O776" s="1310" t="s">
        <v>1451</v>
      </c>
      <c r="P776" s="1310" t="s">
        <v>1515</v>
      </c>
      <c r="Q776" s="1310" t="s">
        <v>121</v>
      </c>
      <c r="R776" s="1310" t="s">
        <v>1628</v>
      </c>
      <c r="S776" s="1310" t="s">
        <v>1636</v>
      </c>
      <c r="T776" s="1310" t="s">
        <v>1503</v>
      </c>
      <c r="U776" s="1310" t="s">
        <v>1619</v>
      </c>
      <c r="V776" s="1310" t="s">
        <v>127</v>
      </c>
      <c r="W776" s="1310" t="s">
        <v>1571</v>
      </c>
      <c r="X776" s="1310" t="s">
        <v>1517</v>
      </c>
      <c r="Y776" s="1310" t="s">
        <v>1470</v>
      </c>
      <c r="Z776" s="1310" t="s">
        <v>132</v>
      </c>
      <c r="AA776" s="1310" t="s">
        <v>1499</v>
      </c>
      <c r="AB776" s="1310" t="s">
        <v>1488</v>
      </c>
      <c r="AC776" s="1310" t="s">
        <v>1592</v>
      </c>
      <c r="AD776" s="1310" t="s">
        <v>1554</v>
      </c>
      <c r="AE776" s="1310" t="s">
        <v>1452</v>
      </c>
      <c r="AF776" s="1310" t="s">
        <v>1577</v>
      </c>
    </row>
    <row r="777" spans="1:32" x14ac:dyDescent="0.3">
      <c r="A777" s="1310" t="s">
        <v>1501</v>
      </c>
      <c r="B777" s="1310" t="s">
        <v>1636</v>
      </c>
      <c r="C777" s="1310" t="s">
        <v>1481</v>
      </c>
      <c r="D777" s="1310" t="s">
        <v>1580</v>
      </c>
      <c r="E777" s="1310" t="s">
        <v>1443</v>
      </c>
      <c r="F777" s="1310" t="s">
        <v>1450</v>
      </c>
      <c r="G777" s="1310" t="s">
        <v>1535</v>
      </c>
      <c r="H777" s="1310" t="s">
        <v>1559</v>
      </c>
      <c r="I777" s="1310" t="s">
        <v>114</v>
      </c>
      <c r="J777" s="1310" t="s">
        <v>1443</v>
      </c>
      <c r="K777" s="1310" t="s">
        <v>1450</v>
      </c>
      <c r="L777" s="1310" t="s">
        <v>1469</v>
      </c>
      <c r="M777" s="1310" t="s">
        <v>1499</v>
      </c>
      <c r="N777" s="1310" t="s">
        <v>1607</v>
      </c>
      <c r="O777" s="1310" t="s">
        <v>1639</v>
      </c>
      <c r="P777" s="1310" t="s">
        <v>1563</v>
      </c>
      <c r="Q777" s="1310" t="s">
        <v>1599</v>
      </c>
      <c r="R777" s="1310" t="s">
        <v>1564</v>
      </c>
      <c r="S777" s="1310" t="s">
        <v>1529</v>
      </c>
      <c r="T777" s="1310" t="s">
        <v>1580</v>
      </c>
      <c r="U777" s="1310" t="s">
        <v>118</v>
      </c>
      <c r="V777" s="1310" t="s">
        <v>1563</v>
      </c>
      <c r="W777" s="1310" t="s">
        <v>1636</v>
      </c>
      <c r="X777" s="1310" t="s">
        <v>1461</v>
      </c>
      <c r="Y777" s="1310" t="s">
        <v>130</v>
      </c>
      <c r="Z777" s="1310" t="s">
        <v>1443</v>
      </c>
      <c r="AA777" s="1310" t="s">
        <v>1450</v>
      </c>
      <c r="AB777" s="1310" t="s">
        <v>120</v>
      </c>
      <c r="AC777" s="1310" t="s">
        <v>112</v>
      </c>
      <c r="AD777" s="1310" t="s">
        <v>1443</v>
      </c>
      <c r="AE777" s="1310" t="s">
        <v>1450</v>
      </c>
      <c r="AF777" s="1310" t="s">
        <v>1651</v>
      </c>
    </row>
    <row r="778" spans="1:32" x14ac:dyDescent="0.3">
      <c r="A778" s="1310" t="s">
        <v>131</v>
      </c>
      <c r="B778" s="1310" t="s">
        <v>1600</v>
      </c>
      <c r="C778" s="1310" t="s">
        <v>1619</v>
      </c>
      <c r="D778" s="1310" t="s">
        <v>1648</v>
      </c>
      <c r="E778" s="1310" t="s">
        <v>1636</v>
      </c>
      <c r="F778" s="1310" t="s">
        <v>133</v>
      </c>
      <c r="G778" s="1310" t="s">
        <v>1641</v>
      </c>
      <c r="H778" s="1310" t="s">
        <v>1575</v>
      </c>
      <c r="I778" s="1310" t="s">
        <v>1498</v>
      </c>
      <c r="J778" s="1310" t="s">
        <v>1596</v>
      </c>
      <c r="K778" s="1310" t="s">
        <v>132</v>
      </c>
      <c r="L778" s="1310" t="s">
        <v>1463</v>
      </c>
      <c r="M778" s="1310" t="s">
        <v>1448</v>
      </c>
      <c r="N778" s="1310" t="s">
        <v>1492</v>
      </c>
      <c r="O778" s="1310" t="s">
        <v>1602</v>
      </c>
      <c r="P778" s="1310" t="s">
        <v>1622</v>
      </c>
      <c r="Q778" s="1310" t="s">
        <v>1615</v>
      </c>
      <c r="R778" s="1310" t="s">
        <v>1637</v>
      </c>
      <c r="S778" s="1310" t="s">
        <v>1626</v>
      </c>
      <c r="T778" s="1310" t="s">
        <v>1653</v>
      </c>
      <c r="U778" s="1310" t="s">
        <v>1604</v>
      </c>
      <c r="V778" s="1310" t="s">
        <v>1659</v>
      </c>
      <c r="W778" s="1310" t="s">
        <v>1503</v>
      </c>
      <c r="X778" s="1310" t="s">
        <v>123</v>
      </c>
      <c r="Y778" s="1310" t="s">
        <v>1633</v>
      </c>
      <c r="Z778" s="1310" t="s">
        <v>1533</v>
      </c>
      <c r="AA778" s="1310" t="s">
        <v>114</v>
      </c>
      <c r="AB778" s="1310" t="s">
        <v>1659</v>
      </c>
      <c r="AC778" s="1310" t="s">
        <v>1543</v>
      </c>
      <c r="AD778" s="1310" t="s">
        <v>1621</v>
      </c>
      <c r="AE778" s="1310" t="s">
        <v>1644</v>
      </c>
      <c r="AF778" s="1310" t="s">
        <v>1518</v>
      </c>
    </row>
    <row r="779" spans="1:32" x14ac:dyDescent="0.3">
      <c r="A779" s="1310" t="s">
        <v>1588</v>
      </c>
      <c r="B779" s="1310" t="s">
        <v>117</v>
      </c>
      <c r="C779" s="1310" t="s">
        <v>129</v>
      </c>
      <c r="D779" s="1310" t="s">
        <v>1589</v>
      </c>
      <c r="E779" s="1310" t="s">
        <v>126</v>
      </c>
      <c r="F779" s="1310" t="s">
        <v>1445</v>
      </c>
      <c r="G779" s="1310" t="s">
        <v>1575</v>
      </c>
      <c r="H779" s="1310" t="s">
        <v>269</v>
      </c>
      <c r="I779" s="1310" t="s">
        <v>1512</v>
      </c>
      <c r="J779" s="1310" t="s">
        <v>1600</v>
      </c>
      <c r="K779" s="1310" t="s">
        <v>1587</v>
      </c>
      <c r="L779" s="1310" t="s">
        <v>267</v>
      </c>
      <c r="M779" s="1310" t="s">
        <v>1499</v>
      </c>
      <c r="N779" s="1310" t="s">
        <v>116</v>
      </c>
      <c r="O779" s="1310" t="s">
        <v>1449</v>
      </c>
      <c r="P779" s="1310" t="s">
        <v>123</v>
      </c>
      <c r="Q779" s="1310" t="s">
        <v>1444</v>
      </c>
      <c r="R779" s="1310" t="s">
        <v>1482</v>
      </c>
      <c r="S779" s="1310" t="s">
        <v>1519</v>
      </c>
      <c r="T779" s="1310" t="s">
        <v>1549</v>
      </c>
      <c r="U779" s="1310" t="s">
        <v>1444</v>
      </c>
      <c r="V779" s="1310" t="s">
        <v>1574</v>
      </c>
      <c r="W779" s="1310" t="s">
        <v>1593</v>
      </c>
      <c r="X779" s="1310" t="s">
        <v>1462</v>
      </c>
      <c r="Y779" s="1310" t="s">
        <v>1475</v>
      </c>
      <c r="Z779" s="1310" t="s">
        <v>1568</v>
      </c>
      <c r="AA779" s="1310" t="s">
        <v>1490</v>
      </c>
      <c r="AB779" s="1310" t="s">
        <v>1580</v>
      </c>
      <c r="AC779" s="1310" t="s">
        <v>1498</v>
      </c>
      <c r="AD779" s="1310" t="s">
        <v>1612</v>
      </c>
      <c r="AE779" s="1310" t="s">
        <v>1529</v>
      </c>
      <c r="AF779" s="1310" t="s">
        <v>1590</v>
      </c>
    </row>
    <row r="780" spans="1:32" x14ac:dyDescent="0.3">
      <c r="A780" s="1310" t="s">
        <v>1507</v>
      </c>
      <c r="B780" s="1310" t="s">
        <v>1443</v>
      </c>
      <c r="C780" s="1310" t="s">
        <v>1450</v>
      </c>
      <c r="D780" s="1310" t="s">
        <v>1461</v>
      </c>
      <c r="E780" s="1310" t="s">
        <v>1459</v>
      </c>
      <c r="F780" s="1310" t="s">
        <v>1603</v>
      </c>
      <c r="G780" s="1310" t="s">
        <v>1550</v>
      </c>
      <c r="H780" s="1310" t="s">
        <v>262</v>
      </c>
      <c r="I780" s="1310" t="s">
        <v>122</v>
      </c>
      <c r="J780" s="1310" t="s">
        <v>1641</v>
      </c>
      <c r="K780" s="1310" t="s">
        <v>1563</v>
      </c>
      <c r="L780" s="1310" t="s">
        <v>1494</v>
      </c>
      <c r="M780" s="1310" t="s">
        <v>118</v>
      </c>
      <c r="N780" s="1310" t="s">
        <v>1529</v>
      </c>
      <c r="O780" s="1310" t="s">
        <v>1590</v>
      </c>
      <c r="P780" s="1310" t="s">
        <v>1481</v>
      </c>
      <c r="Q780" s="1310" t="s">
        <v>1622</v>
      </c>
      <c r="R780" s="1310" t="s">
        <v>1550</v>
      </c>
      <c r="S780" s="1310" t="s">
        <v>1636</v>
      </c>
      <c r="T780" s="1310" t="s">
        <v>1565</v>
      </c>
      <c r="U780" s="1310" t="s">
        <v>1495</v>
      </c>
      <c r="V780" s="1310" t="s">
        <v>1448</v>
      </c>
      <c r="W780" s="1310" t="s">
        <v>1558</v>
      </c>
      <c r="X780" s="1310" t="s">
        <v>1605</v>
      </c>
      <c r="Y780" s="1310" t="s">
        <v>1593</v>
      </c>
      <c r="Z780" s="1310" t="s">
        <v>1505</v>
      </c>
      <c r="AA780" s="1310" t="s">
        <v>1485</v>
      </c>
      <c r="AB780" s="1310" t="s">
        <v>1649</v>
      </c>
      <c r="AC780" s="1310" t="s">
        <v>115</v>
      </c>
      <c r="AD780" s="1310" t="s">
        <v>1530</v>
      </c>
      <c r="AE780" s="1310" t="s">
        <v>1570</v>
      </c>
      <c r="AF780" s="1310" t="s">
        <v>1606</v>
      </c>
    </row>
    <row r="781" spans="1:32" x14ac:dyDescent="0.3">
      <c r="A781" s="1310" t="s">
        <v>1521</v>
      </c>
      <c r="B781" s="1310" t="s">
        <v>1586</v>
      </c>
      <c r="C781" s="1310" t="s">
        <v>1574</v>
      </c>
      <c r="D781" s="1310" t="s">
        <v>122</v>
      </c>
      <c r="E781" s="1310" t="s">
        <v>1493</v>
      </c>
      <c r="F781" s="1310" t="s">
        <v>1443</v>
      </c>
      <c r="G781" s="1310" t="s">
        <v>1450</v>
      </c>
      <c r="H781" s="1310" t="s">
        <v>116</v>
      </c>
      <c r="I781" s="1310" t="s">
        <v>1558</v>
      </c>
      <c r="J781" s="1310" t="s">
        <v>1480</v>
      </c>
      <c r="K781" s="1310" t="s">
        <v>1581</v>
      </c>
      <c r="L781" s="1310" t="s">
        <v>1629</v>
      </c>
      <c r="M781" s="1310" t="s">
        <v>1503</v>
      </c>
      <c r="N781" s="1310" t="s">
        <v>1571</v>
      </c>
      <c r="O781" s="1310" t="s">
        <v>268</v>
      </c>
      <c r="P781" s="1310" t="s">
        <v>268</v>
      </c>
      <c r="Q781" s="1310" t="s">
        <v>1483</v>
      </c>
      <c r="R781" s="1310" t="s">
        <v>1566</v>
      </c>
      <c r="S781" s="1310" t="s">
        <v>1599</v>
      </c>
      <c r="T781" s="1310" t="s">
        <v>266</v>
      </c>
      <c r="U781" s="1310" t="s">
        <v>264</v>
      </c>
      <c r="V781" s="1310" t="s">
        <v>1482</v>
      </c>
      <c r="W781" s="1310" t="s">
        <v>1561</v>
      </c>
      <c r="X781" s="1310" t="s">
        <v>116</v>
      </c>
      <c r="Y781" s="1310" t="s">
        <v>1570</v>
      </c>
      <c r="Z781" s="1310" t="s">
        <v>1489</v>
      </c>
      <c r="AA781" s="1310" t="s">
        <v>1444</v>
      </c>
      <c r="AB781" s="1310" t="s">
        <v>1481</v>
      </c>
      <c r="AC781" s="1310" t="s">
        <v>1566</v>
      </c>
      <c r="AD781" s="1310" t="s">
        <v>114</v>
      </c>
      <c r="AE781" s="1310" t="s">
        <v>129</v>
      </c>
      <c r="AF781" s="1310" t="s">
        <v>1507</v>
      </c>
    </row>
    <row r="782" spans="1:32" x14ac:dyDescent="0.3">
      <c r="A782" s="1310" t="s">
        <v>1480</v>
      </c>
      <c r="B782" s="1310" t="s">
        <v>1588</v>
      </c>
      <c r="C782" s="1310" t="s">
        <v>1564</v>
      </c>
      <c r="D782" s="1310" t="s">
        <v>1475</v>
      </c>
      <c r="E782" s="1310" t="s">
        <v>1444</v>
      </c>
      <c r="F782" s="1310" t="s">
        <v>269</v>
      </c>
      <c r="G782" s="1310" t="s">
        <v>122</v>
      </c>
      <c r="H782" s="1310" t="s">
        <v>1504</v>
      </c>
      <c r="I782" s="1310" t="s">
        <v>1562</v>
      </c>
      <c r="J782" s="1310" t="s">
        <v>1582</v>
      </c>
      <c r="K782" s="1310" t="s">
        <v>1632</v>
      </c>
      <c r="L782" s="1310" t="s">
        <v>1480</v>
      </c>
      <c r="M782" s="1310" t="s">
        <v>1645</v>
      </c>
      <c r="N782" s="1310" t="s">
        <v>1500</v>
      </c>
      <c r="O782" s="1310" t="s">
        <v>1483</v>
      </c>
      <c r="P782" s="1310" t="s">
        <v>1568</v>
      </c>
      <c r="Q782" s="1310" t="s">
        <v>1643</v>
      </c>
      <c r="R782" s="1310" t="s">
        <v>1452</v>
      </c>
      <c r="S782" s="1310" t="s">
        <v>1520</v>
      </c>
      <c r="T782" s="1310" t="s">
        <v>1572</v>
      </c>
      <c r="U782" s="1310" t="s">
        <v>1549</v>
      </c>
      <c r="V782" s="1310" t="s">
        <v>1531</v>
      </c>
      <c r="W782" s="1310" t="s">
        <v>262</v>
      </c>
      <c r="X782" s="1310" t="s">
        <v>1567</v>
      </c>
      <c r="Y782" s="1310" t="s">
        <v>1601</v>
      </c>
      <c r="Z782" s="1310" t="s">
        <v>1584</v>
      </c>
      <c r="AA782" s="1310" t="s">
        <v>1451</v>
      </c>
      <c r="AB782" s="1310" t="s">
        <v>1595</v>
      </c>
      <c r="AC782" s="1310" t="s">
        <v>121</v>
      </c>
      <c r="AD782" s="1310" t="s">
        <v>1457</v>
      </c>
      <c r="AE782" s="1310" t="s">
        <v>1461</v>
      </c>
      <c r="AF782" s="1310" t="s">
        <v>1660</v>
      </c>
    </row>
    <row r="783" spans="1:32" x14ac:dyDescent="0.3">
      <c r="A783" s="1310" t="s">
        <v>1443</v>
      </c>
      <c r="B783" s="1310" t="s">
        <v>1450</v>
      </c>
      <c r="C783" s="1310" t="s">
        <v>1588</v>
      </c>
      <c r="D783" s="1310" t="s">
        <v>471</v>
      </c>
      <c r="E783" s="1310" t="s">
        <v>1591</v>
      </c>
      <c r="F783" s="1310" t="s">
        <v>1483</v>
      </c>
      <c r="G783" s="1310" t="s">
        <v>132</v>
      </c>
      <c r="H783" s="1310" t="s">
        <v>1547</v>
      </c>
      <c r="I783" s="1310" t="s">
        <v>118</v>
      </c>
      <c r="J783" s="1310" t="s">
        <v>1595</v>
      </c>
      <c r="K783" s="1310" t="s">
        <v>1570</v>
      </c>
      <c r="L783" s="1310" t="s">
        <v>1494</v>
      </c>
      <c r="M783" s="1310" t="s">
        <v>128</v>
      </c>
      <c r="N783" s="1310" t="s">
        <v>1520</v>
      </c>
      <c r="O783" s="1310" t="s">
        <v>1565</v>
      </c>
      <c r="P783" s="1310" t="s">
        <v>116</v>
      </c>
      <c r="Q783" s="1310" t="s">
        <v>132</v>
      </c>
      <c r="R783" s="1310" t="s">
        <v>1532</v>
      </c>
      <c r="S783" s="1310" t="s">
        <v>471</v>
      </c>
      <c r="T783" s="1310" t="s">
        <v>1484</v>
      </c>
      <c r="U783" s="1310" t="s">
        <v>1459</v>
      </c>
      <c r="V783" s="1310" t="s">
        <v>1559</v>
      </c>
      <c r="W783" s="1310" t="s">
        <v>1630</v>
      </c>
      <c r="X783" s="1310" t="s">
        <v>1539</v>
      </c>
      <c r="Y783" s="1310" t="s">
        <v>1573</v>
      </c>
      <c r="Z783" s="1310" t="s">
        <v>1659</v>
      </c>
      <c r="AA783" s="1310" t="s">
        <v>262</v>
      </c>
      <c r="AB783" s="1310" t="s">
        <v>1538</v>
      </c>
      <c r="AC783" s="1310" t="s">
        <v>1600</v>
      </c>
      <c r="AD783" s="1310" t="s">
        <v>1475</v>
      </c>
      <c r="AE783" s="1310" t="s">
        <v>1503</v>
      </c>
      <c r="AF783" s="1310" t="s">
        <v>1574</v>
      </c>
    </row>
    <row r="784" spans="1:32" x14ac:dyDescent="0.3">
      <c r="A784" s="1310" t="s">
        <v>1533</v>
      </c>
      <c r="B784" s="1310" t="s">
        <v>1630</v>
      </c>
      <c r="C784" s="1310" t="s">
        <v>1448</v>
      </c>
      <c r="D784" s="1310" t="s">
        <v>1560</v>
      </c>
      <c r="E784" s="1310" t="s">
        <v>1629</v>
      </c>
      <c r="F784" s="1310" t="s">
        <v>1593</v>
      </c>
      <c r="G784" s="1310" t="s">
        <v>1505</v>
      </c>
      <c r="H784" s="1310" t="s">
        <v>1459</v>
      </c>
      <c r="I784" s="1310" t="s">
        <v>1460</v>
      </c>
      <c r="J784" s="1310" t="s">
        <v>1573</v>
      </c>
      <c r="K784" s="1310" t="s">
        <v>1640</v>
      </c>
      <c r="L784" s="1310" t="s">
        <v>1549</v>
      </c>
      <c r="M784" s="1310" t="s">
        <v>268</v>
      </c>
      <c r="N784" s="1310" t="s">
        <v>1474</v>
      </c>
      <c r="O784" s="1310" t="s">
        <v>113</v>
      </c>
      <c r="P784" s="1310" t="s">
        <v>1588</v>
      </c>
      <c r="Q784" s="1310" t="s">
        <v>1623</v>
      </c>
      <c r="R784" s="1310" t="s">
        <v>1630</v>
      </c>
      <c r="S784" s="1310" t="s">
        <v>116</v>
      </c>
      <c r="T784" s="1310" t="s">
        <v>1451</v>
      </c>
      <c r="U784" s="1310" t="s">
        <v>1594</v>
      </c>
      <c r="V784" s="1310" t="s">
        <v>1484</v>
      </c>
      <c r="W784" s="1310" t="s">
        <v>1614</v>
      </c>
      <c r="X784" s="1310" t="s">
        <v>268</v>
      </c>
      <c r="Y784" s="1310" t="s">
        <v>1539</v>
      </c>
      <c r="Z784" s="1310" t="s">
        <v>1564</v>
      </c>
      <c r="AA784" s="1310" t="s">
        <v>1532</v>
      </c>
      <c r="AB784" s="1310" t="s">
        <v>1473</v>
      </c>
      <c r="AC784" s="1310" t="s">
        <v>263</v>
      </c>
      <c r="AD784" s="1310" t="s">
        <v>1595</v>
      </c>
      <c r="AE784" s="1310" t="s">
        <v>116</v>
      </c>
      <c r="AF784" s="1310" t="s">
        <v>1573</v>
      </c>
    </row>
    <row r="785" spans="1:32" x14ac:dyDescent="0.3">
      <c r="A785" s="1310" t="s">
        <v>1556</v>
      </c>
      <c r="B785" s="1310" t="s">
        <v>1484</v>
      </c>
      <c r="C785" s="1310" t="s">
        <v>1443</v>
      </c>
      <c r="D785" s="1310" t="s">
        <v>1450</v>
      </c>
      <c r="E785" s="1310" t="s">
        <v>1500</v>
      </c>
      <c r="F785" s="1310" t="s">
        <v>1507</v>
      </c>
      <c r="G785" s="1310" t="s">
        <v>1614</v>
      </c>
      <c r="H785" s="1310" t="s">
        <v>1484</v>
      </c>
      <c r="I785" s="1310" t="s">
        <v>1509</v>
      </c>
      <c r="J785" s="1310" t="s">
        <v>1610</v>
      </c>
      <c r="K785" s="1310" t="s">
        <v>1449</v>
      </c>
      <c r="L785" s="1310" t="s">
        <v>1509</v>
      </c>
      <c r="M785" s="1310" t="s">
        <v>1503</v>
      </c>
      <c r="N785" s="1310" t="s">
        <v>1621</v>
      </c>
      <c r="O785" s="1310" t="s">
        <v>112</v>
      </c>
      <c r="P785" s="1310" t="s">
        <v>115</v>
      </c>
      <c r="Q785" s="1310" t="s">
        <v>1502</v>
      </c>
      <c r="R785" s="1310" t="s">
        <v>1591</v>
      </c>
      <c r="S785" s="1310" t="s">
        <v>1559</v>
      </c>
      <c r="T785" s="1310" t="s">
        <v>110</v>
      </c>
      <c r="U785" s="1310" t="s">
        <v>1624</v>
      </c>
      <c r="V785" s="1310" t="s">
        <v>1449</v>
      </c>
      <c r="W785" s="1310" t="s">
        <v>125</v>
      </c>
      <c r="X785" s="1310" t="s">
        <v>1520</v>
      </c>
      <c r="Y785" s="1310" t="s">
        <v>1631</v>
      </c>
      <c r="Z785" s="1310" t="s">
        <v>123</v>
      </c>
      <c r="AA785" s="1310" t="s">
        <v>1500</v>
      </c>
      <c r="AB785" s="1310" t="s">
        <v>124</v>
      </c>
      <c r="AC785" s="1310" t="s">
        <v>1578</v>
      </c>
      <c r="AD785" s="1310" t="s">
        <v>1538</v>
      </c>
      <c r="AE785" s="1310" t="s">
        <v>1561</v>
      </c>
      <c r="AF785" s="1310" t="s">
        <v>1443</v>
      </c>
    </row>
    <row r="786" spans="1:32" x14ac:dyDescent="0.3">
      <c r="A786" s="1310" t="s">
        <v>1450</v>
      </c>
      <c r="B786" s="1310" t="s">
        <v>1450</v>
      </c>
      <c r="C786" s="1310" t="s">
        <v>1542</v>
      </c>
      <c r="D786" s="1310" t="s">
        <v>1585</v>
      </c>
      <c r="E786" s="1310" t="s">
        <v>115</v>
      </c>
      <c r="F786" s="1310" t="s">
        <v>114</v>
      </c>
      <c r="G786" s="1310" t="s">
        <v>1646</v>
      </c>
      <c r="H786" s="1310" t="s">
        <v>113</v>
      </c>
      <c r="I786" s="1310" t="s">
        <v>1509</v>
      </c>
      <c r="J786" s="1310" t="s">
        <v>1631</v>
      </c>
      <c r="K786" s="1310" t="s">
        <v>1604</v>
      </c>
      <c r="L786" s="1310" t="s">
        <v>129</v>
      </c>
      <c r="M786" s="1310" t="s">
        <v>1579</v>
      </c>
      <c r="N786" s="1310" t="s">
        <v>115</v>
      </c>
      <c r="O786" s="1310" t="s">
        <v>1551</v>
      </c>
      <c r="P786" s="1310" t="s">
        <v>1497</v>
      </c>
      <c r="Q786" s="1310" t="s">
        <v>1577</v>
      </c>
      <c r="R786" s="1310" t="s">
        <v>1542</v>
      </c>
      <c r="S786" s="1310" t="s">
        <v>1631</v>
      </c>
      <c r="T786" s="1310" t="s">
        <v>1629</v>
      </c>
      <c r="U786" s="1310" t="s">
        <v>1598</v>
      </c>
      <c r="V786" s="1310" t="s">
        <v>1473</v>
      </c>
      <c r="W786" s="1310" t="s">
        <v>1561</v>
      </c>
      <c r="X786" s="1310" t="s">
        <v>1635</v>
      </c>
      <c r="Y786" s="1310" t="s">
        <v>1578</v>
      </c>
      <c r="Z786" s="1310" t="s">
        <v>1488</v>
      </c>
      <c r="AA786" s="1310" t="s">
        <v>1558</v>
      </c>
      <c r="AB786" s="1310" t="s">
        <v>1540</v>
      </c>
      <c r="AC786" s="1310" t="s">
        <v>1511</v>
      </c>
      <c r="AD786" s="1310" t="s">
        <v>1546</v>
      </c>
      <c r="AE786" s="1310" t="s">
        <v>1519</v>
      </c>
      <c r="AF786" s="1310" t="s">
        <v>1457</v>
      </c>
    </row>
    <row r="787" spans="1:32" x14ac:dyDescent="0.3">
      <c r="A787" s="1310" t="s">
        <v>1605</v>
      </c>
      <c r="B787" s="1310" t="s">
        <v>1459</v>
      </c>
      <c r="C787" s="1310" t="s">
        <v>1596</v>
      </c>
      <c r="D787" s="1310" t="s">
        <v>1518</v>
      </c>
      <c r="E787" s="1310" t="s">
        <v>1473</v>
      </c>
      <c r="F787" s="1310" t="s">
        <v>1556</v>
      </c>
      <c r="G787" s="1310" t="s">
        <v>1600</v>
      </c>
      <c r="H787" s="1310" t="s">
        <v>1479</v>
      </c>
      <c r="I787" s="1310" t="s">
        <v>1514</v>
      </c>
      <c r="J787" s="1310" t="s">
        <v>1514</v>
      </c>
      <c r="K787" s="1310" t="s">
        <v>1549</v>
      </c>
      <c r="L787" s="1310" t="s">
        <v>1486</v>
      </c>
      <c r="M787" s="1310" t="s">
        <v>1589</v>
      </c>
      <c r="N787" s="1310" t="s">
        <v>1445</v>
      </c>
      <c r="O787" s="1310" t="s">
        <v>1546</v>
      </c>
      <c r="P787" s="1310" t="s">
        <v>1514</v>
      </c>
      <c r="Q787" s="1310" t="s">
        <v>123</v>
      </c>
      <c r="R787" s="1310" t="s">
        <v>1476</v>
      </c>
      <c r="S787" s="1310" t="s">
        <v>1546</v>
      </c>
      <c r="T787" s="1310" t="s">
        <v>1601</v>
      </c>
      <c r="U787" s="1310" t="s">
        <v>1544</v>
      </c>
      <c r="V787" s="1310" t="s">
        <v>1635</v>
      </c>
      <c r="W787" s="1310" t="s">
        <v>1654</v>
      </c>
      <c r="X787" s="1310" t="s">
        <v>265</v>
      </c>
      <c r="Y787" s="1310" t="s">
        <v>1476</v>
      </c>
      <c r="Z787" s="1310" t="s">
        <v>1629</v>
      </c>
      <c r="AA787" s="1310" t="s">
        <v>1474</v>
      </c>
      <c r="AB787" s="1310" t="s">
        <v>1522</v>
      </c>
      <c r="AC787" s="1310" t="s">
        <v>1027</v>
      </c>
      <c r="AD787" s="1310" t="s">
        <v>117</v>
      </c>
      <c r="AE787" s="1310" t="s">
        <v>465</v>
      </c>
      <c r="AF787" s="1310" t="s">
        <v>1632</v>
      </c>
    </row>
    <row r="788" spans="1:32" x14ac:dyDescent="0.3">
      <c r="A788" s="1310" t="s">
        <v>1469</v>
      </c>
      <c r="B788" s="1310" t="s">
        <v>1583</v>
      </c>
      <c r="C788" s="1310" t="s">
        <v>1454</v>
      </c>
      <c r="D788" s="1310" t="s">
        <v>1520</v>
      </c>
      <c r="E788" s="1310" t="s">
        <v>1483</v>
      </c>
      <c r="F788" s="1310" t="s">
        <v>1642</v>
      </c>
      <c r="G788" s="1310" t="s">
        <v>1519</v>
      </c>
      <c r="H788" s="1310" t="s">
        <v>1521</v>
      </c>
      <c r="I788" s="1310" t="s">
        <v>1547</v>
      </c>
      <c r="J788" s="1310" t="s">
        <v>1487</v>
      </c>
      <c r="K788" s="1310" t="s">
        <v>1464</v>
      </c>
      <c r="L788" s="1310" t="s">
        <v>1494</v>
      </c>
      <c r="M788" s="1310" t="s">
        <v>1658</v>
      </c>
      <c r="N788" s="1310" t="s">
        <v>1509</v>
      </c>
      <c r="O788" s="1310" t="s">
        <v>270</v>
      </c>
      <c r="P788" s="1310" t="s">
        <v>1467</v>
      </c>
      <c r="Q788" s="1310" t="s">
        <v>1461</v>
      </c>
      <c r="R788" s="1310" t="s">
        <v>1520</v>
      </c>
      <c r="S788" s="1310" t="s">
        <v>1572</v>
      </c>
      <c r="T788" s="1310" t="s">
        <v>126</v>
      </c>
      <c r="U788" s="1310" t="s">
        <v>1559</v>
      </c>
      <c r="V788" s="1310" t="s">
        <v>1445</v>
      </c>
      <c r="W788" s="1310" t="s">
        <v>1594</v>
      </c>
      <c r="X788" s="1310" t="s">
        <v>1656</v>
      </c>
      <c r="Y788" s="1310" t="s">
        <v>1645</v>
      </c>
      <c r="Z788" s="1310" t="s">
        <v>1605</v>
      </c>
      <c r="AA788" s="1310" t="s">
        <v>1546</v>
      </c>
      <c r="AB788" s="1310" t="s">
        <v>1618</v>
      </c>
      <c r="AC788" s="1310" t="s">
        <v>1642</v>
      </c>
      <c r="AD788" s="1310" t="s">
        <v>1574</v>
      </c>
      <c r="AE788" s="1310" t="s">
        <v>1578</v>
      </c>
      <c r="AF788" s="1310" t="s">
        <v>1575</v>
      </c>
    </row>
    <row r="789" spans="1:32" x14ac:dyDescent="0.3">
      <c r="A789" s="1310" t="s">
        <v>1644</v>
      </c>
      <c r="B789" s="1310" t="s">
        <v>110</v>
      </c>
      <c r="C789" s="1310" t="s">
        <v>1626</v>
      </c>
      <c r="D789" s="1310" t="s">
        <v>1606</v>
      </c>
      <c r="E789" s="1310" t="s">
        <v>1585</v>
      </c>
      <c r="F789" s="1310" t="s">
        <v>1644</v>
      </c>
      <c r="G789" s="1310" t="s">
        <v>6</v>
      </c>
      <c r="H789" s="1310" t="s">
        <v>1658</v>
      </c>
      <c r="I789" s="1310" t="s">
        <v>1448</v>
      </c>
      <c r="J789" s="1310" t="s">
        <v>1630</v>
      </c>
      <c r="K789" s="1310" t="s">
        <v>1545</v>
      </c>
      <c r="L789" s="1310" t="s">
        <v>1499</v>
      </c>
      <c r="M789" s="1310" t="s">
        <v>1588</v>
      </c>
      <c r="N789" s="1310" t="s">
        <v>1474</v>
      </c>
      <c r="O789" s="1310" t="s">
        <v>1629</v>
      </c>
      <c r="P789" s="1310" t="s">
        <v>1561</v>
      </c>
      <c r="Q789" s="1310" t="s">
        <v>1611</v>
      </c>
      <c r="R789" s="1310" t="s">
        <v>1466</v>
      </c>
      <c r="S789" s="1310" t="s">
        <v>1455</v>
      </c>
      <c r="T789" s="1310" t="s">
        <v>1584</v>
      </c>
      <c r="U789" s="1310" t="s">
        <v>1634</v>
      </c>
      <c r="V789" s="1310" t="s">
        <v>1660</v>
      </c>
      <c r="W789" s="1310" t="s">
        <v>1587</v>
      </c>
      <c r="X789" s="1310" t="s">
        <v>1460</v>
      </c>
      <c r="Y789" s="1310" t="s">
        <v>1653</v>
      </c>
      <c r="Z789" s="1310" t="s">
        <v>1486</v>
      </c>
      <c r="AA789" s="1310" t="s">
        <v>1622</v>
      </c>
      <c r="AB789" s="1310" t="s">
        <v>119</v>
      </c>
      <c r="AC789" s="1310" t="s">
        <v>1554</v>
      </c>
      <c r="AD789" s="1310" t="s">
        <v>1534</v>
      </c>
      <c r="AE789" s="1310" t="s">
        <v>1558</v>
      </c>
      <c r="AF789" s="1310" t="s">
        <v>129</v>
      </c>
    </row>
    <row r="790" spans="1:32" x14ac:dyDescent="0.3">
      <c r="A790" s="1310" t="s">
        <v>1613</v>
      </c>
      <c r="B790" s="1310" t="s">
        <v>465</v>
      </c>
      <c r="C790" s="1310" t="s">
        <v>1495</v>
      </c>
      <c r="D790" s="1310" t="s">
        <v>1643</v>
      </c>
      <c r="E790" s="1310" t="s">
        <v>1477</v>
      </c>
      <c r="F790" s="1310" t="s">
        <v>1604</v>
      </c>
      <c r="G790" s="1310" t="s">
        <v>1570</v>
      </c>
      <c r="H790" s="1310" t="s">
        <v>1577</v>
      </c>
      <c r="I790" s="1310" t="s">
        <v>1568</v>
      </c>
      <c r="J790" s="1310" t="s">
        <v>1475</v>
      </c>
      <c r="K790" s="1310" t="s">
        <v>268</v>
      </c>
      <c r="L790" s="1310" t="s">
        <v>1580</v>
      </c>
      <c r="M790" s="1310" t="s">
        <v>1557</v>
      </c>
      <c r="N790" s="1310" t="s">
        <v>1463</v>
      </c>
      <c r="O790" s="1310" t="s">
        <v>1628</v>
      </c>
      <c r="P790" s="1310" t="s">
        <v>1601</v>
      </c>
      <c r="Q790" s="1310" t="s">
        <v>1530</v>
      </c>
      <c r="R790" s="1310" t="s">
        <v>1618</v>
      </c>
      <c r="S790" s="1310" t="s">
        <v>1546</v>
      </c>
      <c r="T790" s="1310" t="s">
        <v>1462</v>
      </c>
      <c r="U790" s="1310" t="s">
        <v>125</v>
      </c>
      <c r="V790" s="1310" t="s">
        <v>1556</v>
      </c>
      <c r="W790" s="1310" t="s">
        <v>1591</v>
      </c>
      <c r="X790" s="1310" t="s">
        <v>1606</v>
      </c>
      <c r="Y790" s="1310" t="s">
        <v>1450</v>
      </c>
      <c r="Z790" s="1310" t="s">
        <v>1503</v>
      </c>
      <c r="AA790" s="1310" t="s">
        <v>1444</v>
      </c>
      <c r="AB790" s="1310" t="s">
        <v>1568</v>
      </c>
      <c r="AC790" s="1310" t="s">
        <v>1542</v>
      </c>
      <c r="AD790" s="1310" t="s">
        <v>1588</v>
      </c>
      <c r="AE790" s="1310" t="s">
        <v>1452</v>
      </c>
      <c r="AF790" s="1310" t="s">
        <v>1611</v>
      </c>
    </row>
    <row r="791" spans="1:32" x14ac:dyDescent="0.3">
      <c r="A791" s="1310" t="s">
        <v>1646</v>
      </c>
      <c r="B791" s="1310" t="s">
        <v>1451</v>
      </c>
      <c r="C791" s="1310" t="s">
        <v>1660</v>
      </c>
      <c r="D791" s="1310" t="s">
        <v>1463</v>
      </c>
      <c r="E791" s="1310" t="s">
        <v>113</v>
      </c>
      <c r="F791" s="1310" t="s">
        <v>1613</v>
      </c>
      <c r="G791" s="1310" t="s">
        <v>1596</v>
      </c>
      <c r="H791" s="1310" t="s">
        <v>1561</v>
      </c>
      <c r="I791" s="1310" t="s">
        <v>1618</v>
      </c>
      <c r="J791" s="1310" t="s">
        <v>1652</v>
      </c>
      <c r="K791" s="1310" t="s">
        <v>465</v>
      </c>
      <c r="L791" s="1310" t="s">
        <v>1499</v>
      </c>
      <c r="M791" s="1310" t="s">
        <v>1630</v>
      </c>
      <c r="N791" s="1310" t="s">
        <v>1484</v>
      </c>
      <c r="O791" s="1310" t="s">
        <v>1584</v>
      </c>
      <c r="P791" s="1310" t="s">
        <v>1525</v>
      </c>
      <c r="Q791" s="1310" t="s">
        <v>1584</v>
      </c>
      <c r="R791" s="1310" t="s">
        <v>1487</v>
      </c>
      <c r="S791" s="1310" t="s">
        <v>130</v>
      </c>
      <c r="T791" s="1310" t="s">
        <v>1580</v>
      </c>
      <c r="U791" s="1310" t="s">
        <v>1493</v>
      </c>
      <c r="V791" s="1310" t="s">
        <v>1617</v>
      </c>
      <c r="W791" s="1310" t="s">
        <v>1484</v>
      </c>
      <c r="X791" s="1310" t="s">
        <v>1641</v>
      </c>
      <c r="Y791" s="1310" t="s">
        <v>1447</v>
      </c>
      <c r="Z791" s="1310" t="s">
        <v>1570</v>
      </c>
      <c r="AA791" s="1310" t="s">
        <v>1623</v>
      </c>
      <c r="AB791" s="1310" t="s">
        <v>1495</v>
      </c>
      <c r="AC791" s="1310" t="s">
        <v>1615</v>
      </c>
      <c r="AD791" s="1310" t="s">
        <v>1656</v>
      </c>
      <c r="AE791" s="1310" t="s">
        <v>1648</v>
      </c>
      <c r="AF791" s="1310" t="s">
        <v>1660</v>
      </c>
    </row>
    <row r="792" spans="1:32" x14ac:dyDescent="0.3">
      <c r="A792" s="1310" t="s">
        <v>1580</v>
      </c>
      <c r="B792" s="1310" t="s">
        <v>1501</v>
      </c>
      <c r="C792" s="1310" t="s">
        <v>1548</v>
      </c>
      <c r="D792" s="1310" t="s">
        <v>112</v>
      </c>
      <c r="E792" s="1310" t="s">
        <v>1539</v>
      </c>
      <c r="F792" s="1310" t="s">
        <v>1617</v>
      </c>
      <c r="G792" s="1310" t="s">
        <v>1466</v>
      </c>
      <c r="H792" s="1310" t="s">
        <v>1579</v>
      </c>
      <c r="I792" s="1310" t="s">
        <v>1461</v>
      </c>
      <c r="J792" s="1310" t="s">
        <v>1574</v>
      </c>
      <c r="K792" s="1310" t="s">
        <v>1527</v>
      </c>
      <c r="L792" s="1310" t="s">
        <v>1500</v>
      </c>
      <c r="M792" s="1310" t="s">
        <v>264</v>
      </c>
      <c r="N792" s="1310" t="s">
        <v>1519</v>
      </c>
      <c r="O792" s="1310" t="s">
        <v>1555</v>
      </c>
      <c r="P792" s="1310" t="s">
        <v>1642</v>
      </c>
      <c r="Q792" s="1310" t="s">
        <v>1480</v>
      </c>
      <c r="R792" s="1310" t="s">
        <v>112</v>
      </c>
      <c r="S792" s="1310" t="s">
        <v>120</v>
      </c>
      <c r="T792" s="1310" t="s">
        <v>1470</v>
      </c>
      <c r="U792" s="1310" t="s">
        <v>1658</v>
      </c>
      <c r="V792" s="1310" t="s">
        <v>471</v>
      </c>
      <c r="W792" s="1310" t="s">
        <v>1030</v>
      </c>
      <c r="X792" s="1310" t="s">
        <v>1443</v>
      </c>
      <c r="Y792" s="1310" t="s">
        <v>1450</v>
      </c>
      <c r="Z792" s="1310" t="s">
        <v>1602</v>
      </c>
      <c r="AA792" s="1310" t="s">
        <v>1620</v>
      </c>
      <c r="AB792" s="1310" t="s">
        <v>1647</v>
      </c>
      <c r="AC792" s="1310" t="s">
        <v>1520</v>
      </c>
      <c r="AD792" s="1310" t="s">
        <v>1476</v>
      </c>
      <c r="AE792" s="1310" t="s">
        <v>1464</v>
      </c>
      <c r="AF792" s="1310" t="s">
        <v>1644</v>
      </c>
    </row>
    <row r="793" spans="1:32" x14ac:dyDescent="0.3">
      <c r="A793" s="1310" t="s">
        <v>1468</v>
      </c>
      <c r="B793" s="1310" t="s">
        <v>1589</v>
      </c>
      <c r="C793" s="1310" t="s">
        <v>1655</v>
      </c>
      <c r="D793" s="1310" t="s">
        <v>1556</v>
      </c>
      <c r="E793" s="1310" t="s">
        <v>115</v>
      </c>
      <c r="F793" s="1310" t="s">
        <v>263</v>
      </c>
      <c r="G793" s="1310" t="s">
        <v>1492</v>
      </c>
      <c r="H793" s="1310" t="s">
        <v>1513</v>
      </c>
      <c r="I793" s="1310" t="s">
        <v>1491</v>
      </c>
      <c r="J793" s="1310" t="s">
        <v>1461</v>
      </c>
      <c r="K793" s="1310" t="s">
        <v>1610</v>
      </c>
      <c r="L793" s="1310" t="s">
        <v>1543</v>
      </c>
      <c r="M793" s="1310" t="s">
        <v>113</v>
      </c>
      <c r="N793" s="1310" t="s">
        <v>1577</v>
      </c>
      <c r="O793" s="1310" t="s">
        <v>117</v>
      </c>
      <c r="P793" s="1310" t="s">
        <v>1622</v>
      </c>
      <c r="Q793" s="1310" t="s">
        <v>116</v>
      </c>
      <c r="R793" s="1310" t="s">
        <v>1642</v>
      </c>
      <c r="S793" s="1310" t="s">
        <v>1607</v>
      </c>
      <c r="T793" s="1310" t="s">
        <v>266</v>
      </c>
      <c r="U793" s="1310" t="s">
        <v>1611</v>
      </c>
      <c r="V793" s="1310" t="s">
        <v>1571</v>
      </c>
      <c r="W793" s="1310" t="s">
        <v>1555</v>
      </c>
      <c r="X793" s="1310" t="s">
        <v>1573</v>
      </c>
      <c r="Y793" s="1310" t="s">
        <v>1644</v>
      </c>
      <c r="Z793" s="1310" t="s">
        <v>1632</v>
      </c>
      <c r="AA793" s="1310" t="s">
        <v>1600</v>
      </c>
      <c r="AB793" s="1310" t="s">
        <v>1509</v>
      </c>
      <c r="AC793" s="1310" t="s">
        <v>1554</v>
      </c>
      <c r="AD793" s="1310" t="s">
        <v>1452</v>
      </c>
      <c r="AE793" s="1310" t="s">
        <v>1621</v>
      </c>
      <c r="AF793" s="1310" t="s">
        <v>1541</v>
      </c>
    </row>
    <row r="794" spans="1:32" x14ac:dyDescent="0.3">
      <c r="A794" s="1310" t="s">
        <v>1444</v>
      </c>
      <c r="B794" s="1310" t="s">
        <v>465</v>
      </c>
      <c r="C794" s="1310" t="s">
        <v>114</v>
      </c>
      <c r="D794" s="1310" t="s">
        <v>1488</v>
      </c>
      <c r="E794" s="1310" t="s">
        <v>1455</v>
      </c>
      <c r="F794" s="1310" t="s">
        <v>1635</v>
      </c>
      <c r="G794" s="1310" t="s">
        <v>1549</v>
      </c>
      <c r="H794" s="1310" t="s">
        <v>1644</v>
      </c>
      <c r="I794" s="1310" t="s">
        <v>1632</v>
      </c>
      <c r="J794" s="1310" t="s">
        <v>1600</v>
      </c>
      <c r="K794" s="1310" t="s">
        <v>1509</v>
      </c>
      <c r="L794" s="1310" t="s">
        <v>1554</v>
      </c>
      <c r="M794" s="1310" t="s">
        <v>1452</v>
      </c>
      <c r="N794" s="1310" t="s">
        <v>1621</v>
      </c>
      <c r="O794" s="1310" t="s">
        <v>1541</v>
      </c>
      <c r="P794" s="1310" t="s">
        <v>1444</v>
      </c>
      <c r="Q794" s="1310" t="s">
        <v>465</v>
      </c>
      <c r="R794" s="1310" t="s">
        <v>114</v>
      </c>
      <c r="S794" s="1310" t="s">
        <v>1488</v>
      </c>
      <c r="T794" s="1310" t="s">
        <v>1443</v>
      </c>
      <c r="U794" s="1310" t="s">
        <v>1560</v>
      </c>
      <c r="V794" s="1310" t="s">
        <v>1571</v>
      </c>
      <c r="W794" s="1310" t="s">
        <v>1562</v>
      </c>
      <c r="X794" s="1310" t="s">
        <v>1452</v>
      </c>
      <c r="Y794" s="1310" t="s">
        <v>1621</v>
      </c>
      <c r="Z794" s="1310" t="s">
        <v>1541</v>
      </c>
      <c r="AA794" s="1310" t="s">
        <v>1444</v>
      </c>
      <c r="AB794" s="1310" t="s">
        <v>465</v>
      </c>
      <c r="AC794" s="1310" t="s">
        <v>114</v>
      </c>
      <c r="AD794" s="1310" t="s">
        <v>1488</v>
      </c>
      <c r="AE794" s="1310" t="s">
        <v>1455</v>
      </c>
      <c r="AF794" s="1310" t="s">
        <v>1635</v>
      </c>
    </row>
    <row r="795" spans="1:32" x14ac:dyDescent="0.3">
      <c r="A795" s="1310" t="s">
        <v>1549</v>
      </c>
      <c r="B795" s="1310" t="s">
        <v>1644</v>
      </c>
      <c r="C795" s="1310" t="s">
        <v>1632</v>
      </c>
      <c r="D795" s="1310" t="s">
        <v>1600</v>
      </c>
      <c r="E795" s="1310" t="s">
        <v>1509</v>
      </c>
      <c r="F795" s="1310" t="s">
        <v>1554</v>
      </c>
      <c r="G795" s="1310" t="s">
        <v>1452</v>
      </c>
      <c r="H795" s="1310" t="s">
        <v>1621</v>
      </c>
      <c r="I795" s="1310" t="s">
        <v>1541</v>
      </c>
      <c r="J795" s="1310" t="s">
        <v>1444</v>
      </c>
      <c r="K795" s="1310" t="s">
        <v>465</v>
      </c>
      <c r="L795" s="1310" t="s">
        <v>114</v>
      </c>
      <c r="M795" s="1310" t="s">
        <v>1488</v>
      </c>
      <c r="N795" s="1310" t="s">
        <v>1455</v>
      </c>
      <c r="O795" s="1310" t="s">
        <v>1635</v>
      </c>
      <c r="P795" s="1310" t="s">
        <v>1549</v>
      </c>
      <c r="Q795" s="1310" t="s">
        <v>1644</v>
      </c>
      <c r="R795" s="1310" t="s">
        <v>1632</v>
      </c>
      <c r="S795" s="1310" t="s">
        <v>1600</v>
      </c>
      <c r="T795" s="1310" t="s">
        <v>1509</v>
      </c>
      <c r="U795" s="1310" t="s">
        <v>1647</v>
      </c>
      <c r="V795" s="1310" t="s">
        <v>1455</v>
      </c>
      <c r="W795" s="1310" t="s">
        <v>1580</v>
      </c>
      <c r="X795" s="1310" t="s">
        <v>1601</v>
      </c>
      <c r="Y795" s="1310" t="s">
        <v>1480</v>
      </c>
      <c r="Z795" s="1310" t="s">
        <v>1636</v>
      </c>
      <c r="AA795" s="1310" t="s">
        <v>1473</v>
      </c>
      <c r="AB795" s="1310" t="s">
        <v>1645</v>
      </c>
      <c r="AC795" s="1310" t="s">
        <v>1646</v>
      </c>
      <c r="AD795" s="1310" t="s">
        <v>1575</v>
      </c>
      <c r="AE795" s="1310" t="s">
        <v>1494</v>
      </c>
      <c r="AF795" s="1310" t="s">
        <v>1518</v>
      </c>
    </row>
    <row r="796" spans="1:32" x14ac:dyDescent="0.3">
      <c r="A796" s="1310" t="s">
        <v>131</v>
      </c>
      <c r="B796" s="1310" t="s">
        <v>1547</v>
      </c>
      <c r="C796" s="1310" t="s">
        <v>1642</v>
      </c>
      <c r="D796" s="1310" t="s">
        <v>1466</v>
      </c>
      <c r="E796" s="1310" t="s">
        <v>133</v>
      </c>
      <c r="F796" s="1310" t="s">
        <v>1030</v>
      </c>
      <c r="G796" s="1310" t="s">
        <v>1654</v>
      </c>
      <c r="H796" s="1310" t="s">
        <v>129</v>
      </c>
      <c r="I796" s="1310" t="s">
        <v>1515</v>
      </c>
      <c r="J796" s="1310" t="s">
        <v>1578</v>
      </c>
      <c r="K796" s="1310" t="s">
        <v>1490</v>
      </c>
      <c r="L796" s="1310" t="s">
        <v>1616</v>
      </c>
      <c r="M796" s="1310" t="s">
        <v>1627</v>
      </c>
      <c r="N796" s="1310" t="s">
        <v>129</v>
      </c>
      <c r="O796" s="1310" t="s">
        <v>1495</v>
      </c>
      <c r="P796" s="1310" t="s">
        <v>1517</v>
      </c>
      <c r="Q796" s="1310" t="s">
        <v>1645</v>
      </c>
      <c r="R796" s="1310" t="s">
        <v>1606</v>
      </c>
      <c r="S796" s="1310" t="s">
        <v>1500</v>
      </c>
      <c r="T796" s="1310" t="s">
        <v>1488</v>
      </c>
      <c r="U796" s="1310" t="s">
        <v>1518</v>
      </c>
      <c r="V796" s="1310" t="s">
        <v>1515</v>
      </c>
      <c r="W796" s="1310" t="s">
        <v>1565</v>
      </c>
      <c r="X796" s="1310" t="s">
        <v>1601</v>
      </c>
      <c r="Y796" s="1310" t="s">
        <v>1659</v>
      </c>
      <c r="Z796" s="1310" t="s">
        <v>1473</v>
      </c>
      <c r="AA796" s="1310" t="s">
        <v>1509</v>
      </c>
      <c r="AB796" s="1310" t="s">
        <v>1475</v>
      </c>
      <c r="AC796" s="1310" t="s">
        <v>1640</v>
      </c>
      <c r="AD796" s="1310" t="s">
        <v>1554</v>
      </c>
      <c r="AE796" s="1310" t="s">
        <v>1448</v>
      </c>
      <c r="AF796" s="1310" t="s">
        <v>1494</v>
      </c>
    </row>
    <row r="797" spans="1:32" x14ac:dyDescent="0.3">
      <c r="A797" s="1310" t="s">
        <v>262</v>
      </c>
      <c r="B797" s="1310" t="s">
        <v>1496</v>
      </c>
      <c r="C797" s="1310" t="s">
        <v>1619</v>
      </c>
      <c r="D797" s="1310" t="s">
        <v>1501</v>
      </c>
      <c r="E797" s="1310" t="s">
        <v>116</v>
      </c>
      <c r="F797" s="1310" t="s">
        <v>465</v>
      </c>
      <c r="G797" s="1310" t="s">
        <v>1486</v>
      </c>
      <c r="H797" s="1310" t="s">
        <v>1617</v>
      </c>
      <c r="I797" s="1310" t="s">
        <v>1648</v>
      </c>
      <c r="J797" s="1310" t="s">
        <v>1638</v>
      </c>
      <c r="K797" s="1310" t="s">
        <v>131</v>
      </c>
      <c r="L797" s="1310" t="s">
        <v>1631</v>
      </c>
      <c r="M797" s="1310" t="s">
        <v>1487</v>
      </c>
      <c r="N797" s="1310" t="s">
        <v>1510</v>
      </c>
      <c r="O797" s="1310" t="s">
        <v>1455</v>
      </c>
      <c r="P797" s="1310" t="s">
        <v>131</v>
      </c>
      <c r="Q797" s="1310" t="s">
        <v>1548</v>
      </c>
      <c r="R797" s="1310" t="s">
        <v>1464</v>
      </c>
      <c r="S797" s="1310" t="s">
        <v>1444</v>
      </c>
      <c r="T797" s="1310" t="s">
        <v>1505</v>
      </c>
      <c r="U797" s="1310" t="s">
        <v>120</v>
      </c>
      <c r="V797" s="1310" t="s">
        <v>1574</v>
      </c>
      <c r="W797" s="1310" t="s">
        <v>1644</v>
      </c>
      <c r="X797" s="1310" t="s">
        <v>1647</v>
      </c>
      <c r="Y797" s="1310" t="s">
        <v>1488</v>
      </c>
      <c r="Z797" s="1310" t="s">
        <v>1539</v>
      </c>
      <c r="AA797" s="1310" t="s">
        <v>262</v>
      </c>
      <c r="AB797" s="1310" t="s">
        <v>1621</v>
      </c>
      <c r="AC797" s="1310" t="s">
        <v>471</v>
      </c>
      <c r="AD797" s="1310" t="s">
        <v>1644</v>
      </c>
      <c r="AE797" s="1310" t="s">
        <v>116</v>
      </c>
      <c r="AF797" s="1310" t="s">
        <v>111</v>
      </c>
    </row>
    <row r="798" spans="1:32" x14ac:dyDescent="0.3">
      <c r="A798" s="1310" t="s">
        <v>1557</v>
      </c>
      <c r="B798" s="1310" t="s">
        <v>1617</v>
      </c>
      <c r="C798" s="1310" t="s">
        <v>118</v>
      </c>
      <c r="D798" s="1310" t="s">
        <v>1596</v>
      </c>
      <c r="E798" s="1310" t="s">
        <v>1461</v>
      </c>
      <c r="F798" s="1310" t="s">
        <v>1631</v>
      </c>
      <c r="G798" s="1310" t="s">
        <v>1634</v>
      </c>
      <c r="H798" s="1310" t="s">
        <v>1510</v>
      </c>
      <c r="I798" s="1310" t="s">
        <v>1543</v>
      </c>
      <c r="J798" s="1310" t="s">
        <v>122</v>
      </c>
      <c r="K798" s="1310" t="s">
        <v>1656</v>
      </c>
      <c r="L798" s="1310" t="s">
        <v>126</v>
      </c>
      <c r="M798" s="1310" t="s">
        <v>465</v>
      </c>
      <c r="N798" s="1310" t="s">
        <v>1558</v>
      </c>
      <c r="O798" s="1310" t="s">
        <v>1460</v>
      </c>
      <c r="P798" s="1310" t="s">
        <v>1604</v>
      </c>
      <c r="Q798" s="1310" t="s">
        <v>128</v>
      </c>
      <c r="R798" s="1310" t="s">
        <v>1551</v>
      </c>
      <c r="S798" s="1310" t="s">
        <v>1536</v>
      </c>
      <c r="T798" s="1310" t="s">
        <v>1470</v>
      </c>
      <c r="U798" s="1310" t="s">
        <v>1655</v>
      </c>
      <c r="V798" s="1310" t="s">
        <v>1478</v>
      </c>
      <c r="W798" s="1310" t="s">
        <v>1649</v>
      </c>
      <c r="X798" s="1310" t="s">
        <v>1635</v>
      </c>
      <c r="Y798" s="1310" t="s">
        <v>1587</v>
      </c>
      <c r="Z798" s="1310" t="s">
        <v>1505</v>
      </c>
      <c r="AA798" s="1310" t="s">
        <v>1453</v>
      </c>
      <c r="AB798" s="1310" t="s">
        <v>1451</v>
      </c>
      <c r="AC798" s="1310" t="s">
        <v>1530</v>
      </c>
      <c r="AD798" s="1310" t="s">
        <v>1621</v>
      </c>
      <c r="AE798" s="1310" t="s">
        <v>1558</v>
      </c>
      <c r="AF798" s="1310" t="s">
        <v>1482</v>
      </c>
    </row>
    <row r="799" spans="1:32" x14ac:dyDescent="0.3">
      <c r="A799" s="1310" t="s">
        <v>1487</v>
      </c>
      <c r="B799" s="1310" t="s">
        <v>1492</v>
      </c>
      <c r="C799" s="1310" t="s">
        <v>1643</v>
      </c>
      <c r="D799" s="1310" t="s">
        <v>1561</v>
      </c>
      <c r="E799" s="1310" t="s">
        <v>1636</v>
      </c>
      <c r="F799" s="1310" t="s">
        <v>1532</v>
      </c>
      <c r="G799" s="1310" t="s">
        <v>1496</v>
      </c>
      <c r="H799" s="1310" t="s">
        <v>1622</v>
      </c>
      <c r="I799" s="1310" t="s">
        <v>1560</v>
      </c>
      <c r="J799" s="1310" t="s">
        <v>1478</v>
      </c>
      <c r="K799" s="1310" t="s">
        <v>1629</v>
      </c>
      <c r="L799" s="1310" t="s">
        <v>1599</v>
      </c>
      <c r="M799" s="1310" t="s">
        <v>1655</v>
      </c>
      <c r="N799" s="1310" t="s">
        <v>1530</v>
      </c>
      <c r="O799" s="1310" t="s">
        <v>1640</v>
      </c>
      <c r="P799" s="1310" t="s">
        <v>1630</v>
      </c>
      <c r="Q799" s="1310" t="s">
        <v>1501</v>
      </c>
      <c r="R799" s="1310" t="s">
        <v>1579</v>
      </c>
      <c r="S799" s="1310" t="s">
        <v>1607</v>
      </c>
      <c r="T799" s="1310" t="s">
        <v>1497</v>
      </c>
      <c r="U799" s="1310" t="s">
        <v>1621</v>
      </c>
      <c r="V799" s="1310" t="s">
        <v>1571</v>
      </c>
      <c r="W799" s="1310" t="s">
        <v>267</v>
      </c>
      <c r="X799" s="1310" t="s">
        <v>1525</v>
      </c>
      <c r="Y799" s="1310" t="s">
        <v>1568</v>
      </c>
      <c r="Z799" s="1310" t="s">
        <v>1542</v>
      </c>
      <c r="AA799" s="1310" t="s">
        <v>1614</v>
      </c>
      <c r="AB799" s="1310" t="s">
        <v>117</v>
      </c>
      <c r="AC799" s="1310" t="s">
        <v>1617</v>
      </c>
      <c r="AD799" s="1310" t="s">
        <v>6</v>
      </c>
      <c r="AE799" s="1310" t="s">
        <v>1448</v>
      </c>
      <c r="AF799" s="1310" t="s">
        <v>1658</v>
      </c>
    </row>
    <row r="800" spans="1:32" x14ac:dyDescent="0.3">
      <c r="A800" s="1310" t="s">
        <v>1597</v>
      </c>
      <c r="B800" s="1310" t="s">
        <v>1487</v>
      </c>
      <c r="C800" s="1310" t="s">
        <v>1654</v>
      </c>
      <c r="D800" s="1310" t="s">
        <v>1502</v>
      </c>
      <c r="E800" s="1310" t="s">
        <v>1591</v>
      </c>
      <c r="F800" s="1310" t="s">
        <v>1601</v>
      </c>
      <c r="G800" s="1310" t="s">
        <v>1537</v>
      </c>
      <c r="H800" s="1310" t="s">
        <v>1508</v>
      </c>
      <c r="I800" s="1310" t="s">
        <v>1642</v>
      </c>
      <c r="J800" s="1310" t="s">
        <v>1527</v>
      </c>
      <c r="K800" s="1310" t="s">
        <v>1534</v>
      </c>
      <c r="L800" s="1310" t="s">
        <v>124</v>
      </c>
      <c r="M800" s="1310" t="s">
        <v>1561</v>
      </c>
      <c r="N800" s="1310" t="s">
        <v>1481</v>
      </c>
      <c r="O800" s="1310" t="s">
        <v>1582</v>
      </c>
      <c r="P800" s="1310" t="s">
        <v>1587</v>
      </c>
      <c r="Q800" s="1310" t="s">
        <v>1659</v>
      </c>
      <c r="R800" s="1310" t="s">
        <v>1606</v>
      </c>
      <c r="S800" s="1310" t="s">
        <v>1541</v>
      </c>
      <c r="T800" s="1310" t="s">
        <v>1507</v>
      </c>
      <c r="U800" s="1310" t="s">
        <v>1658</v>
      </c>
      <c r="V800" s="1310" t="s">
        <v>124</v>
      </c>
      <c r="W800" s="1310" t="s">
        <v>1549</v>
      </c>
      <c r="X800" s="1310" t="s">
        <v>1519</v>
      </c>
      <c r="Y800" s="1310" t="s">
        <v>1573</v>
      </c>
      <c r="Z800" s="1310" t="s">
        <v>1554</v>
      </c>
      <c r="AA800" s="1310" t="s">
        <v>1563</v>
      </c>
      <c r="AB800" s="1310" t="s">
        <v>1605</v>
      </c>
      <c r="AC800" s="1310" t="s">
        <v>1541</v>
      </c>
      <c r="AD800" s="1310" t="s">
        <v>1588</v>
      </c>
      <c r="AE800" s="1310" t="s">
        <v>1501</v>
      </c>
      <c r="AF800" s="1310" t="s">
        <v>1507</v>
      </c>
    </row>
    <row r="801" spans="1:32" x14ac:dyDescent="0.3">
      <c r="A801" s="1310" t="s">
        <v>1030</v>
      </c>
      <c r="B801" s="1310" t="s">
        <v>1509</v>
      </c>
      <c r="C801" s="1310" t="s">
        <v>1659</v>
      </c>
      <c r="D801" s="1310" t="s">
        <v>1569</v>
      </c>
      <c r="E801" s="1310" t="s">
        <v>129</v>
      </c>
      <c r="F801" s="1310" t="s">
        <v>1571</v>
      </c>
      <c r="G801" s="1310" t="s">
        <v>1549</v>
      </c>
      <c r="H801" s="1310" t="s">
        <v>1477</v>
      </c>
      <c r="I801" s="1310" t="s">
        <v>122</v>
      </c>
      <c r="J801" s="1310" t="s">
        <v>1644</v>
      </c>
      <c r="K801" s="1310" t="s">
        <v>1512</v>
      </c>
      <c r="L801" s="1310" t="s">
        <v>1030</v>
      </c>
      <c r="M801" s="1310" t="s">
        <v>1509</v>
      </c>
      <c r="N801" s="1310" t="s">
        <v>1502</v>
      </c>
      <c r="O801" s="1310" t="s">
        <v>1660</v>
      </c>
      <c r="P801" s="1310" t="s">
        <v>113</v>
      </c>
      <c r="Q801" s="1310" t="s">
        <v>126</v>
      </c>
      <c r="R801" s="1310" t="s">
        <v>1616</v>
      </c>
      <c r="S801" s="1310" t="s">
        <v>1526</v>
      </c>
      <c r="T801" s="1310" t="s">
        <v>1569</v>
      </c>
      <c r="U801" s="1310" t="s">
        <v>1509</v>
      </c>
      <c r="V801" s="1310" t="s">
        <v>1596</v>
      </c>
      <c r="W801" s="1310" t="s">
        <v>1509</v>
      </c>
      <c r="X801" s="1310" t="s">
        <v>1554</v>
      </c>
      <c r="Y801" s="1310" t="s">
        <v>1452</v>
      </c>
      <c r="Z801" s="1310" t="s">
        <v>1609</v>
      </c>
      <c r="AA801" s="1310" t="s">
        <v>1548</v>
      </c>
      <c r="AB801" s="1310" t="s">
        <v>1641</v>
      </c>
      <c r="AC801" s="1310" t="s">
        <v>1502</v>
      </c>
      <c r="AD801" s="1310" t="s">
        <v>262</v>
      </c>
      <c r="AE801" s="1310" t="s">
        <v>1553</v>
      </c>
      <c r="AF801" s="1310" t="s">
        <v>1451</v>
      </c>
    </row>
    <row r="802" spans="1:32" x14ac:dyDescent="0.3">
      <c r="A802" s="1310" t="s">
        <v>1557</v>
      </c>
      <c r="B802" s="1310" t="s">
        <v>1542</v>
      </c>
      <c r="C802" s="1310" t="s">
        <v>1576</v>
      </c>
      <c r="D802" s="1310" t="s">
        <v>1568</v>
      </c>
      <c r="E802" s="1310" t="s">
        <v>1523</v>
      </c>
      <c r="F802" s="1310" t="s">
        <v>1455</v>
      </c>
      <c r="G802" s="1310" t="s">
        <v>1502</v>
      </c>
      <c r="H802" s="1310" t="s">
        <v>1608</v>
      </c>
      <c r="I802" s="1310" t="s">
        <v>1634</v>
      </c>
      <c r="J802" s="1310" t="s">
        <v>122</v>
      </c>
      <c r="K802" s="1310" t="s">
        <v>1547</v>
      </c>
      <c r="L802" s="1310" t="s">
        <v>1480</v>
      </c>
      <c r="M802" s="1310" t="s">
        <v>1508</v>
      </c>
      <c r="N802" s="1310" t="s">
        <v>1526</v>
      </c>
      <c r="O802" s="1310" t="s">
        <v>1579</v>
      </c>
      <c r="P802" s="1310" t="s">
        <v>1568</v>
      </c>
      <c r="Q802" s="1310" t="s">
        <v>1544</v>
      </c>
      <c r="R802" s="1310" t="s">
        <v>1619</v>
      </c>
      <c r="S802" s="1310" t="s">
        <v>1565</v>
      </c>
      <c r="T802" s="1310" t="s">
        <v>112</v>
      </c>
      <c r="U802" s="1310" t="s">
        <v>1572</v>
      </c>
      <c r="V802" s="1310" t="s">
        <v>132</v>
      </c>
      <c r="W802" s="1310" t="s">
        <v>1541</v>
      </c>
      <c r="X802" s="1310" t="s">
        <v>1505</v>
      </c>
      <c r="Y802" s="1310" t="s">
        <v>1492</v>
      </c>
      <c r="Z802" s="1310" t="s">
        <v>1604</v>
      </c>
      <c r="AA802" s="1310" t="s">
        <v>1494</v>
      </c>
      <c r="AB802" s="1310" t="s">
        <v>1530</v>
      </c>
      <c r="AC802" s="1310" t="s">
        <v>1545</v>
      </c>
      <c r="AD802" s="1310" t="s">
        <v>1537</v>
      </c>
      <c r="AE802" s="1310" t="s">
        <v>1509</v>
      </c>
      <c r="AF802" s="1310" t="s">
        <v>116</v>
      </c>
    </row>
    <row r="803" spans="1:32" x14ac:dyDescent="0.3">
      <c r="A803" s="1310" t="s">
        <v>1456</v>
      </c>
      <c r="B803" s="1310" t="s">
        <v>1598</v>
      </c>
      <c r="C803" s="1310" t="s">
        <v>1487</v>
      </c>
      <c r="D803" s="1310" t="s">
        <v>1465</v>
      </c>
      <c r="E803" s="1310" t="s">
        <v>1456</v>
      </c>
      <c r="F803" s="1310" t="s">
        <v>1449</v>
      </c>
      <c r="G803" s="1310" t="s">
        <v>1600</v>
      </c>
      <c r="H803" s="1310" t="s">
        <v>1535</v>
      </c>
      <c r="I803" s="1310" t="s">
        <v>1547</v>
      </c>
      <c r="J803" s="1310" t="s">
        <v>118</v>
      </c>
      <c r="K803" s="1310" t="s">
        <v>1556</v>
      </c>
      <c r="L803" s="1310" t="s">
        <v>265</v>
      </c>
      <c r="M803" s="1310" t="s">
        <v>1636</v>
      </c>
      <c r="N803" s="1310" t="s">
        <v>1505</v>
      </c>
      <c r="O803" s="1310" t="s">
        <v>1543</v>
      </c>
      <c r="P803" s="1310" t="s">
        <v>1628</v>
      </c>
      <c r="Q803" s="1310" t="s">
        <v>1603</v>
      </c>
      <c r="R803" s="1310" t="s">
        <v>1504</v>
      </c>
      <c r="S803" s="1310" t="s">
        <v>1582</v>
      </c>
      <c r="T803" s="1310" t="s">
        <v>1473</v>
      </c>
      <c r="U803" s="1310" t="s">
        <v>1550</v>
      </c>
      <c r="V803" s="1310" t="s">
        <v>1548</v>
      </c>
      <c r="W803" s="1310" t="s">
        <v>1647</v>
      </c>
      <c r="X803" s="1310" t="s">
        <v>1599</v>
      </c>
      <c r="Y803" s="1310" t="s">
        <v>1493</v>
      </c>
      <c r="Z803" s="1310" t="s">
        <v>1534</v>
      </c>
      <c r="AA803" s="1310" t="s">
        <v>1536</v>
      </c>
      <c r="AB803" s="1310" t="s">
        <v>1466</v>
      </c>
      <c r="AC803" s="1310" t="s">
        <v>1605</v>
      </c>
      <c r="AD803" s="1310" t="s">
        <v>1631</v>
      </c>
      <c r="AE803" s="1310" t="s">
        <v>1611</v>
      </c>
      <c r="AF803" s="1310" t="s">
        <v>1643</v>
      </c>
    </row>
    <row r="804" spans="1:32" x14ac:dyDescent="0.3">
      <c r="A804" s="1310" t="s">
        <v>1027</v>
      </c>
      <c r="B804" s="1310" t="s">
        <v>1484</v>
      </c>
      <c r="C804" s="1310" t="s">
        <v>1555</v>
      </c>
      <c r="D804" s="1310" t="s">
        <v>1546</v>
      </c>
      <c r="E804" s="1310" t="s">
        <v>1491</v>
      </c>
      <c r="F804" s="1310" t="s">
        <v>116</v>
      </c>
      <c r="G804" s="1310" t="s">
        <v>121</v>
      </c>
      <c r="H804" s="1310" t="s">
        <v>1469</v>
      </c>
      <c r="I804" s="1310" t="s">
        <v>1566</v>
      </c>
      <c r="J804" s="1310" t="s">
        <v>120</v>
      </c>
      <c r="K804" s="1310" t="s">
        <v>1463</v>
      </c>
      <c r="L804" s="1310" t="s">
        <v>1605</v>
      </c>
      <c r="M804" s="1310" t="s">
        <v>1572</v>
      </c>
      <c r="N804" s="1310" t="s">
        <v>1569</v>
      </c>
      <c r="O804" s="1310" t="s">
        <v>1532</v>
      </c>
      <c r="P804" s="1310" t="s">
        <v>1590</v>
      </c>
      <c r="Q804" s="1310" t="s">
        <v>1652</v>
      </c>
      <c r="R804" s="1310" t="s">
        <v>1602</v>
      </c>
      <c r="S804" s="1310" t="s">
        <v>1659</v>
      </c>
      <c r="T804" s="1310" t="s">
        <v>1448</v>
      </c>
      <c r="U804" s="1310" t="s">
        <v>1582</v>
      </c>
      <c r="V804" s="1310" t="s">
        <v>1530</v>
      </c>
      <c r="W804" s="1310" t="s">
        <v>125</v>
      </c>
      <c r="X804" s="1310" t="s">
        <v>1640</v>
      </c>
      <c r="Y804" s="1310" t="s">
        <v>1613</v>
      </c>
      <c r="Z804" s="1310" t="s">
        <v>1623</v>
      </c>
      <c r="AA804" s="1310" t="s">
        <v>1596</v>
      </c>
      <c r="AB804" s="1310" t="s">
        <v>117</v>
      </c>
      <c r="AC804" s="1310" t="s">
        <v>1549</v>
      </c>
      <c r="AD804" s="1310" t="s">
        <v>1557</v>
      </c>
      <c r="AE804" s="1310" t="s">
        <v>1624</v>
      </c>
      <c r="AF804" s="1310" t="s">
        <v>1483</v>
      </c>
    </row>
    <row r="805" spans="1:32" x14ac:dyDescent="0.3">
      <c r="A805" s="1310" t="s">
        <v>1621</v>
      </c>
      <c r="B805" s="1310" t="s">
        <v>1450</v>
      </c>
      <c r="C805" s="1310" t="s">
        <v>1557</v>
      </c>
      <c r="D805" s="1310" t="s">
        <v>1617</v>
      </c>
      <c r="E805" s="1310" t="s">
        <v>111</v>
      </c>
      <c r="F805" s="1310" t="s">
        <v>1640</v>
      </c>
      <c r="G805" s="1310" t="s">
        <v>1027</v>
      </c>
      <c r="H805" s="1310" t="s">
        <v>1554</v>
      </c>
      <c r="I805" s="1310" t="s">
        <v>1588</v>
      </c>
      <c r="J805" s="1310" t="s">
        <v>1531</v>
      </c>
      <c r="K805" s="1310" t="s">
        <v>1535</v>
      </c>
      <c r="L805" s="1310" t="s">
        <v>1519</v>
      </c>
      <c r="M805" s="1310" t="s">
        <v>1659</v>
      </c>
      <c r="N805" s="1310" t="s">
        <v>1522</v>
      </c>
      <c r="O805" s="1310" t="s">
        <v>1505</v>
      </c>
      <c r="P805" s="1310" t="s">
        <v>1493</v>
      </c>
      <c r="Q805" s="1310" t="s">
        <v>1617</v>
      </c>
      <c r="R805" s="1310" t="s">
        <v>1542</v>
      </c>
      <c r="S805" s="1310" t="s">
        <v>1486</v>
      </c>
      <c r="T805" s="1310" t="s">
        <v>1605</v>
      </c>
      <c r="U805" s="1310" t="s">
        <v>1459</v>
      </c>
      <c r="V805" s="1310" t="s">
        <v>1515</v>
      </c>
      <c r="W805" s="1310" t="s">
        <v>122</v>
      </c>
      <c r="X805" s="1310" t="s">
        <v>1476</v>
      </c>
      <c r="Y805" s="1310" t="s">
        <v>1494</v>
      </c>
      <c r="Z805" s="1310" t="s">
        <v>1488</v>
      </c>
      <c r="AA805" s="1310" t="s">
        <v>1537</v>
      </c>
      <c r="AB805" s="1310" t="s">
        <v>1627</v>
      </c>
      <c r="AC805" s="1310" t="s">
        <v>1604</v>
      </c>
      <c r="AD805" s="1310" t="s">
        <v>1519</v>
      </c>
      <c r="AE805" s="1310" t="s">
        <v>1445</v>
      </c>
      <c r="AF805" s="1310" t="s">
        <v>110</v>
      </c>
    </row>
    <row r="806" spans="1:32" x14ac:dyDescent="0.3">
      <c r="A806" s="1310" t="s">
        <v>1477</v>
      </c>
      <c r="B806" s="1310" t="s">
        <v>268</v>
      </c>
      <c r="C806" s="1310" t="s">
        <v>1520</v>
      </c>
      <c r="D806" s="1310" t="s">
        <v>1637</v>
      </c>
      <c r="E806" s="1310" t="s">
        <v>1657</v>
      </c>
      <c r="F806" s="1310" t="s">
        <v>1481</v>
      </c>
      <c r="G806" s="1310" t="s">
        <v>1632</v>
      </c>
      <c r="H806" s="1310" t="s">
        <v>1488</v>
      </c>
      <c r="I806" s="1310" t="s">
        <v>1647</v>
      </c>
      <c r="J806" s="1310" t="s">
        <v>1608</v>
      </c>
      <c r="K806" s="1310" t="s">
        <v>1512</v>
      </c>
      <c r="L806" s="1310" t="s">
        <v>1556</v>
      </c>
      <c r="M806" s="1310" t="s">
        <v>127</v>
      </c>
      <c r="N806" s="1310" t="s">
        <v>1463</v>
      </c>
      <c r="O806" s="1310" t="s">
        <v>1578</v>
      </c>
      <c r="P806" s="1310" t="s">
        <v>118</v>
      </c>
      <c r="Q806" s="1310" t="s">
        <v>1542</v>
      </c>
      <c r="R806" s="1310" t="s">
        <v>1614</v>
      </c>
      <c r="S806" s="1310" t="s">
        <v>115</v>
      </c>
      <c r="T806" s="1310" t="s">
        <v>1617</v>
      </c>
      <c r="U806" s="1310" t="s">
        <v>1575</v>
      </c>
      <c r="V806" s="1310" t="s">
        <v>122</v>
      </c>
      <c r="W806" s="1310" t="s">
        <v>1556</v>
      </c>
      <c r="X806" s="1310" t="s">
        <v>1649</v>
      </c>
      <c r="Y806" s="1310" t="s">
        <v>1660</v>
      </c>
      <c r="Z806" s="1310" t="s">
        <v>1489</v>
      </c>
      <c r="AA806" s="1310" t="s">
        <v>1640</v>
      </c>
      <c r="AB806" s="1310" t="s">
        <v>1623</v>
      </c>
      <c r="AC806" s="1310" t="s">
        <v>1603</v>
      </c>
      <c r="AD806" s="1310" t="s">
        <v>1618</v>
      </c>
      <c r="AE806" s="1310" t="s">
        <v>1635</v>
      </c>
      <c r="AF806" s="1310" t="s">
        <v>1607</v>
      </c>
    </row>
    <row r="807" spans="1:32" x14ac:dyDescent="0.3">
      <c r="A807" s="1310" t="s">
        <v>1496</v>
      </c>
      <c r="B807" s="1310" t="s">
        <v>125</v>
      </c>
      <c r="C807" s="1310" t="s">
        <v>1473</v>
      </c>
      <c r="D807" s="1310" t="s">
        <v>1605</v>
      </c>
      <c r="E807" s="1310" t="s">
        <v>121</v>
      </c>
      <c r="F807" s="1310" t="s">
        <v>1622</v>
      </c>
      <c r="G807" s="1310" t="s">
        <v>1635</v>
      </c>
      <c r="H807" s="1310" t="s">
        <v>1563</v>
      </c>
      <c r="I807" s="1310" t="s">
        <v>1611</v>
      </c>
      <c r="J807" s="1310" t="s">
        <v>1582</v>
      </c>
      <c r="K807" s="1310" t="s">
        <v>1618</v>
      </c>
      <c r="L807" s="1310" t="s">
        <v>1537</v>
      </c>
      <c r="M807" s="1310" t="s">
        <v>1492</v>
      </c>
      <c r="N807" s="1310" t="s">
        <v>1608</v>
      </c>
      <c r="O807" s="1310" t="s">
        <v>1592</v>
      </c>
      <c r="P807" s="1310" t="s">
        <v>1597</v>
      </c>
      <c r="Q807" s="1310" t="s">
        <v>1626</v>
      </c>
      <c r="R807" s="1310" t="s">
        <v>1647</v>
      </c>
      <c r="S807" s="1310" t="s">
        <v>1607</v>
      </c>
      <c r="T807" s="1310" t="s">
        <v>131</v>
      </c>
      <c r="U807" s="1310" t="s">
        <v>1565</v>
      </c>
      <c r="V807" s="1310" t="s">
        <v>120</v>
      </c>
      <c r="W807" s="1310" t="s">
        <v>133</v>
      </c>
      <c r="X807" s="1310" t="s">
        <v>1581</v>
      </c>
      <c r="Y807" s="1310" t="s">
        <v>1027</v>
      </c>
      <c r="Z807" s="1310" t="s">
        <v>1639</v>
      </c>
      <c r="AA807" s="1310" t="s">
        <v>1603</v>
      </c>
      <c r="AB807" s="1310" t="s">
        <v>1653</v>
      </c>
      <c r="AC807" s="1310" t="s">
        <v>1580</v>
      </c>
      <c r="AD807" s="1310" t="s">
        <v>1601</v>
      </c>
      <c r="AE807" s="1310" t="s">
        <v>1542</v>
      </c>
      <c r="AF807" s="1310" t="s">
        <v>1537</v>
      </c>
    </row>
    <row r="808" spans="1:32" x14ac:dyDescent="0.3">
      <c r="A808" s="1310" t="s">
        <v>1636</v>
      </c>
      <c r="B808" s="1310" t="s">
        <v>1658</v>
      </c>
      <c r="C808" s="1310" t="s">
        <v>131</v>
      </c>
      <c r="D808" s="1310" t="s">
        <v>1447</v>
      </c>
      <c r="E808" s="1310" t="s">
        <v>1499</v>
      </c>
      <c r="F808" s="1310" t="s">
        <v>1552</v>
      </c>
      <c r="G808" s="1310" t="s">
        <v>1505</v>
      </c>
      <c r="H808" s="1310" t="s">
        <v>1587</v>
      </c>
      <c r="I808" s="1310" t="s">
        <v>1575</v>
      </c>
      <c r="J808" s="1310" t="s">
        <v>1570</v>
      </c>
      <c r="K808" s="1310" t="s">
        <v>1529</v>
      </c>
      <c r="L808" s="1310" t="s">
        <v>1564</v>
      </c>
      <c r="M808" s="1310" t="s">
        <v>1529</v>
      </c>
      <c r="N808" s="1310" t="s">
        <v>1443</v>
      </c>
      <c r="O808" s="1310" t="s">
        <v>1450</v>
      </c>
      <c r="P808" s="1310" t="s">
        <v>1514</v>
      </c>
      <c r="Q808" s="1310" t="s">
        <v>465</v>
      </c>
      <c r="R808" s="1310" t="s">
        <v>1468</v>
      </c>
      <c r="S808" s="1310" t="s">
        <v>1532</v>
      </c>
      <c r="T808" s="1310" t="s">
        <v>1519</v>
      </c>
      <c r="U808" s="1310" t="s">
        <v>1639</v>
      </c>
      <c r="V808" s="1310" t="s">
        <v>1588</v>
      </c>
      <c r="W808" s="1310" t="s">
        <v>1443</v>
      </c>
      <c r="X808" s="1310" t="s">
        <v>1450</v>
      </c>
      <c r="Y808" s="1310" t="s">
        <v>1581</v>
      </c>
      <c r="Z808" s="1310" t="s">
        <v>1486</v>
      </c>
      <c r="AA808" s="1310" t="s">
        <v>1569</v>
      </c>
      <c r="AB808" s="1310" t="s">
        <v>1548</v>
      </c>
      <c r="AC808" s="1310" t="s">
        <v>1608</v>
      </c>
      <c r="AD808" s="1310" t="s">
        <v>1606</v>
      </c>
      <c r="AE808" s="1310" t="s">
        <v>1655</v>
      </c>
      <c r="AF808" s="1310" t="s">
        <v>1510</v>
      </c>
    </row>
    <row r="809" spans="1:32" x14ac:dyDescent="0.3">
      <c r="A809" s="1310" t="s">
        <v>1636</v>
      </c>
      <c r="B809" s="1310" t="s">
        <v>1521</v>
      </c>
      <c r="C809" s="1310" t="s">
        <v>1567</v>
      </c>
      <c r="D809" s="1310" t="s">
        <v>1601</v>
      </c>
      <c r="E809" s="1310" t="s">
        <v>1517</v>
      </c>
      <c r="F809" s="1310" t="s">
        <v>1565</v>
      </c>
      <c r="G809" s="1310" t="s">
        <v>1613</v>
      </c>
      <c r="H809" s="1310" t="s">
        <v>1519</v>
      </c>
      <c r="I809" s="1310" t="s">
        <v>1468</v>
      </c>
      <c r="J809" s="1310" t="s">
        <v>129</v>
      </c>
      <c r="K809" s="1310" t="s">
        <v>1567</v>
      </c>
      <c r="L809" s="1310" t="s">
        <v>1517</v>
      </c>
      <c r="M809" s="1310" t="s">
        <v>1463</v>
      </c>
      <c r="N809" s="1310" t="s">
        <v>1610</v>
      </c>
      <c r="O809" s="1310" t="s">
        <v>1535</v>
      </c>
      <c r="P809" s="1310" t="s">
        <v>1590</v>
      </c>
      <c r="Q809" s="1310" t="s">
        <v>1591</v>
      </c>
      <c r="R809" s="1310" t="s">
        <v>1585</v>
      </c>
      <c r="S809" s="1310" t="s">
        <v>1491</v>
      </c>
      <c r="T809" s="1310" t="s">
        <v>1636</v>
      </c>
      <c r="U809" s="1310" t="s">
        <v>1631</v>
      </c>
      <c r="V809" s="1310" t="s">
        <v>1520</v>
      </c>
      <c r="W809" s="1310" t="s">
        <v>124</v>
      </c>
      <c r="X809" s="1310" t="s">
        <v>1492</v>
      </c>
      <c r="Y809" s="1310" t="s">
        <v>1598</v>
      </c>
      <c r="Z809" s="1310" t="s">
        <v>1457</v>
      </c>
      <c r="AA809" s="1310" t="s">
        <v>1559</v>
      </c>
      <c r="AB809" s="1310" t="s">
        <v>1623</v>
      </c>
      <c r="AC809" s="1310" t="s">
        <v>1541</v>
      </c>
      <c r="AD809" s="1310" t="s">
        <v>1027</v>
      </c>
      <c r="AE809" s="1310" t="s">
        <v>1527</v>
      </c>
      <c r="AF809" s="1310" t="s">
        <v>1618</v>
      </c>
    </row>
    <row r="810" spans="1:32" x14ac:dyDescent="0.3">
      <c r="A810" s="1310" t="s">
        <v>1585</v>
      </c>
      <c r="B810" s="1310" t="s">
        <v>113</v>
      </c>
      <c r="C810" s="1310" t="s">
        <v>1642</v>
      </c>
      <c r="D810" s="1310" t="s">
        <v>1505</v>
      </c>
      <c r="E810" s="1310" t="s">
        <v>1505</v>
      </c>
      <c r="F810" s="1310" t="s">
        <v>1563</v>
      </c>
      <c r="G810" s="1310" t="s">
        <v>1638</v>
      </c>
      <c r="H810" s="1310" t="s">
        <v>1518</v>
      </c>
      <c r="I810" s="1310" t="s">
        <v>1448</v>
      </c>
      <c r="J810" s="1310" t="s">
        <v>1564</v>
      </c>
      <c r="K810" s="1310" t="s">
        <v>1471</v>
      </c>
      <c r="L810" s="1310" t="s">
        <v>112</v>
      </c>
      <c r="M810" s="1310" t="s">
        <v>1618</v>
      </c>
      <c r="N810" s="1310" t="s">
        <v>1505</v>
      </c>
      <c r="O810" s="1310" t="s">
        <v>1648</v>
      </c>
      <c r="P810" s="1310" t="s">
        <v>1496</v>
      </c>
      <c r="Q810" s="1310" t="s">
        <v>1602</v>
      </c>
      <c r="R810" s="1310" t="s">
        <v>1582</v>
      </c>
      <c r="S810" s="1310" t="s">
        <v>129</v>
      </c>
      <c r="T810" s="1310" t="s">
        <v>1454</v>
      </c>
      <c r="U810" s="1310" t="s">
        <v>1543</v>
      </c>
      <c r="V810" s="1310" t="s">
        <v>1607</v>
      </c>
      <c r="W810" s="1310" t="s">
        <v>110</v>
      </c>
      <c r="X810" s="1310" t="s">
        <v>1644</v>
      </c>
      <c r="Y810" s="1310" t="s">
        <v>264</v>
      </c>
      <c r="Z810" s="1310" t="s">
        <v>1568</v>
      </c>
      <c r="AA810" s="1310" t="s">
        <v>114</v>
      </c>
      <c r="AB810" s="1310" t="s">
        <v>1488</v>
      </c>
      <c r="AC810" s="1310" t="s">
        <v>1579</v>
      </c>
      <c r="AD810" s="1310" t="s">
        <v>1474</v>
      </c>
      <c r="AE810" s="1310" t="s">
        <v>1468</v>
      </c>
      <c r="AF810" s="1310" t="s">
        <v>126</v>
      </c>
    </row>
    <row r="811" spans="1:32" x14ac:dyDescent="0.3">
      <c r="A811" s="1310" t="s">
        <v>1602</v>
      </c>
      <c r="B811" s="1310" t="s">
        <v>1636</v>
      </c>
      <c r="C811" s="1310" t="s">
        <v>1498</v>
      </c>
      <c r="D811" s="1310" t="s">
        <v>1517</v>
      </c>
      <c r="E811" s="1310" t="s">
        <v>1490</v>
      </c>
      <c r="F811" s="1310" t="s">
        <v>1580</v>
      </c>
      <c r="G811" s="1310" t="s">
        <v>1505</v>
      </c>
      <c r="H811" s="1310" t="s">
        <v>1568</v>
      </c>
      <c r="I811" s="1310" t="s">
        <v>1636</v>
      </c>
      <c r="J811" s="1310" t="s">
        <v>1638</v>
      </c>
      <c r="K811" s="1310" t="s">
        <v>1489</v>
      </c>
      <c r="L811" s="1310" t="s">
        <v>1599</v>
      </c>
      <c r="M811" s="1310" t="s">
        <v>131</v>
      </c>
      <c r="N811" s="1310" t="s">
        <v>1633</v>
      </c>
      <c r="O811" s="1310" t="s">
        <v>1567</v>
      </c>
      <c r="P811" s="1310" t="s">
        <v>1030</v>
      </c>
      <c r="Q811" s="1310" t="s">
        <v>130</v>
      </c>
      <c r="R811" s="1310" t="s">
        <v>1604</v>
      </c>
      <c r="S811" s="1310" t="s">
        <v>1602</v>
      </c>
      <c r="T811" s="1310" t="s">
        <v>1636</v>
      </c>
      <c r="U811" s="1310" t="s">
        <v>1573</v>
      </c>
      <c r="V811" s="1310" t="s">
        <v>1443</v>
      </c>
      <c r="W811" s="1310" t="s">
        <v>1450</v>
      </c>
      <c r="X811" s="1310" t="s">
        <v>123</v>
      </c>
      <c r="Y811" s="1310" t="s">
        <v>1625</v>
      </c>
      <c r="Z811" s="1310" t="s">
        <v>1474</v>
      </c>
      <c r="AA811" s="1310" t="s">
        <v>1541</v>
      </c>
      <c r="AB811" s="1310" t="s">
        <v>110</v>
      </c>
      <c r="AC811" s="1310" t="s">
        <v>1636</v>
      </c>
      <c r="AD811" s="1310" t="s">
        <v>1561</v>
      </c>
      <c r="AE811" s="1310" t="s">
        <v>1517</v>
      </c>
      <c r="AF811" s="1310" t="s">
        <v>1603</v>
      </c>
    </row>
    <row r="812" spans="1:32" x14ac:dyDescent="0.3">
      <c r="A812" s="1310" t="s">
        <v>1655</v>
      </c>
      <c r="B812" s="1310" t="s">
        <v>1587</v>
      </c>
      <c r="C812" s="1310" t="s">
        <v>1529</v>
      </c>
      <c r="D812" s="1310" t="s">
        <v>1572</v>
      </c>
      <c r="E812" s="1310" t="s">
        <v>1498</v>
      </c>
      <c r="F812" s="1310" t="s">
        <v>1474</v>
      </c>
      <c r="G812" s="1310" t="s">
        <v>1475</v>
      </c>
      <c r="H812" s="1310" t="s">
        <v>1589</v>
      </c>
      <c r="I812" s="1310" t="s">
        <v>1567</v>
      </c>
      <c r="J812" s="1310" t="s">
        <v>115</v>
      </c>
      <c r="K812" s="1310" t="s">
        <v>1649</v>
      </c>
      <c r="L812" s="1310" t="s">
        <v>1484</v>
      </c>
      <c r="M812" s="1310" t="s">
        <v>1484</v>
      </c>
      <c r="N812" s="1310" t="s">
        <v>1611</v>
      </c>
      <c r="O812" s="1310" t="s">
        <v>1528</v>
      </c>
      <c r="P812" s="1310" t="s">
        <v>1471</v>
      </c>
      <c r="Q812" s="1310" t="s">
        <v>1576</v>
      </c>
      <c r="R812" s="1310" t="s">
        <v>120</v>
      </c>
      <c r="S812" s="1310" t="s">
        <v>1513</v>
      </c>
      <c r="T812" s="1310" t="s">
        <v>1473</v>
      </c>
      <c r="U812" s="1310" t="s">
        <v>1459</v>
      </c>
      <c r="V812" s="1310" t="s">
        <v>1648</v>
      </c>
      <c r="W812" s="1310" t="s">
        <v>1502</v>
      </c>
      <c r="X812" s="1310" t="s">
        <v>1512</v>
      </c>
      <c r="Y812" s="1310" t="s">
        <v>1456</v>
      </c>
      <c r="Z812" s="1310" t="s">
        <v>1461</v>
      </c>
      <c r="AA812" s="1310" t="s">
        <v>1445</v>
      </c>
      <c r="AB812" s="1310" t="s">
        <v>471</v>
      </c>
      <c r="AC812" s="1310" t="s">
        <v>111</v>
      </c>
      <c r="AD812" s="1310" t="s">
        <v>266</v>
      </c>
      <c r="AE812" s="1310" t="s">
        <v>1639</v>
      </c>
      <c r="AF812" s="1310" t="s">
        <v>128</v>
      </c>
    </row>
    <row r="813" spans="1:32" x14ac:dyDescent="0.3">
      <c r="A813" s="1310" t="s">
        <v>1576</v>
      </c>
      <c r="B813" s="1310" t="s">
        <v>1587</v>
      </c>
      <c r="C813" s="1310" t="s">
        <v>1588</v>
      </c>
      <c r="D813" s="1310" t="s">
        <v>1534</v>
      </c>
      <c r="E813" s="1310" t="s">
        <v>1543</v>
      </c>
      <c r="F813" s="1310" t="s">
        <v>122</v>
      </c>
      <c r="G813" s="1310" t="s">
        <v>1515</v>
      </c>
      <c r="H813" s="1310" t="s">
        <v>1625</v>
      </c>
      <c r="I813" s="1310" t="s">
        <v>114</v>
      </c>
      <c r="J813" s="1310" t="s">
        <v>1565</v>
      </c>
      <c r="K813" s="1310" t="s">
        <v>1560</v>
      </c>
      <c r="L813" s="1310" t="s">
        <v>1638</v>
      </c>
      <c r="M813" s="1310" t="s">
        <v>1623</v>
      </c>
      <c r="N813" s="1310" t="s">
        <v>1546</v>
      </c>
      <c r="O813" s="1310" t="s">
        <v>1499</v>
      </c>
      <c r="P813" s="1310" t="s">
        <v>1513</v>
      </c>
      <c r="Q813" s="1310" t="s">
        <v>1608</v>
      </c>
      <c r="R813" s="1310" t="s">
        <v>1658</v>
      </c>
      <c r="S813" s="1310" t="s">
        <v>1585</v>
      </c>
      <c r="T813" s="1310" t="s">
        <v>1461</v>
      </c>
      <c r="U813" s="1310" t="s">
        <v>1524</v>
      </c>
      <c r="V813" s="1310" t="s">
        <v>1547</v>
      </c>
      <c r="W813" s="1310" t="s">
        <v>1556</v>
      </c>
      <c r="X813" s="1310" t="s">
        <v>1576</v>
      </c>
      <c r="Y813" s="1310" t="s">
        <v>1574</v>
      </c>
      <c r="Z813" s="1310" t="s">
        <v>1531</v>
      </c>
      <c r="AA813" s="1310" t="s">
        <v>1639</v>
      </c>
      <c r="AB813" s="1310" t="s">
        <v>1659</v>
      </c>
      <c r="AC813" s="1310" t="s">
        <v>1609</v>
      </c>
      <c r="AD813" s="1310" t="s">
        <v>1610</v>
      </c>
      <c r="AE813" s="1310" t="s">
        <v>1447</v>
      </c>
      <c r="AF813" s="1310" t="s">
        <v>1612</v>
      </c>
    </row>
    <row r="814" spans="1:32" x14ac:dyDescent="0.3">
      <c r="A814" s="1310" t="s">
        <v>1655</v>
      </c>
      <c r="B814" s="1310" t="s">
        <v>1511</v>
      </c>
      <c r="C814" s="1310" t="s">
        <v>1577</v>
      </c>
      <c r="D814" s="1310" t="s">
        <v>1589</v>
      </c>
      <c r="E814" s="1310" t="s">
        <v>1563</v>
      </c>
      <c r="F814" s="1310" t="s">
        <v>1490</v>
      </c>
      <c r="G814" s="1310" t="s">
        <v>1580</v>
      </c>
      <c r="H814" s="1310" t="s">
        <v>1658</v>
      </c>
      <c r="I814" s="1310" t="s">
        <v>1510</v>
      </c>
      <c r="J814" s="1310" t="s">
        <v>1569</v>
      </c>
      <c r="K814" s="1310" t="s">
        <v>269</v>
      </c>
      <c r="L814" s="1310" t="s">
        <v>130</v>
      </c>
      <c r="M814" s="1310" t="s">
        <v>1543</v>
      </c>
      <c r="N814" s="1310" t="s">
        <v>1559</v>
      </c>
      <c r="O814" s="1310" t="s">
        <v>1654</v>
      </c>
      <c r="P814" s="1310" t="s">
        <v>1647</v>
      </c>
      <c r="Q814" s="1310" t="s">
        <v>1658</v>
      </c>
      <c r="R814" s="1310" t="s">
        <v>116</v>
      </c>
      <c r="S814" s="1310" t="s">
        <v>1544</v>
      </c>
      <c r="T814" s="1310" t="s">
        <v>1520</v>
      </c>
      <c r="U814" s="1310" t="s">
        <v>1657</v>
      </c>
      <c r="V814" s="1310" t="s">
        <v>1656</v>
      </c>
      <c r="W814" s="1310" t="s">
        <v>1577</v>
      </c>
      <c r="X814" s="1310" t="s">
        <v>1547</v>
      </c>
      <c r="Y814" s="1310" t="s">
        <v>1468</v>
      </c>
      <c r="Z814" s="1310" t="s">
        <v>1450</v>
      </c>
      <c r="AA814" s="1310" t="s">
        <v>1443</v>
      </c>
      <c r="AB814" s="1310" t="s">
        <v>1450</v>
      </c>
      <c r="AC814" s="1310" t="s">
        <v>1485</v>
      </c>
      <c r="AD814" s="1310" t="s">
        <v>1584</v>
      </c>
      <c r="AE814" s="1310" t="s">
        <v>1565</v>
      </c>
      <c r="AF814" s="1310" t="s">
        <v>1540</v>
      </c>
    </row>
    <row r="815" spans="1:32" x14ac:dyDescent="0.3">
      <c r="A815" s="1310" t="s">
        <v>133</v>
      </c>
      <c r="B815" s="1310" t="s">
        <v>1580</v>
      </c>
      <c r="C815" s="1310" t="s">
        <v>1586</v>
      </c>
      <c r="D815" s="1310" t="s">
        <v>125</v>
      </c>
      <c r="E815" s="1310" t="s">
        <v>1633</v>
      </c>
      <c r="F815" s="1310" t="s">
        <v>1601</v>
      </c>
      <c r="G815" s="1310" t="s">
        <v>1614</v>
      </c>
      <c r="H815" s="1310" t="s">
        <v>1518</v>
      </c>
      <c r="I815" s="1310" t="s">
        <v>1585</v>
      </c>
      <c r="J815" s="1310" t="s">
        <v>1596</v>
      </c>
      <c r="K815" s="1310" t="s">
        <v>1648</v>
      </c>
      <c r="L815" s="1310" t="s">
        <v>1575</v>
      </c>
      <c r="M815" s="1310" t="s">
        <v>1629</v>
      </c>
      <c r="N815" s="1310" t="s">
        <v>1608</v>
      </c>
      <c r="O815" s="1310" t="s">
        <v>1473</v>
      </c>
      <c r="P815" s="1310" t="s">
        <v>132</v>
      </c>
      <c r="Q815" s="1310" t="s">
        <v>1619</v>
      </c>
      <c r="R815" s="1310" t="s">
        <v>465</v>
      </c>
      <c r="S815" s="1310" t="s">
        <v>1561</v>
      </c>
      <c r="T815" s="1310" t="s">
        <v>1478</v>
      </c>
      <c r="U815" s="1310" t="s">
        <v>1473</v>
      </c>
      <c r="V815" s="1310" t="s">
        <v>121</v>
      </c>
      <c r="W815" s="1310" t="s">
        <v>1635</v>
      </c>
      <c r="X815" s="1310" t="s">
        <v>1451</v>
      </c>
      <c r="Y815" s="1310" t="s">
        <v>1602</v>
      </c>
      <c r="Z815" s="1310" t="s">
        <v>1550</v>
      </c>
      <c r="AA815" s="1310" t="s">
        <v>1479</v>
      </c>
      <c r="AB815" s="1310" t="s">
        <v>1639</v>
      </c>
      <c r="AC815" s="1310" t="s">
        <v>1500</v>
      </c>
      <c r="AD815" s="1310" t="s">
        <v>1508</v>
      </c>
      <c r="AE815" s="1310" t="s">
        <v>1626</v>
      </c>
      <c r="AF815" s="1310" t="s">
        <v>1643</v>
      </c>
    </row>
    <row r="816" spans="1:32" x14ac:dyDescent="0.3">
      <c r="A816" s="1310" t="s">
        <v>1572</v>
      </c>
      <c r="B816" s="1310" t="s">
        <v>1572</v>
      </c>
      <c r="C816" s="1310" t="s">
        <v>1559</v>
      </c>
      <c r="D816" s="1310" t="s">
        <v>1560</v>
      </c>
      <c r="E816" s="1310" t="s">
        <v>1539</v>
      </c>
      <c r="F816" s="1310" t="s">
        <v>1488</v>
      </c>
      <c r="G816" s="1310" t="s">
        <v>1629</v>
      </c>
      <c r="H816" s="1310" t="s">
        <v>130</v>
      </c>
      <c r="I816" s="1310" t="s">
        <v>1558</v>
      </c>
      <c r="J816" s="1310" t="s">
        <v>1522</v>
      </c>
      <c r="K816" s="1310" t="s">
        <v>1658</v>
      </c>
      <c r="L816" s="1310" t="s">
        <v>113</v>
      </c>
      <c r="M816" s="1310" t="s">
        <v>1609</v>
      </c>
      <c r="N816" s="1310" t="s">
        <v>1638</v>
      </c>
      <c r="O816" s="1310" t="s">
        <v>465</v>
      </c>
      <c r="P816" s="1310" t="s">
        <v>1466</v>
      </c>
      <c r="Q816" s="1310" t="s">
        <v>1640</v>
      </c>
      <c r="R816" s="1310" t="s">
        <v>1512</v>
      </c>
      <c r="S816" s="1310" t="s">
        <v>1583</v>
      </c>
      <c r="T816" s="1310" t="s">
        <v>1549</v>
      </c>
      <c r="U816" s="1310" t="s">
        <v>1449</v>
      </c>
      <c r="V816" s="1310" t="s">
        <v>1626</v>
      </c>
      <c r="W816" s="1310" t="s">
        <v>1602</v>
      </c>
      <c r="X816" s="1310" t="s">
        <v>1652</v>
      </c>
      <c r="Y816" s="1310" t="s">
        <v>1641</v>
      </c>
      <c r="Z816" s="1310" t="s">
        <v>1518</v>
      </c>
      <c r="AA816" s="1310" t="s">
        <v>1547</v>
      </c>
      <c r="AB816" s="1310" t="s">
        <v>1637</v>
      </c>
      <c r="AC816" s="1310" t="s">
        <v>110</v>
      </c>
      <c r="AD816" s="1310" t="s">
        <v>1621</v>
      </c>
      <c r="AE816" s="1310" t="s">
        <v>1629</v>
      </c>
      <c r="AF816" s="1310" t="s">
        <v>1574</v>
      </c>
    </row>
    <row r="817" spans="1:32" x14ac:dyDescent="0.3">
      <c r="A817" s="1310" t="s">
        <v>1480</v>
      </c>
      <c r="B817" s="1310" t="s">
        <v>1568</v>
      </c>
      <c r="C817" s="1310" t="s">
        <v>1464</v>
      </c>
      <c r="D817" s="1310" t="s">
        <v>1526</v>
      </c>
      <c r="E817" s="1310" t="s">
        <v>1447</v>
      </c>
      <c r="F817" s="1310" t="s">
        <v>1635</v>
      </c>
      <c r="G817" s="1310" t="s">
        <v>1618</v>
      </c>
      <c r="H817" s="1310" t="s">
        <v>1483</v>
      </c>
      <c r="I817" s="1310" t="s">
        <v>1549</v>
      </c>
      <c r="J817" s="1310" t="s">
        <v>1529</v>
      </c>
      <c r="K817" s="1310" t="s">
        <v>1480</v>
      </c>
      <c r="L817" s="1310" t="s">
        <v>1590</v>
      </c>
      <c r="M817" s="1310" t="s">
        <v>1645</v>
      </c>
      <c r="N817" s="1310" t="s">
        <v>1496</v>
      </c>
      <c r="O817" s="1310" t="s">
        <v>1650</v>
      </c>
      <c r="P817" s="1310" t="s">
        <v>1620</v>
      </c>
      <c r="Q817" s="1310" t="s">
        <v>1581</v>
      </c>
      <c r="R817" s="1310" t="s">
        <v>1503</v>
      </c>
      <c r="S817" s="1310" t="s">
        <v>1531</v>
      </c>
      <c r="T817" s="1310" t="s">
        <v>1627</v>
      </c>
      <c r="U817" s="1310" t="s">
        <v>1583</v>
      </c>
      <c r="V817" s="1310" t="s">
        <v>1499</v>
      </c>
      <c r="W817" s="1310" t="s">
        <v>1504</v>
      </c>
      <c r="X817" s="1310" t="s">
        <v>1537</v>
      </c>
      <c r="Y817" s="1310" t="s">
        <v>1613</v>
      </c>
      <c r="Z817" s="1310" t="s">
        <v>1599</v>
      </c>
      <c r="AA817" s="1310" t="s">
        <v>1481</v>
      </c>
      <c r="AB817" s="1310" t="s">
        <v>1603</v>
      </c>
      <c r="AC817" s="1310" t="s">
        <v>1471</v>
      </c>
      <c r="AD817" s="1310" t="s">
        <v>1443</v>
      </c>
      <c r="AE817" s="1310" t="s">
        <v>1450</v>
      </c>
      <c r="AF817" s="1310" t="s">
        <v>1563</v>
      </c>
    </row>
    <row r="818" spans="1:32" x14ac:dyDescent="0.3">
      <c r="A818" s="1310" t="s">
        <v>1565</v>
      </c>
      <c r="B818" s="1310" t="s">
        <v>1645</v>
      </c>
      <c r="C818" s="1310" t="s">
        <v>1570</v>
      </c>
      <c r="D818" s="1310" t="s">
        <v>1460</v>
      </c>
      <c r="E818" s="1310" t="s">
        <v>1622</v>
      </c>
      <c r="F818" s="1310" t="s">
        <v>1521</v>
      </c>
      <c r="G818" s="1310" t="s">
        <v>1620</v>
      </c>
      <c r="H818" s="1310" t="s">
        <v>1606</v>
      </c>
      <c r="I818" s="1310" t="s">
        <v>1499</v>
      </c>
      <c r="J818" s="1310" t="s">
        <v>471</v>
      </c>
      <c r="K818" s="1310" t="s">
        <v>1464</v>
      </c>
      <c r="L818" s="1310" t="s">
        <v>1622</v>
      </c>
      <c r="M818" s="1310" t="s">
        <v>1475</v>
      </c>
      <c r="N818" s="1310" t="s">
        <v>1482</v>
      </c>
      <c r="O818" s="1310" t="s">
        <v>1560</v>
      </c>
      <c r="P818" s="1310" t="s">
        <v>1558</v>
      </c>
      <c r="Q818" s="1310" t="s">
        <v>1568</v>
      </c>
      <c r="R818" s="1310" t="s">
        <v>1643</v>
      </c>
      <c r="S818" s="1310" t="s">
        <v>1487</v>
      </c>
      <c r="T818" s="1310" t="s">
        <v>1516</v>
      </c>
      <c r="U818" s="1310" t="s">
        <v>1448</v>
      </c>
      <c r="V818" s="1310" t="s">
        <v>1634</v>
      </c>
      <c r="W818" s="1310" t="s">
        <v>1498</v>
      </c>
      <c r="X818" s="1310" t="s">
        <v>6</v>
      </c>
      <c r="Y818" s="1310" t="s">
        <v>117</v>
      </c>
      <c r="Z818" s="1310" t="s">
        <v>1569</v>
      </c>
      <c r="AA818" s="1310" t="s">
        <v>1659</v>
      </c>
      <c r="AB818" s="1310" t="s">
        <v>1592</v>
      </c>
      <c r="AC818" s="1310" t="s">
        <v>1495</v>
      </c>
      <c r="AD818" s="1310" t="s">
        <v>1542</v>
      </c>
      <c r="AE818" s="1310" t="s">
        <v>1618</v>
      </c>
      <c r="AF818" s="1310" t="s">
        <v>1593</v>
      </c>
    </row>
    <row r="819" spans="1:32" x14ac:dyDescent="0.3">
      <c r="A819" s="1310" t="s">
        <v>1658</v>
      </c>
      <c r="B819" s="1310" t="s">
        <v>1630</v>
      </c>
      <c r="C819" s="1310" t="s">
        <v>113</v>
      </c>
      <c r="D819" s="1310" t="s">
        <v>1594</v>
      </c>
      <c r="E819" s="1310" t="s">
        <v>1597</v>
      </c>
      <c r="F819" s="1310" t="s">
        <v>110</v>
      </c>
      <c r="G819" s="1310" t="s">
        <v>1567</v>
      </c>
      <c r="H819" s="1310" t="s">
        <v>1453</v>
      </c>
      <c r="I819" s="1310" t="s">
        <v>1458</v>
      </c>
      <c r="J819" s="1310" t="s">
        <v>1517</v>
      </c>
      <c r="K819" s="1310" t="s">
        <v>264</v>
      </c>
      <c r="L819" s="1310" t="s">
        <v>1549</v>
      </c>
      <c r="M819" s="1310" t="s">
        <v>1564</v>
      </c>
      <c r="N819" s="1310" t="s">
        <v>1454</v>
      </c>
      <c r="O819" s="1310" t="s">
        <v>1538</v>
      </c>
      <c r="P819" s="1310" t="s">
        <v>1645</v>
      </c>
      <c r="Q819" s="1310" t="s">
        <v>1591</v>
      </c>
      <c r="R819" s="1310" t="s">
        <v>1462</v>
      </c>
      <c r="S819" s="1310" t="s">
        <v>1602</v>
      </c>
      <c r="T819" s="1310" t="s">
        <v>1453</v>
      </c>
      <c r="U819" s="1310" t="s">
        <v>1567</v>
      </c>
      <c r="V819" s="1310" t="s">
        <v>1541</v>
      </c>
      <c r="W819" s="1310" t="s">
        <v>126</v>
      </c>
      <c r="X819" s="1310" t="s">
        <v>1565</v>
      </c>
      <c r="Y819" s="1310" t="s">
        <v>1592</v>
      </c>
      <c r="Z819" s="1310" t="s">
        <v>1565</v>
      </c>
      <c r="AA819" s="1310" t="s">
        <v>117</v>
      </c>
      <c r="AB819" s="1310" t="s">
        <v>1617</v>
      </c>
      <c r="AC819" s="1310" t="s">
        <v>1648</v>
      </c>
      <c r="AD819" s="1310" t="s">
        <v>118</v>
      </c>
      <c r="AE819" s="1310" t="s">
        <v>1507</v>
      </c>
      <c r="AF819" s="1310" t="s">
        <v>1593</v>
      </c>
    </row>
    <row r="820" spans="1:32" x14ac:dyDescent="0.3">
      <c r="A820" s="1310" t="s">
        <v>1595</v>
      </c>
      <c r="B820" s="1310" t="s">
        <v>1639</v>
      </c>
      <c r="C820" s="1310" t="s">
        <v>1627</v>
      </c>
      <c r="D820" s="1310" t="s">
        <v>1596</v>
      </c>
      <c r="E820" s="1310" t="s">
        <v>1577</v>
      </c>
      <c r="F820" s="1310" t="s">
        <v>1030</v>
      </c>
      <c r="G820" s="1310" t="s">
        <v>1566</v>
      </c>
      <c r="H820" s="1310" t="s">
        <v>1545</v>
      </c>
      <c r="I820" s="1310" t="s">
        <v>1464</v>
      </c>
      <c r="J820" s="1310" t="s">
        <v>1585</v>
      </c>
      <c r="K820" s="1310" t="s">
        <v>1564</v>
      </c>
      <c r="L820" s="1310" t="s">
        <v>1615</v>
      </c>
      <c r="M820" s="1310" t="s">
        <v>122</v>
      </c>
      <c r="N820" s="1310" t="s">
        <v>1585</v>
      </c>
      <c r="O820" s="1310" t="s">
        <v>1494</v>
      </c>
      <c r="P820" s="1310" t="s">
        <v>132</v>
      </c>
      <c r="Q820" s="1310" t="s">
        <v>1443</v>
      </c>
      <c r="R820" s="1310" t="s">
        <v>1450</v>
      </c>
      <c r="S820" s="1310" t="s">
        <v>1615</v>
      </c>
      <c r="T820" s="1310" t="s">
        <v>1647</v>
      </c>
      <c r="U820" s="1310" t="s">
        <v>1501</v>
      </c>
      <c r="V820" s="1310" t="s">
        <v>1485</v>
      </c>
      <c r="W820" s="1310" t="s">
        <v>1515</v>
      </c>
      <c r="X820" s="1310" t="s">
        <v>1562</v>
      </c>
      <c r="Y820" s="1310" t="s">
        <v>1560</v>
      </c>
      <c r="Z820" s="1310" t="s">
        <v>1510</v>
      </c>
      <c r="AA820" s="1310" t="s">
        <v>1461</v>
      </c>
      <c r="AB820" s="1310" t="s">
        <v>1478</v>
      </c>
      <c r="AC820" s="1310" t="s">
        <v>122</v>
      </c>
      <c r="AD820" s="1310" t="s">
        <v>1579</v>
      </c>
      <c r="AE820" s="1310" t="s">
        <v>1577</v>
      </c>
      <c r="AF820" s="1310" t="s">
        <v>1632</v>
      </c>
    </row>
    <row r="821" spans="1:32" x14ac:dyDescent="0.3">
      <c r="A821" s="1310" t="s">
        <v>1628</v>
      </c>
      <c r="B821" s="1310" t="s">
        <v>1595</v>
      </c>
      <c r="C821" s="1310" t="s">
        <v>1484</v>
      </c>
      <c r="D821" s="1310" t="s">
        <v>1621</v>
      </c>
      <c r="E821" s="1310" t="s">
        <v>1484</v>
      </c>
      <c r="F821" s="1310" t="s">
        <v>1486</v>
      </c>
      <c r="G821" s="1310" t="s">
        <v>1656</v>
      </c>
      <c r="H821" s="1310" t="s">
        <v>1463</v>
      </c>
      <c r="I821" s="1310" t="s">
        <v>1572</v>
      </c>
      <c r="J821" s="1310" t="s">
        <v>127</v>
      </c>
      <c r="K821" s="1310" t="s">
        <v>1469</v>
      </c>
      <c r="L821" s="1310" t="s">
        <v>1564</v>
      </c>
      <c r="M821" s="1310" t="s">
        <v>1656</v>
      </c>
      <c r="N821" s="1310" t="s">
        <v>1475</v>
      </c>
      <c r="O821" s="1310" t="s">
        <v>1609</v>
      </c>
      <c r="P821" s="1310" t="s">
        <v>121</v>
      </c>
      <c r="Q821" s="1310" t="s">
        <v>1572</v>
      </c>
      <c r="R821" s="1310" t="s">
        <v>1535</v>
      </c>
      <c r="S821" s="1310" t="s">
        <v>1484</v>
      </c>
      <c r="T821" s="1310" t="s">
        <v>1521</v>
      </c>
      <c r="U821" s="1310" t="s">
        <v>1459</v>
      </c>
      <c r="V821" s="1310" t="s">
        <v>1459</v>
      </c>
      <c r="W821" s="1310" t="s">
        <v>1573</v>
      </c>
      <c r="X821" s="1310" t="s">
        <v>1641</v>
      </c>
      <c r="Y821" s="1310" t="s">
        <v>129</v>
      </c>
      <c r="Z821" s="1310" t="s">
        <v>1520</v>
      </c>
      <c r="AA821" s="1310" t="s">
        <v>1463</v>
      </c>
      <c r="AB821" s="1310" t="s">
        <v>1602</v>
      </c>
      <c r="AC821" s="1310" t="s">
        <v>1478</v>
      </c>
      <c r="AD821" s="1310" t="s">
        <v>1451</v>
      </c>
      <c r="AE821" s="1310" t="s">
        <v>1562</v>
      </c>
      <c r="AF821" s="1310" t="s">
        <v>1619</v>
      </c>
    </row>
    <row r="822" spans="1:32" x14ac:dyDescent="0.3">
      <c r="A822" s="1310" t="s">
        <v>1566</v>
      </c>
      <c r="B822" s="1310" t="s">
        <v>1636</v>
      </c>
      <c r="C822" s="1310" t="s">
        <v>1512</v>
      </c>
      <c r="D822" s="1310" t="s">
        <v>1565</v>
      </c>
      <c r="E822" s="1310" t="s">
        <v>1636</v>
      </c>
      <c r="F822" s="1310" t="s">
        <v>1649</v>
      </c>
      <c r="G822" s="1310" t="s">
        <v>1643</v>
      </c>
      <c r="H822" s="1310" t="s">
        <v>133</v>
      </c>
      <c r="I822" s="1310" t="s">
        <v>1595</v>
      </c>
      <c r="J822" s="1310" t="s">
        <v>1533</v>
      </c>
      <c r="K822" s="1310" t="s">
        <v>1588</v>
      </c>
      <c r="L822" s="1310" t="s">
        <v>1551</v>
      </c>
      <c r="M822" s="1310" t="s">
        <v>1544</v>
      </c>
      <c r="N822" s="1310" t="s">
        <v>1470</v>
      </c>
      <c r="O822" s="1310" t="s">
        <v>1512</v>
      </c>
      <c r="P822" s="1310" t="s">
        <v>1455</v>
      </c>
      <c r="Q822" s="1310" t="s">
        <v>1536</v>
      </c>
      <c r="R822" s="1310" t="s">
        <v>1471</v>
      </c>
      <c r="S822" s="1310" t="s">
        <v>1639</v>
      </c>
      <c r="T822" s="1310" t="s">
        <v>1539</v>
      </c>
      <c r="U822" s="1310" t="s">
        <v>124</v>
      </c>
      <c r="V822" s="1310" t="s">
        <v>1542</v>
      </c>
      <c r="W822" s="1310" t="s">
        <v>1508</v>
      </c>
      <c r="X822" s="1310" t="s">
        <v>1513</v>
      </c>
      <c r="Y822" s="1310" t="s">
        <v>1603</v>
      </c>
      <c r="Z822" s="1310" t="s">
        <v>1633</v>
      </c>
      <c r="AA822" s="1310" t="s">
        <v>1604</v>
      </c>
      <c r="AB822" s="1310" t="s">
        <v>1550</v>
      </c>
      <c r="AC822" s="1310" t="s">
        <v>1552</v>
      </c>
      <c r="AD822" s="1310" t="s">
        <v>1596</v>
      </c>
      <c r="AE822" s="1310" t="s">
        <v>1606</v>
      </c>
      <c r="AF822" s="1310" t="s">
        <v>1621</v>
      </c>
    </row>
    <row r="823" spans="1:32" x14ac:dyDescent="0.3">
      <c r="A823" s="1310" t="s">
        <v>117</v>
      </c>
      <c r="B823" s="1310" t="s">
        <v>1600</v>
      </c>
      <c r="C823" s="1310" t="s">
        <v>1493</v>
      </c>
      <c r="D823" s="1310" t="s">
        <v>1552</v>
      </c>
      <c r="E823" s="1310" t="s">
        <v>1486</v>
      </c>
      <c r="F823" s="1310" t="s">
        <v>1503</v>
      </c>
      <c r="G823" s="1310" t="s">
        <v>1561</v>
      </c>
      <c r="H823" s="1310" t="s">
        <v>1526</v>
      </c>
      <c r="I823" s="1310" t="s">
        <v>1563</v>
      </c>
      <c r="J823" s="1310" t="s">
        <v>1454</v>
      </c>
      <c r="K823" s="1310" t="s">
        <v>133</v>
      </c>
      <c r="L823" s="1310" t="s">
        <v>1509</v>
      </c>
      <c r="M823" s="1310" t="s">
        <v>1495</v>
      </c>
      <c r="N823" s="1310" t="s">
        <v>1526</v>
      </c>
      <c r="O823" s="1310" t="s">
        <v>1529</v>
      </c>
      <c r="P823" s="1310" t="s">
        <v>1647</v>
      </c>
      <c r="Q823" s="1310" t="s">
        <v>1509</v>
      </c>
      <c r="R823" s="1310" t="s">
        <v>1446</v>
      </c>
      <c r="S823" s="1310" t="s">
        <v>266</v>
      </c>
      <c r="T823" s="1310" t="s">
        <v>1516</v>
      </c>
      <c r="U823" s="1310" t="s">
        <v>1628</v>
      </c>
      <c r="V823" s="1310" t="s">
        <v>1593</v>
      </c>
      <c r="W823" s="1310" t="s">
        <v>1027</v>
      </c>
      <c r="X823" s="1310" t="s">
        <v>1621</v>
      </c>
      <c r="Y823" s="1310" t="s">
        <v>1540</v>
      </c>
      <c r="Z823" s="1310" t="s">
        <v>1608</v>
      </c>
      <c r="AA823" s="1310" t="s">
        <v>1502</v>
      </c>
      <c r="AB823" s="1310" t="s">
        <v>1621</v>
      </c>
      <c r="AC823" s="1310" t="s">
        <v>1594</v>
      </c>
      <c r="AD823" s="1310" t="s">
        <v>1568</v>
      </c>
      <c r="AE823" s="1310" t="s">
        <v>124</v>
      </c>
      <c r="AF823" s="1310" t="s">
        <v>1562</v>
      </c>
    </row>
    <row r="824" spans="1:32" x14ac:dyDescent="0.3">
      <c r="A824" s="1310" t="s">
        <v>1594</v>
      </c>
      <c r="B824" s="1310" t="s">
        <v>1521</v>
      </c>
      <c r="C824" s="1310" t="s">
        <v>1464</v>
      </c>
      <c r="D824" s="1310" t="s">
        <v>1633</v>
      </c>
      <c r="E824" s="1310" t="s">
        <v>1456</v>
      </c>
      <c r="F824" s="1310" t="s">
        <v>1517</v>
      </c>
      <c r="G824" s="1310" t="s">
        <v>1549</v>
      </c>
      <c r="H824" s="1310" t="s">
        <v>1645</v>
      </c>
      <c r="I824" s="1310" t="s">
        <v>1656</v>
      </c>
      <c r="J824" s="1310" t="s">
        <v>1568</v>
      </c>
      <c r="K824" s="1310" t="s">
        <v>1603</v>
      </c>
      <c r="L824" s="1310" t="s">
        <v>1570</v>
      </c>
      <c r="M824" s="1310" t="s">
        <v>1473</v>
      </c>
      <c r="N824" s="1310" t="s">
        <v>1565</v>
      </c>
      <c r="O824" s="1310" t="s">
        <v>1531</v>
      </c>
      <c r="P824" s="1310" t="s">
        <v>1568</v>
      </c>
      <c r="Q824" s="1310" t="s">
        <v>1499</v>
      </c>
      <c r="R824" s="1310" t="s">
        <v>1565</v>
      </c>
      <c r="S824" s="1310" t="s">
        <v>123</v>
      </c>
      <c r="T824" s="1310" t="s">
        <v>262</v>
      </c>
      <c r="U824" s="1310" t="s">
        <v>1490</v>
      </c>
      <c r="V824" s="1310" t="s">
        <v>1538</v>
      </c>
      <c r="W824" s="1310" t="s">
        <v>1619</v>
      </c>
      <c r="X824" s="1310" t="s">
        <v>465</v>
      </c>
      <c r="Y824" s="1310" t="s">
        <v>1488</v>
      </c>
      <c r="Z824" s="1310" t="s">
        <v>465</v>
      </c>
      <c r="AA824" s="1310" t="s">
        <v>1549</v>
      </c>
      <c r="AB824" s="1310" t="s">
        <v>1547</v>
      </c>
      <c r="AC824" s="1310" t="s">
        <v>1559</v>
      </c>
      <c r="AD824" s="1310" t="s">
        <v>1460</v>
      </c>
      <c r="AE824" s="1310" t="s">
        <v>1475</v>
      </c>
      <c r="AF824" s="1310" t="s">
        <v>1565</v>
      </c>
    </row>
    <row r="825" spans="1:32" x14ac:dyDescent="0.3">
      <c r="A825" s="1310" t="s">
        <v>1500</v>
      </c>
      <c r="B825" s="1310" t="s">
        <v>1502</v>
      </c>
      <c r="C825" s="1310" t="s">
        <v>118</v>
      </c>
      <c r="D825" s="1310" t="s">
        <v>1605</v>
      </c>
      <c r="E825" s="1310" t="s">
        <v>1551</v>
      </c>
      <c r="F825" s="1310" t="s">
        <v>1622</v>
      </c>
      <c r="G825" s="1310" t="s">
        <v>1552</v>
      </c>
      <c r="H825" s="1310" t="s">
        <v>1551</v>
      </c>
      <c r="I825" s="1310" t="s">
        <v>1510</v>
      </c>
      <c r="J825" s="1310" t="s">
        <v>1494</v>
      </c>
      <c r="K825" s="1310" t="s">
        <v>1579</v>
      </c>
      <c r="L825" s="1310" t="s">
        <v>1581</v>
      </c>
      <c r="M825" s="1310" t="s">
        <v>1614</v>
      </c>
      <c r="N825" s="1310" t="s">
        <v>1529</v>
      </c>
      <c r="O825" s="1310" t="s">
        <v>1527</v>
      </c>
      <c r="P825" s="1310" t="s">
        <v>119</v>
      </c>
      <c r="Q825" s="1310" t="s">
        <v>1577</v>
      </c>
      <c r="R825" s="1310" t="s">
        <v>1513</v>
      </c>
      <c r="S825" s="1310" t="s">
        <v>1512</v>
      </c>
      <c r="T825" s="1310" t="s">
        <v>1659</v>
      </c>
      <c r="U825" s="1310" t="s">
        <v>114</v>
      </c>
      <c r="V825" s="1310" t="s">
        <v>1600</v>
      </c>
      <c r="W825" s="1310" t="s">
        <v>122</v>
      </c>
      <c r="X825" s="1310" t="s">
        <v>1505</v>
      </c>
      <c r="Y825" s="1310" t="s">
        <v>1648</v>
      </c>
      <c r="Z825" s="1310" t="s">
        <v>1582</v>
      </c>
      <c r="AA825" s="1310" t="s">
        <v>1559</v>
      </c>
      <c r="AB825" s="1310" t="s">
        <v>131</v>
      </c>
      <c r="AC825" s="1310" t="s">
        <v>120</v>
      </c>
      <c r="AD825" s="1310" t="s">
        <v>1552</v>
      </c>
      <c r="AE825" s="1310" t="s">
        <v>1600</v>
      </c>
      <c r="AF825" s="1310" t="s">
        <v>1489</v>
      </c>
    </row>
    <row r="826" spans="1:32" x14ac:dyDescent="0.3">
      <c r="A826" s="1310" t="s">
        <v>1464</v>
      </c>
      <c r="B826" s="1310" t="s">
        <v>1550</v>
      </c>
      <c r="C826" s="1310" t="s">
        <v>1586</v>
      </c>
      <c r="D826" s="1310" t="s">
        <v>263</v>
      </c>
      <c r="E826" s="1310" t="s">
        <v>1540</v>
      </c>
      <c r="F826" s="1310" t="s">
        <v>1463</v>
      </c>
      <c r="G826" s="1310" t="s">
        <v>465</v>
      </c>
      <c r="H826" s="1310" t="s">
        <v>1492</v>
      </c>
      <c r="I826" s="1310" t="s">
        <v>1497</v>
      </c>
      <c r="J826" s="1310" t="s">
        <v>1485</v>
      </c>
      <c r="K826" s="1310" t="s">
        <v>1459</v>
      </c>
      <c r="L826" s="1310" t="s">
        <v>116</v>
      </c>
      <c r="M826" s="1310" t="s">
        <v>1535</v>
      </c>
      <c r="N826" s="1310" t="s">
        <v>1468</v>
      </c>
      <c r="O826" s="1310" t="s">
        <v>1541</v>
      </c>
      <c r="P826" s="1310" t="s">
        <v>471</v>
      </c>
      <c r="Q826" s="1310" t="s">
        <v>1500</v>
      </c>
      <c r="R826" s="1310" t="s">
        <v>1571</v>
      </c>
      <c r="S826" s="1310" t="s">
        <v>1624</v>
      </c>
      <c r="T826" s="1310" t="s">
        <v>1615</v>
      </c>
      <c r="U826" s="1310" t="s">
        <v>1443</v>
      </c>
      <c r="V826" s="1310" t="s">
        <v>1450</v>
      </c>
      <c r="W826" s="1310" t="s">
        <v>1522</v>
      </c>
      <c r="X826" s="1310" t="s">
        <v>1560</v>
      </c>
      <c r="Y826" s="1310" t="s">
        <v>1513</v>
      </c>
      <c r="Z826" s="1310" t="s">
        <v>1526</v>
      </c>
      <c r="AA826" s="1310" t="s">
        <v>114</v>
      </c>
      <c r="AB826" s="1310" t="s">
        <v>1449</v>
      </c>
      <c r="AC826" s="1310" t="s">
        <v>1594</v>
      </c>
      <c r="AD826" s="1310" t="s">
        <v>1448</v>
      </c>
      <c r="AE826" s="1310" t="s">
        <v>1658</v>
      </c>
      <c r="AF826" s="1310" t="s">
        <v>1444</v>
      </c>
    </row>
    <row r="827" spans="1:32" x14ac:dyDescent="0.3">
      <c r="A827" s="1310" t="s">
        <v>1570</v>
      </c>
      <c r="B827" s="1310" t="s">
        <v>1500</v>
      </c>
      <c r="C827" s="1310" t="s">
        <v>1594</v>
      </c>
      <c r="D827" s="1310" t="s">
        <v>1578</v>
      </c>
      <c r="E827" s="1310" t="s">
        <v>1660</v>
      </c>
      <c r="F827" s="1310" t="s">
        <v>1645</v>
      </c>
      <c r="G827" s="1310" t="s">
        <v>1536</v>
      </c>
      <c r="H827" s="1310" t="s">
        <v>112</v>
      </c>
      <c r="I827" s="1310" t="s">
        <v>1494</v>
      </c>
      <c r="J827" s="1310" t="s">
        <v>1504</v>
      </c>
      <c r="K827" s="1310" t="s">
        <v>1603</v>
      </c>
      <c r="L827" s="1310" t="s">
        <v>1027</v>
      </c>
      <c r="M827" s="1310" t="s">
        <v>131</v>
      </c>
      <c r="N827" s="1310" t="s">
        <v>1459</v>
      </c>
      <c r="O827" s="1310" t="s">
        <v>127</v>
      </c>
      <c r="P827" s="1310" t="s">
        <v>127</v>
      </c>
      <c r="Q827" s="1310" t="s">
        <v>1590</v>
      </c>
      <c r="R827" s="1310" t="s">
        <v>132</v>
      </c>
      <c r="S827" s="1310" t="s">
        <v>1655</v>
      </c>
      <c r="T827" s="1310" t="s">
        <v>1517</v>
      </c>
      <c r="U827" s="1310" t="s">
        <v>125</v>
      </c>
      <c r="V827" s="1310" t="s">
        <v>1605</v>
      </c>
      <c r="W827" s="1310" t="s">
        <v>1570</v>
      </c>
      <c r="X827" s="1310" t="s">
        <v>1485</v>
      </c>
      <c r="Y827" s="1310" t="s">
        <v>1567</v>
      </c>
      <c r="Z827" s="1310" t="s">
        <v>1511</v>
      </c>
      <c r="AA827" s="1310" t="s">
        <v>1551</v>
      </c>
      <c r="AB827" s="1310" t="s">
        <v>1578</v>
      </c>
      <c r="AC827" s="1310" t="s">
        <v>1514</v>
      </c>
      <c r="AD827" s="1310" t="s">
        <v>1532</v>
      </c>
      <c r="AE827" s="1310" t="s">
        <v>1608</v>
      </c>
      <c r="AF827" s="1310" t="s">
        <v>1597</v>
      </c>
    </row>
    <row r="828" spans="1:32" x14ac:dyDescent="0.3">
      <c r="A828" s="1310" t="s">
        <v>114</v>
      </c>
      <c r="B828" s="1310" t="s">
        <v>1549</v>
      </c>
      <c r="C828" s="1310" t="s">
        <v>1647</v>
      </c>
      <c r="D828" s="1310" t="s">
        <v>1575</v>
      </c>
      <c r="E828" s="1310" t="s">
        <v>1580</v>
      </c>
      <c r="F828" s="1310" t="s">
        <v>1510</v>
      </c>
      <c r="G828" s="1310" t="s">
        <v>1499</v>
      </c>
      <c r="H828" s="1310" t="s">
        <v>1605</v>
      </c>
      <c r="I828" s="1310" t="s">
        <v>267</v>
      </c>
      <c r="J828" s="1310" t="s">
        <v>1561</v>
      </c>
      <c r="K828" s="1310" t="s">
        <v>1654</v>
      </c>
      <c r="L828" s="1310" t="s">
        <v>1504</v>
      </c>
      <c r="M828" s="1310" t="s">
        <v>1626</v>
      </c>
      <c r="N828" s="1310" t="s">
        <v>1637</v>
      </c>
      <c r="O828" s="1310" t="s">
        <v>1491</v>
      </c>
      <c r="P828" s="1310" t="s">
        <v>1636</v>
      </c>
      <c r="Q828" s="1310" t="s">
        <v>1566</v>
      </c>
      <c r="R828" s="1310" t="s">
        <v>1551</v>
      </c>
      <c r="S828" s="1310" t="s">
        <v>1505</v>
      </c>
      <c r="T828" s="1310" t="s">
        <v>1617</v>
      </c>
      <c r="U828" s="1310" t="s">
        <v>1518</v>
      </c>
      <c r="V828" s="1310" t="s">
        <v>1594</v>
      </c>
      <c r="W828" s="1310" t="s">
        <v>1614</v>
      </c>
      <c r="X828" s="1310" t="s">
        <v>1652</v>
      </c>
      <c r="Y828" s="1310" t="s">
        <v>1581</v>
      </c>
      <c r="Z828" s="1310" t="s">
        <v>1463</v>
      </c>
      <c r="AA828" s="1310" t="s">
        <v>1601</v>
      </c>
      <c r="AB828" s="1310" t="s">
        <v>1599</v>
      </c>
      <c r="AC828" s="1310" t="s">
        <v>1499</v>
      </c>
      <c r="AD828" s="1310" t="s">
        <v>1501</v>
      </c>
      <c r="AE828" s="1310" t="s">
        <v>124</v>
      </c>
      <c r="AF828" s="1310" t="s">
        <v>1567</v>
      </c>
    </row>
    <row r="829" spans="1:32" x14ac:dyDescent="0.3">
      <c r="A829" s="1310" t="s">
        <v>1546</v>
      </c>
      <c r="B829" s="1310" t="s">
        <v>1495</v>
      </c>
      <c r="C829" s="1310" t="s">
        <v>1460</v>
      </c>
      <c r="D829" s="1310" t="s">
        <v>1594</v>
      </c>
      <c r="E829" s="1310" t="s">
        <v>113</v>
      </c>
      <c r="F829" s="1310" t="s">
        <v>1486</v>
      </c>
      <c r="G829" s="1310" t="s">
        <v>1497</v>
      </c>
      <c r="H829" s="1310" t="s">
        <v>1570</v>
      </c>
      <c r="I829" s="1310" t="s">
        <v>1456</v>
      </c>
      <c r="J829" s="1310" t="s">
        <v>123</v>
      </c>
      <c r="K829" s="1310" t="s">
        <v>1544</v>
      </c>
      <c r="L829" s="1310" t="s">
        <v>1474</v>
      </c>
      <c r="M829" s="1310" t="s">
        <v>1633</v>
      </c>
      <c r="N829" s="1310" t="s">
        <v>1609</v>
      </c>
      <c r="O829" s="1310" t="s">
        <v>269</v>
      </c>
      <c r="P829" s="1310" t="s">
        <v>1482</v>
      </c>
      <c r="Q829" s="1310" t="s">
        <v>1562</v>
      </c>
      <c r="R829" s="1310" t="s">
        <v>1489</v>
      </c>
      <c r="S829" s="1310" t="s">
        <v>1480</v>
      </c>
      <c r="T829" s="1310" t="s">
        <v>1597</v>
      </c>
      <c r="U829" s="1310" t="s">
        <v>270</v>
      </c>
      <c r="V829" s="1310" t="s">
        <v>1508</v>
      </c>
      <c r="W829" s="1310" t="s">
        <v>1456</v>
      </c>
      <c r="X829" s="1310" t="s">
        <v>1445</v>
      </c>
      <c r="Y829" s="1310" t="s">
        <v>1614</v>
      </c>
      <c r="Z829" s="1310" t="s">
        <v>1645</v>
      </c>
      <c r="AA829" s="1310" t="s">
        <v>1622</v>
      </c>
      <c r="AB829" s="1310" t="s">
        <v>1489</v>
      </c>
      <c r="AC829" s="1310" t="s">
        <v>1659</v>
      </c>
      <c r="AD829" s="1310" t="s">
        <v>132</v>
      </c>
      <c r="AE829" s="1310" t="s">
        <v>1553</v>
      </c>
      <c r="AF829" s="1310" t="s">
        <v>1591</v>
      </c>
    </row>
    <row r="830" spans="1:32" x14ac:dyDescent="0.3">
      <c r="A830" s="1310" t="s">
        <v>1533</v>
      </c>
      <c r="B830" s="1310" t="s">
        <v>1595</v>
      </c>
      <c r="C830" s="1310" t="s">
        <v>1495</v>
      </c>
      <c r="D830" s="1310" t="s">
        <v>1599</v>
      </c>
      <c r="E830" s="1310" t="s">
        <v>1587</v>
      </c>
      <c r="F830" s="1310" t="s">
        <v>1503</v>
      </c>
      <c r="G830" s="1310" t="s">
        <v>110</v>
      </c>
      <c r="H830" s="1310" t="s">
        <v>1492</v>
      </c>
      <c r="I830" s="1310" t="s">
        <v>1586</v>
      </c>
      <c r="J830" s="1310" t="s">
        <v>1445</v>
      </c>
      <c r="K830" s="1310" t="s">
        <v>1546</v>
      </c>
      <c r="L830" s="1310" t="s">
        <v>1536</v>
      </c>
      <c r="M830" s="1310" t="s">
        <v>1592</v>
      </c>
      <c r="N830" s="1310" t="s">
        <v>1493</v>
      </c>
      <c r="O830" s="1310" t="s">
        <v>1509</v>
      </c>
      <c r="P830" s="1310" t="s">
        <v>1585</v>
      </c>
      <c r="Q830" s="1310" t="s">
        <v>1475</v>
      </c>
      <c r="R830" s="1310" t="s">
        <v>1523</v>
      </c>
      <c r="S830" s="1310" t="s">
        <v>1615</v>
      </c>
      <c r="T830" s="1310" t="s">
        <v>113</v>
      </c>
      <c r="U830" s="1310" t="s">
        <v>1519</v>
      </c>
      <c r="V830" s="1310" t="s">
        <v>1476</v>
      </c>
      <c r="W830" s="1310" t="s">
        <v>1612</v>
      </c>
      <c r="X830" s="1310" t="s">
        <v>113</v>
      </c>
      <c r="Y830" s="1310" t="s">
        <v>1556</v>
      </c>
      <c r="Z830" s="1310" t="s">
        <v>1543</v>
      </c>
      <c r="AA830" s="1310" t="s">
        <v>1498</v>
      </c>
      <c r="AB830" s="1310" t="s">
        <v>111</v>
      </c>
      <c r="AC830" s="1310" t="s">
        <v>1652</v>
      </c>
      <c r="AD830" s="1310" t="s">
        <v>1655</v>
      </c>
      <c r="AE830" s="1310" t="s">
        <v>1592</v>
      </c>
      <c r="AF830" s="1310" t="s">
        <v>1616</v>
      </c>
    </row>
    <row r="831" spans="1:32" x14ac:dyDescent="0.3">
      <c r="A831" s="1310" t="s">
        <v>270</v>
      </c>
      <c r="B831" s="1310" t="s">
        <v>1549</v>
      </c>
      <c r="C831" s="1310" t="s">
        <v>1453</v>
      </c>
      <c r="D831" s="1310" t="s">
        <v>1578</v>
      </c>
      <c r="E831" s="1310" t="s">
        <v>1593</v>
      </c>
      <c r="F831" s="1310" t="s">
        <v>1526</v>
      </c>
      <c r="G831" s="1310" t="s">
        <v>1463</v>
      </c>
      <c r="H831" s="1310" t="s">
        <v>262</v>
      </c>
      <c r="I831" s="1310" t="s">
        <v>1552</v>
      </c>
      <c r="J831" s="1310" t="s">
        <v>1030</v>
      </c>
      <c r="K831" s="1310" t="s">
        <v>1468</v>
      </c>
      <c r="L831" s="1310" t="s">
        <v>127</v>
      </c>
      <c r="M831" s="1310" t="s">
        <v>267</v>
      </c>
      <c r="N831" s="1310" t="s">
        <v>1546</v>
      </c>
      <c r="O831" s="1310" t="s">
        <v>1660</v>
      </c>
      <c r="P831" s="1310" t="s">
        <v>1646</v>
      </c>
      <c r="Q831" s="1310" t="s">
        <v>128</v>
      </c>
      <c r="R831" s="1310" t="s">
        <v>1474</v>
      </c>
      <c r="S831" s="1310" t="s">
        <v>1648</v>
      </c>
      <c r="T831" s="1310" t="s">
        <v>1599</v>
      </c>
      <c r="U831" s="1310" t="s">
        <v>1506</v>
      </c>
      <c r="V831" s="1310" t="s">
        <v>1647</v>
      </c>
      <c r="W831" s="1310" t="s">
        <v>1449</v>
      </c>
      <c r="X831" s="1310" t="s">
        <v>1529</v>
      </c>
      <c r="Y831" s="1310" t="s">
        <v>1443</v>
      </c>
      <c r="Z831" s="1310" t="s">
        <v>1450</v>
      </c>
      <c r="AA831" s="1310" t="s">
        <v>1659</v>
      </c>
      <c r="AB831" s="1310" t="s">
        <v>124</v>
      </c>
      <c r="AC831" s="1310" t="s">
        <v>1493</v>
      </c>
      <c r="AD831" s="1310" t="s">
        <v>1568</v>
      </c>
      <c r="AE831" s="1310" t="s">
        <v>123</v>
      </c>
      <c r="AF831" s="1310" t="s">
        <v>1518</v>
      </c>
    </row>
    <row r="832" spans="1:32" x14ac:dyDescent="0.3">
      <c r="A832" s="1310" t="s">
        <v>1564</v>
      </c>
      <c r="B832" s="1310" t="s">
        <v>117</v>
      </c>
      <c r="C832" s="1310" t="s">
        <v>1577</v>
      </c>
      <c r="D832" s="1310" t="s">
        <v>1611</v>
      </c>
      <c r="E832" s="1310" t="s">
        <v>1545</v>
      </c>
      <c r="F832" s="1310" t="s">
        <v>1640</v>
      </c>
      <c r="G832" s="1310" t="s">
        <v>124</v>
      </c>
      <c r="H832" s="1310" t="s">
        <v>123</v>
      </c>
      <c r="I832" s="1310" t="s">
        <v>1472</v>
      </c>
      <c r="J832" s="1310" t="s">
        <v>1657</v>
      </c>
      <c r="K832" s="1310" t="s">
        <v>1446</v>
      </c>
      <c r="L832" s="1310" t="s">
        <v>1483</v>
      </c>
      <c r="M832" s="1310" t="s">
        <v>1525</v>
      </c>
      <c r="N832" s="1310" t="s">
        <v>1650</v>
      </c>
      <c r="O832" s="1310" t="s">
        <v>1475</v>
      </c>
      <c r="P832" s="1310" t="s">
        <v>1444</v>
      </c>
      <c r="Q832" s="1310" t="s">
        <v>1514</v>
      </c>
      <c r="R832" s="1310" t="s">
        <v>1623</v>
      </c>
      <c r="S832" s="1310" t="s">
        <v>268</v>
      </c>
      <c r="T832" s="1310" t="s">
        <v>1463</v>
      </c>
      <c r="U832" s="1310" t="s">
        <v>1458</v>
      </c>
      <c r="V832" s="1310" t="s">
        <v>1463</v>
      </c>
      <c r="W832" s="1310" t="s">
        <v>1496</v>
      </c>
      <c r="X832" s="1310" t="s">
        <v>1573</v>
      </c>
      <c r="Y832" s="1310" t="s">
        <v>1568</v>
      </c>
      <c r="Z832" s="1310" t="s">
        <v>121</v>
      </c>
      <c r="AA832" s="1310" t="s">
        <v>1558</v>
      </c>
      <c r="AB832" s="1310" t="s">
        <v>1649</v>
      </c>
      <c r="AC832" s="1310" t="s">
        <v>1453</v>
      </c>
      <c r="AD832" s="1310" t="s">
        <v>1657</v>
      </c>
      <c r="AE832" s="1310" t="s">
        <v>1590</v>
      </c>
      <c r="AF832" s="1310" t="s">
        <v>1485</v>
      </c>
    </row>
    <row r="833" spans="1:32" x14ac:dyDescent="0.3">
      <c r="A833" s="1310" t="s">
        <v>1562</v>
      </c>
      <c r="B833" s="1310" t="s">
        <v>1571</v>
      </c>
      <c r="C833" s="1310" t="s">
        <v>116</v>
      </c>
      <c r="D833" s="1310" t="s">
        <v>1494</v>
      </c>
      <c r="E833" s="1310" t="s">
        <v>1562</v>
      </c>
      <c r="F833" s="1310" t="s">
        <v>1590</v>
      </c>
      <c r="G833" s="1310" t="s">
        <v>1449</v>
      </c>
      <c r="H833" s="1310" t="s">
        <v>1531</v>
      </c>
      <c r="I833" s="1310" t="s">
        <v>1582</v>
      </c>
      <c r="J833" s="1310" t="s">
        <v>1658</v>
      </c>
      <c r="K833" s="1310" t="s">
        <v>1527</v>
      </c>
      <c r="L833" s="1310" t="s">
        <v>1568</v>
      </c>
      <c r="M833" s="1310" t="s">
        <v>1459</v>
      </c>
      <c r="N833" s="1310" t="s">
        <v>1565</v>
      </c>
      <c r="O833" s="1310" t="s">
        <v>1464</v>
      </c>
      <c r="P833" s="1310" t="s">
        <v>1612</v>
      </c>
      <c r="Q833" s="1310" t="s">
        <v>1566</v>
      </c>
      <c r="R833" s="1310" t="s">
        <v>1511</v>
      </c>
      <c r="S833" s="1310" t="s">
        <v>1559</v>
      </c>
      <c r="T833" s="1310" t="s">
        <v>1521</v>
      </c>
      <c r="U833" s="1310" t="s">
        <v>1578</v>
      </c>
      <c r="V833" s="1310" t="s">
        <v>1464</v>
      </c>
      <c r="W833" s="1310" t="s">
        <v>1605</v>
      </c>
      <c r="X833" s="1310" t="s">
        <v>1587</v>
      </c>
      <c r="Y833" s="1310" t="s">
        <v>1605</v>
      </c>
      <c r="Z833" s="1310" t="s">
        <v>1524</v>
      </c>
      <c r="AA833" s="1310" t="s">
        <v>1517</v>
      </c>
      <c r="AB833" s="1310" t="s">
        <v>1549</v>
      </c>
      <c r="AC833" s="1310" t="s">
        <v>1541</v>
      </c>
      <c r="AD833" s="1310" t="s">
        <v>1603</v>
      </c>
      <c r="AE833" s="1310" t="s">
        <v>1488</v>
      </c>
      <c r="AF833" s="1310" t="s">
        <v>1500</v>
      </c>
    </row>
    <row r="834" spans="1:32" x14ac:dyDescent="0.3">
      <c r="A834" s="1310" t="s">
        <v>1624</v>
      </c>
      <c r="B834" s="1310" t="s">
        <v>267</v>
      </c>
      <c r="C834" s="1310" t="s">
        <v>1473</v>
      </c>
      <c r="D834" s="1310" t="s">
        <v>1620</v>
      </c>
      <c r="E834" s="1310" t="s">
        <v>1446</v>
      </c>
      <c r="F834" s="1310" t="s">
        <v>1557</v>
      </c>
      <c r="G834" s="1310" t="s">
        <v>1594</v>
      </c>
      <c r="H834" s="1310" t="s">
        <v>1583</v>
      </c>
      <c r="I834" s="1310" t="s">
        <v>120</v>
      </c>
      <c r="J834" s="1310" t="s">
        <v>1466</v>
      </c>
      <c r="K834" s="1310" t="s">
        <v>270</v>
      </c>
      <c r="L834" s="1310" t="s">
        <v>1504</v>
      </c>
      <c r="M834" s="1310" t="s">
        <v>1511</v>
      </c>
      <c r="N834" s="1310" t="s">
        <v>1650</v>
      </c>
      <c r="O834" s="1310" t="s">
        <v>1639</v>
      </c>
      <c r="P834" s="1310" t="s">
        <v>1461</v>
      </c>
      <c r="Q834" s="1310" t="s">
        <v>1546</v>
      </c>
      <c r="R834" s="1310" t="s">
        <v>1443</v>
      </c>
      <c r="S834" s="1310" t="s">
        <v>1450</v>
      </c>
      <c r="T834" s="1310" t="s">
        <v>114</v>
      </c>
      <c r="U834" s="1310" t="s">
        <v>1636</v>
      </c>
      <c r="V834" s="1310" t="s">
        <v>1595</v>
      </c>
      <c r="W834" s="1310" t="s">
        <v>132</v>
      </c>
      <c r="X834" s="1310" t="s">
        <v>1636</v>
      </c>
      <c r="Y834" s="1310" t="s">
        <v>1590</v>
      </c>
      <c r="Z834" s="1310" t="s">
        <v>1588</v>
      </c>
      <c r="AA834" s="1310" t="s">
        <v>1533</v>
      </c>
      <c r="AB834" s="1310" t="s">
        <v>1567</v>
      </c>
      <c r="AC834" s="1310" t="s">
        <v>1597</v>
      </c>
      <c r="AD834" s="1310" t="s">
        <v>1590</v>
      </c>
      <c r="AE834" s="1310" t="s">
        <v>1636</v>
      </c>
      <c r="AF834" s="1310" t="s">
        <v>1460</v>
      </c>
    </row>
    <row r="835" spans="1:32" x14ac:dyDescent="0.3">
      <c r="A835" s="1310" t="s">
        <v>1620</v>
      </c>
      <c r="B835" s="1310" t="s">
        <v>1601</v>
      </c>
      <c r="C835" s="1310" t="s">
        <v>1521</v>
      </c>
      <c r="D835" s="1310" t="s">
        <v>1501</v>
      </c>
      <c r="E835" s="1310" t="s">
        <v>1483</v>
      </c>
      <c r="F835" s="1310" t="s">
        <v>1618</v>
      </c>
      <c r="G835" s="1310" t="s">
        <v>1640</v>
      </c>
      <c r="H835" s="1310" t="s">
        <v>1481</v>
      </c>
      <c r="I835" s="1310" t="s">
        <v>1483</v>
      </c>
      <c r="J835" s="1310" t="s">
        <v>120</v>
      </c>
      <c r="K835" s="1310" t="s">
        <v>1542</v>
      </c>
      <c r="L835" s="1310" t="s">
        <v>1612</v>
      </c>
      <c r="M835" s="1310" t="s">
        <v>1560</v>
      </c>
      <c r="N835" s="1310" t="s">
        <v>1470</v>
      </c>
      <c r="O835" s="1310" t="s">
        <v>1652</v>
      </c>
      <c r="P835" s="1310" t="s">
        <v>1580</v>
      </c>
      <c r="Q835" s="1310" t="s">
        <v>1607</v>
      </c>
      <c r="R835" s="1310" t="s">
        <v>1517</v>
      </c>
      <c r="S835" s="1310" t="s">
        <v>120</v>
      </c>
      <c r="T835" s="1310" t="s">
        <v>1494</v>
      </c>
      <c r="U835" s="1310" t="s">
        <v>1587</v>
      </c>
      <c r="V835" s="1310" t="s">
        <v>1646</v>
      </c>
      <c r="W835" s="1310" t="s">
        <v>1578</v>
      </c>
      <c r="X835" s="1310" t="s">
        <v>1627</v>
      </c>
      <c r="Y835" s="1310" t="s">
        <v>1464</v>
      </c>
      <c r="Z835" s="1310" t="s">
        <v>1566</v>
      </c>
      <c r="AA835" s="1310" t="s">
        <v>1459</v>
      </c>
      <c r="AB835" s="1310" t="s">
        <v>1551</v>
      </c>
      <c r="AC835" s="1310" t="s">
        <v>1514</v>
      </c>
      <c r="AD835" s="1310" t="s">
        <v>1517</v>
      </c>
      <c r="AE835" s="1310" t="s">
        <v>1451</v>
      </c>
      <c r="AF835" s="1310" t="s">
        <v>1443</v>
      </c>
    </row>
    <row r="836" spans="1:32" x14ac:dyDescent="0.3">
      <c r="A836" s="1310" t="s">
        <v>1450</v>
      </c>
      <c r="B836" s="1310" t="s">
        <v>115</v>
      </c>
      <c r="C836" s="1310" t="s">
        <v>1482</v>
      </c>
      <c r="D836" s="1310" t="s">
        <v>1562</v>
      </c>
      <c r="E836" s="1310" t="s">
        <v>1445</v>
      </c>
      <c r="F836" s="1310" t="s">
        <v>1526</v>
      </c>
      <c r="G836" s="1310" t="s">
        <v>1609</v>
      </c>
      <c r="H836" s="1310" t="s">
        <v>1580</v>
      </c>
      <c r="I836" s="1310" t="s">
        <v>1588</v>
      </c>
      <c r="J836" s="1310" t="s">
        <v>1627</v>
      </c>
      <c r="K836" s="1310" t="s">
        <v>1534</v>
      </c>
      <c r="L836" s="1310" t="s">
        <v>1573</v>
      </c>
      <c r="M836" s="1310" t="s">
        <v>1567</v>
      </c>
      <c r="N836" s="1310" t="s">
        <v>265</v>
      </c>
      <c r="O836" s="1310" t="s">
        <v>1635</v>
      </c>
      <c r="P836" s="1310" t="s">
        <v>1617</v>
      </c>
      <c r="Q836" s="1310" t="s">
        <v>1513</v>
      </c>
      <c r="R836" s="1310" t="s">
        <v>1624</v>
      </c>
      <c r="S836" s="1310" t="s">
        <v>1563</v>
      </c>
      <c r="T836" s="1310" t="s">
        <v>1629</v>
      </c>
      <c r="U836" s="1310" t="s">
        <v>118</v>
      </c>
      <c r="V836" s="1310" t="s">
        <v>1545</v>
      </c>
      <c r="W836" s="1310" t="s">
        <v>1602</v>
      </c>
      <c r="X836" s="1310" t="s">
        <v>1448</v>
      </c>
      <c r="Y836" s="1310" t="s">
        <v>1539</v>
      </c>
      <c r="Z836" s="1310" t="s">
        <v>1656</v>
      </c>
      <c r="AA836" s="1310" t="s">
        <v>266</v>
      </c>
      <c r="AB836" s="1310" t="s">
        <v>1601</v>
      </c>
      <c r="AC836" s="1310" t="s">
        <v>1530</v>
      </c>
      <c r="AD836" s="1310" t="s">
        <v>1541</v>
      </c>
      <c r="AE836" s="1310" t="s">
        <v>1546</v>
      </c>
      <c r="AF836" s="1310" t="s">
        <v>1496</v>
      </c>
    </row>
    <row r="837" spans="1:32" x14ac:dyDescent="0.3">
      <c r="A837" s="1310" t="s">
        <v>1487</v>
      </c>
      <c r="B837" s="1310" t="s">
        <v>1520</v>
      </c>
      <c r="C837" s="1310" t="s">
        <v>1475</v>
      </c>
      <c r="D837" s="1310" t="s">
        <v>1556</v>
      </c>
      <c r="E837" s="1310" t="s">
        <v>1628</v>
      </c>
      <c r="F837" s="1310" t="s">
        <v>1509</v>
      </c>
      <c r="G837" s="1310" t="s">
        <v>1543</v>
      </c>
      <c r="H837" s="1310" t="s">
        <v>1478</v>
      </c>
      <c r="I837" s="1310" t="s">
        <v>1461</v>
      </c>
      <c r="J837" s="1310" t="s">
        <v>1624</v>
      </c>
      <c r="K837" s="1310" t="s">
        <v>1637</v>
      </c>
      <c r="L837" s="1310" t="s">
        <v>1548</v>
      </c>
      <c r="M837" s="1310" t="s">
        <v>1506</v>
      </c>
      <c r="N837" s="1310" t="s">
        <v>1490</v>
      </c>
      <c r="O837" s="1310" t="s">
        <v>1659</v>
      </c>
      <c r="P837" s="1310" t="s">
        <v>1448</v>
      </c>
      <c r="Q837" s="1310" t="s">
        <v>1524</v>
      </c>
      <c r="R837" s="1310" t="s">
        <v>1486</v>
      </c>
      <c r="S837" s="1310" t="s">
        <v>1543</v>
      </c>
      <c r="T837" s="1310" t="s">
        <v>263</v>
      </c>
      <c r="U837" s="1310" t="s">
        <v>1615</v>
      </c>
      <c r="V837" s="1310" t="s">
        <v>1648</v>
      </c>
      <c r="W837" s="1310" t="s">
        <v>123</v>
      </c>
      <c r="X837" s="1310" t="s">
        <v>1454</v>
      </c>
      <c r="Y837" s="1310" t="s">
        <v>1550</v>
      </c>
      <c r="Z837" s="1310" t="s">
        <v>1474</v>
      </c>
      <c r="AA837" s="1310" t="s">
        <v>1524</v>
      </c>
      <c r="AB837" s="1310" t="s">
        <v>1534</v>
      </c>
      <c r="AC837" s="1310" t="s">
        <v>471</v>
      </c>
      <c r="AD837" s="1310" t="s">
        <v>1474</v>
      </c>
      <c r="AE837" s="1310" t="s">
        <v>117</v>
      </c>
      <c r="AF837" s="1310" t="s">
        <v>1444</v>
      </c>
    </row>
    <row r="838" spans="1:32" x14ac:dyDescent="0.3">
      <c r="A838" s="1310" t="s">
        <v>1630</v>
      </c>
      <c r="B838" s="1310" t="s">
        <v>1608</v>
      </c>
      <c r="C838" s="1310" t="s">
        <v>1605</v>
      </c>
      <c r="D838" s="1310" t="s">
        <v>1642</v>
      </c>
      <c r="E838" s="1310" t="s">
        <v>264</v>
      </c>
      <c r="F838" s="1310" t="s">
        <v>1599</v>
      </c>
      <c r="G838" s="1310" t="s">
        <v>124</v>
      </c>
      <c r="H838" s="1310" t="s">
        <v>1608</v>
      </c>
      <c r="I838" s="1310" t="s">
        <v>1560</v>
      </c>
      <c r="J838" s="1310" t="s">
        <v>1622</v>
      </c>
      <c r="K838" s="1310" t="s">
        <v>124</v>
      </c>
      <c r="L838" s="1310" t="s">
        <v>1579</v>
      </c>
      <c r="M838" s="1310" t="s">
        <v>114</v>
      </c>
      <c r="N838" s="1310" t="s">
        <v>1660</v>
      </c>
      <c r="O838" s="1310" t="s">
        <v>6</v>
      </c>
      <c r="P838" s="1310" t="s">
        <v>112</v>
      </c>
      <c r="Q838" s="1310" t="s">
        <v>1657</v>
      </c>
      <c r="R838" s="1310" t="s">
        <v>265</v>
      </c>
      <c r="S838" s="1310" t="s">
        <v>124</v>
      </c>
      <c r="T838" s="1310" t="s">
        <v>1635</v>
      </c>
      <c r="U838" s="1310" t="s">
        <v>1637</v>
      </c>
      <c r="V838" s="1310" t="s">
        <v>1512</v>
      </c>
      <c r="W838" s="1310" t="s">
        <v>471</v>
      </c>
      <c r="X838" s="1310" t="s">
        <v>1474</v>
      </c>
      <c r="Y838" s="1310" t="s">
        <v>130</v>
      </c>
      <c r="Z838" s="1310" t="s">
        <v>1472</v>
      </c>
      <c r="AA838" s="1310" t="s">
        <v>1634</v>
      </c>
      <c r="AB838" s="1310" t="s">
        <v>1561</v>
      </c>
      <c r="AC838" s="1310" t="s">
        <v>1463</v>
      </c>
      <c r="AD838" s="1310" t="s">
        <v>1502</v>
      </c>
      <c r="AE838" s="1310" t="s">
        <v>1525</v>
      </c>
      <c r="AF838" s="1310" t="s">
        <v>1540</v>
      </c>
    </row>
    <row r="839" spans="1:32" x14ac:dyDescent="0.3">
      <c r="A839" s="1310" t="s">
        <v>1482</v>
      </c>
      <c r="B839" s="1310" t="s">
        <v>1607</v>
      </c>
      <c r="C839" s="1310" t="s">
        <v>262</v>
      </c>
      <c r="D839" s="1310" t="s">
        <v>1569</v>
      </c>
      <c r="E839" s="1310" t="s">
        <v>1537</v>
      </c>
      <c r="F839" s="1310" t="s">
        <v>1478</v>
      </c>
      <c r="G839" s="1310" t="s">
        <v>1600</v>
      </c>
      <c r="H839" s="1310" t="s">
        <v>1618</v>
      </c>
      <c r="I839" s="1310" t="s">
        <v>1460</v>
      </c>
      <c r="J839" s="1310" t="s">
        <v>1648</v>
      </c>
      <c r="K839" s="1310" t="s">
        <v>1539</v>
      </c>
      <c r="L839" s="1310" t="s">
        <v>1650</v>
      </c>
      <c r="M839" s="1310" t="s">
        <v>1498</v>
      </c>
      <c r="N839" s="1310" t="s">
        <v>1558</v>
      </c>
      <c r="O839" s="1310" t="s">
        <v>119</v>
      </c>
      <c r="P839" s="1310" t="s">
        <v>1625</v>
      </c>
      <c r="Q839" s="1310" t="s">
        <v>1600</v>
      </c>
      <c r="R839" s="1310" t="s">
        <v>1573</v>
      </c>
      <c r="S839" s="1310" t="s">
        <v>115</v>
      </c>
      <c r="T839" s="1310" t="s">
        <v>1591</v>
      </c>
      <c r="U839" s="1310" t="s">
        <v>1644</v>
      </c>
      <c r="V839" s="1310" t="s">
        <v>116</v>
      </c>
      <c r="W839" s="1310" t="s">
        <v>1501</v>
      </c>
      <c r="X839" s="1310" t="s">
        <v>1556</v>
      </c>
      <c r="Y839" s="1310" t="s">
        <v>1624</v>
      </c>
      <c r="Z839" s="1310" t="s">
        <v>1569</v>
      </c>
      <c r="AA839" s="1310" t="s">
        <v>1500</v>
      </c>
      <c r="AB839" s="1310" t="s">
        <v>1597</v>
      </c>
      <c r="AC839" s="1310" t="s">
        <v>1560</v>
      </c>
      <c r="AD839" s="1310" t="s">
        <v>1546</v>
      </c>
      <c r="AE839" s="1310" t="s">
        <v>1449</v>
      </c>
      <c r="AF839" s="1310" t="s">
        <v>1462</v>
      </c>
    </row>
    <row r="840" spans="1:32" x14ac:dyDescent="0.3">
      <c r="A840" s="1310" t="s">
        <v>1513</v>
      </c>
      <c r="B840" s="1310" t="s">
        <v>116</v>
      </c>
      <c r="C840" s="1310" t="s">
        <v>1653</v>
      </c>
      <c r="D840" s="1310" t="s">
        <v>1463</v>
      </c>
      <c r="E840" s="1310" t="s">
        <v>1624</v>
      </c>
      <c r="F840" s="1310" t="s">
        <v>1571</v>
      </c>
      <c r="G840" s="1310" t="s">
        <v>1500</v>
      </c>
      <c r="H840" s="1310" t="s">
        <v>1597</v>
      </c>
      <c r="I840" s="1310" t="s">
        <v>1625</v>
      </c>
      <c r="J840" s="1310" t="s">
        <v>269</v>
      </c>
      <c r="K840" s="1310" t="s">
        <v>1507</v>
      </c>
      <c r="L840" s="1310" t="s">
        <v>1480</v>
      </c>
      <c r="M840" s="1310" t="s">
        <v>1530</v>
      </c>
      <c r="N840" s="1310" t="s">
        <v>1459</v>
      </c>
      <c r="O840" s="1310" t="s">
        <v>1484</v>
      </c>
      <c r="P840" s="1310" t="s">
        <v>1572</v>
      </c>
      <c r="Q840" s="1310" t="s">
        <v>1456</v>
      </c>
      <c r="R840" s="1310" t="s">
        <v>1490</v>
      </c>
      <c r="S840" s="1310" t="s">
        <v>1466</v>
      </c>
      <c r="T840" s="1310" t="s">
        <v>1615</v>
      </c>
      <c r="U840" s="1310" t="s">
        <v>1616</v>
      </c>
      <c r="V840" s="1310" t="s">
        <v>1566</v>
      </c>
      <c r="W840" s="1310" t="s">
        <v>1518</v>
      </c>
      <c r="X840" s="1310" t="s">
        <v>1511</v>
      </c>
      <c r="Y840" s="1310" t="s">
        <v>1539</v>
      </c>
      <c r="Z840" s="1310" t="s">
        <v>1652</v>
      </c>
      <c r="AA840" s="1310" t="s">
        <v>1479</v>
      </c>
      <c r="AB840" s="1310" t="s">
        <v>1549</v>
      </c>
      <c r="AC840" s="1310" t="s">
        <v>1552</v>
      </c>
      <c r="AD840" s="1310" t="s">
        <v>1653</v>
      </c>
      <c r="AE840" s="1310" t="s">
        <v>1523</v>
      </c>
      <c r="AF840" s="1310" t="s">
        <v>1502</v>
      </c>
    </row>
    <row r="841" spans="1:32" x14ac:dyDescent="0.3">
      <c r="A841" s="1310" t="s">
        <v>471</v>
      </c>
      <c r="B841" s="1310" t="s">
        <v>1482</v>
      </c>
      <c r="C841" s="1310" t="s">
        <v>1531</v>
      </c>
      <c r="D841" s="1310" t="s">
        <v>127</v>
      </c>
      <c r="E841" s="1310" t="s">
        <v>1542</v>
      </c>
      <c r="F841" s="1310" t="s">
        <v>1622</v>
      </c>
      <c r="G841" s="1310" t="s">
        <v>1480</v>
      </c>
      <c r="H841" s="1310" t="s">
        <v>1487</v>
      </c>
      <c r="I841" s="1310" t="s">
        <v>1516</v>
      </c>
      <c r="J841" s="1310" t="s">
        <v>1524</v>
      </c>
      <c r="K841" s="1310" t="s">
        <v>1582</v>
      </c>
      <c r="L841" s="1310" t="s">
        <v>1573</v>
      </c>
      <c r="M841" s="1310" t="s">
        <v>1640</v>
      </c>
      <c r="N841" s="1310" t="s">
        <v>1561</v>
      </c>
      <c r="O841" s="1310" t="s">
        <v>1511</v>
      </c>
      <c r="P841" s="1310" t="s">
        <v>1491</v>
      </c>
      <c r="Q841" s="1310" t="s">
        <v>1605</v>
      </c>
      <c r="R841" s="1310" t="s">
        <v>1604</v>
      </c>
      <c r="S841" s="1310" t="s">
        <v>1527</v>
      </c>
      <c r="T841" s="1310" t="s">
        <v>1597</v>
      </c>
      <c r="U841" s="1310" t="s">
        <v>471</v>
      </c>
      <c r="V841" s="1310" t="s">
        <v>1525</v>
      </c>
      <c r="W841" s="1310" t="s">
        <v>1646</v>
      </c>
      <c r="X841" s="1310" t="s">
        <v>1588</v>
      </c>
      <c r="Y841" s="1310" t="s">
        <v>267</v>
      </c>
      <c r="Z841" s="1310" t="s">
        <v>1599</v>
      </c>
      <c r="AA841" s="1310" t="s">
        <v>1631</v>
      </c>
      <c r="AB841" s="1310" t="s">
        <v>1572</v>
      </c>
      <c r="AC841" s="1310" t="s">
        <v>1650</v>
      </c>
      <c r="AD841" s="1310" t="s">
        <v>125</v>
      </c>
      <c r="AE841" s="1310" t="s">
        <v>1591</v>
      </c>
      <c r="AF841" s="1310" t="s">
        <v>1648</v>
      </c>
    </row>
    <row r="842" spans="1:32" x14ac:dyDescent="0.3">
      <c r="A842" s="1310" t="s">
        <v>1495</v>
      </c>
      <c r="B842" s="1310" t="s">
        <v>127</v>
      </c>
      <c r="C842" s="1310" t="s">
        <v>132</v>
      </c>
      <c r="D842" s="1310" t="s">
        <v>1651</v>
      </c>
      <c r="E842" s="1310" t="s">
        <v>1518</v>
      </c>
      <c r="F842" s="1310" t="s">
        <v>1558</v>
      </c>
      <c r="G842" s="1310" t="s">
        <v>1628</v>
      </c>
      <c r="H842" s="1310" t="s">
        <v>1456</v>
      </c>
      <c r="I842" s="1310" t="s">
        <v>1473</v>
      </c>
      <c r="J842" s="1310" t="s">
        <v>1529</v>
      </c>
      <c r="K842" s="1310" t="s">
        <v>1515</v>
      </c>
      <c r="L842" s="1310" t="s">
        <v>1632</v>
      </c>
      <c r="M842" s="1310" t="s">
        <v>1533</v>
      </c>
      <c r="N842" s="1310" t="s">
        <v>1495</v>
      </c>
      <c r="O842" s="1310" t="s">
        <v>1504</v>
      </c>
      <c r="P842" s="1310" t="s">
        <v>1606</v>
      </c>
      <c r="Q842" s="1310" t="s">
        <v>1566</v>
      </c>
      <c r="R842" s="1310" t="s">
        <v>1545</v>
      </c>
      <c r="S842" s="1310" t="s">
        <v>1513</v>
      </c>
      <c r="T842" s="1310" t="s">
        <v>1660</v>
      </c>
      <c r="U842" s="1310" t="s">
        <v>1476</v>
      </c>
      <c r="V842" s="1310" t="s">
        <v>1500</v>
      </c>
      <c r="W842" s="1310" t="s">
        <v>1513</v>
      </c>
      <c r="X842" s="1310" t="s">
        <v>1460</v>
      </c>
      <c r="Y842" s="1310" t="s">
        <v>270</v>
      </c>
      <c r="Z842" s="1310" t="s">
        <v>1654</v>
      </c>
      <c r="AA842" s="1310" t="s">
        <v>126</v>
      </c>
      <c r="AB842" s="1310" t="s">
        <v>1522</v>
      </c>
      <c r="AC842" s="1310" t="s">
        <v>1576</v>
      </c>
      <c r="AD842" s="1310" t="s">
        <v>1504</v>
      </c>
      <c r="AE842" s="1310" t="s">
        <v>1493</v>
      </c>
      <c r="AF842" s="1310" t="s">
        <v>1529</v>
      </c>
    </row>
    <row r="843" spans="1:32" x14ac:dyDescent="0.3">
      <c r="A843" s="1310" t="s">
        <v>1653</v>
      </c>
      <c r="B843" s="1310" t="s">
        <v>1594</v>
      </c>
      <c r="C843" s="1310" t="s">
        <v>1589</v>
      </c>
      <c r="D843" s="1310" t="s">
        <v>1658</v>
      </c>
      <c r="E843" s="1310" t="s">
        <v>1448</v>
      </c>
      <c r="F843" s="1310" t="s">
        <v>1476</v>
      </c>
      <c r="G843" s="1310" t="s">
        <v>1511</v>
      </c>
      <c r="H843" s="1310" t="s">
        <v>1538</v>
      </c>
      <c r="I843" s="1310" t="s">
        <v>1656</v>
      </c>
      <c r="J843" s="1310" t="s">
        <v>1457</v>
      </c>
      <c r="K843" s="1310" t="s">
        <v>1576</v>
      </c>
      <c r="L843" s="1310" t="s">
        <v>1609</v>
      </c>
      <c r="M843" s="1310" t="s">
        <v>1545</v>
      </c>
      <c r="N843" s="1310" t="s">
        <v>1629</v>
      </c>
      <c r="O843" s="1310" t="s">
        <v>1524</v>
      </c>
      <c r="P843" s="1310" t="s">
        <v>1452</v>
      </c>
      <c r="Q843" s="1310" t="s">
        <v>1493</v>
      </c>
      <c r="R843" s="1310" t="s">
        <v>1557</v>
      </c>
      <c r="S843" s="1310" t="s">
        <v>1540</v>
      </c>
      <c r="T843" s="1310" t="s">
        <v>1486</v>
      </c>
      <c r="U843" s="1310" t="s">
        <v>1471</v>
      </c>
      <c r="V843" s="1310" t="s">
        <v>1553</v>
      </c>
      <c r="W843" s="1310" t="s">
        <v>1444</v>
      </c>
      <c r="X843" s="1310" t="s">
        <v>1500</v>
      </c>
      <c r="Y843" s="1310" t="s">
        <v>1578</v>
      </c>
      <c r="Z843" s="1310" t="s">
        <v>1504</v>
      </c>
      <c r="AA843" s="1310" t="s">
        <v>1607</v>
      </c>
      <c r="AB843" s="1310" t="s">
        <v>1533</v>
      </c>
      <c r="AC843" s="1310" t="s">
        <v>1493</v>
      </c>
      <c r="AD843" s="1310" t="s">
        <v>1654</v>
      </c>
      <c r="AE843" s="1310" t="s">
        <v>129</v>
      </c>
      <c r="AF843" s="1310" t="s">
        <v>125</v>
      </c>
    </row>
    <row r="844" spans="1:32" x14ac:dyDescent="0.3">
      <c r="A844" s="1310" t="s">
        <v>1472</v>
      </c>
      <c r="B844" s="1310" t="s">
        <v>1030</v>
      </c>
      <c r="C844" s="1310" t="s">
        <v>1535</v>
      </c>
      <c r="D844" s="1310" t="s">
        <v>264</v>
      </c>
      <c r="E844" s="1310" t="s">
        <v>1589</v>
      </c>
      <c r="F844" s="1310" t="s">
        <v>120</v>
      </c>
      <c r="G844" s="1310" t="s">
        <v>1609</v>
      </c>
      <c r="H844" s="1310" t="s">
        <v>1518</v>
      </c>
      <c r="I844" s="1310" t="s">
        <v>1587</v>
      </c>
      <c r="J844" s="1310" t="s">
        <v>1655</v>
      </c>
      <c r="K844" s="1310" t="s">
        <v>110</v>
      </c>
      <c r="L844" s="1310" t="s">
        <v>1618</v>
      </c>
      <c r="M844" s="1310" t="s">
        <v>128</v>
      </c>
      <c r="N844" s="1310" t="s">
        <v>1630</v>
      </c>
      <c r="O844" s="1310" t="s">
        <v>1559</v>
      </c>
      <c r="P844" s="1310" t="s">
        <v>1625</v>
      </c>
      <c r="Q844" s="1310" t="s">
        <v>1448</v>
      </c>
      <c r="R844" s="1310" t="s">
        <v>1474</v>
      </c>
      <c r="S844" s="1310" t="s">
        <v>1569</v>
      </c>
      <c r="T844" s="1310" t="s">
        <v>1647</v>
      </c>
      <c r="U844" s="1310" t="s">
        <v>1486</v>
      </c>
      <c r="V844" s="1310" t="s">
        <v>1604</v>
      </c>
      <c r="W844" s="1310" t="s">
        <v>1464</v>
      </c>
      <c r="X844" s="1310" t="s">
        <v>1649</v>
      </c>
      <c r="Y844" s="1310" t="s">
        <v>1572</v>
      </c>
      <c r="Z844" s="1310" t="s">
        <v>127</v>
      </c>
      <c r="AA844" s="1310" t="s">
        <v>1445</v>
      </c>
      <c r="AB844" s="1310" t="s">
        <v>1474</v>
      </c>
      <c r="AC844" s="1310" t="s">
        <v>1557</v>
      </c>
      <c r="AD844" s="1310" t="s">
        <v>1644</v>
      </c>
      <c r="AE844" s="1310" t="s">
        <v>1453</v>
      </c>
      <c r="AF844" s="1310" t="s">
        <v>127</v>
      </c>
    </row>
    <row r="845" spans="1:32" x14ac:dyDescent="0.3">
      <c r="A845" s="1310" t="s">
        <v>1605</v>
      </c>
      <c r="B845" s="1310" t="s">
        <v>1561</v>
      </c>
      <c r="C845" s="1310" t="s">
        <v>1552</v>
      </c>
      <c r="D845" s="1310" t="s">
        <v>1484</v>
      </c>
      <c r="E845" s="1310" t="s">
        <v>1637</v>
      </c>
      <c r="F845" s="1310" t="s">
        <v>1511</v>
      </c>
      <c r="G845" s="1310" t="s">
        <v>1610</v>
      </c>
      <c r="H845" s="1310" t="s">
        <v>1564</v>
      </c>
      <c r="I845" s="1310" t="s">
        <v>1556</v>
      </c>
      <c r="J845" s="1310" t="s">
        <v>1475</v>
      </c>
      <c r="K845" s="1310" t="s">
        <v>1591</v>
      </c>
      <c r="L845" s="1310" t="s">
        <v>1651</v>
      </c>
      <c r="M845" s="1310" t="s">
        <v>1656</v>
      </c>
      <c r="N845" s="1310" t="s">
        <v>1641</v>
      </c>
      <c r="O845" s="1310" t="s">
        <v>1472</v>
      </c>
      <c r="P845" s="1310" t="s">
        <v>1444</v>
      </c>
      <c r="Q845" s="1310" t="s">
        <v>127</v>
      </c>
      <c r="R845" s="1310" t="s">
        <v>1620</v>
      </c>
      <c r="S845" s="1310" t="s">
        <v>1510</v>
      </c>
      <c r="T845" s="1310" t="s">
        <v>1565</v>
      </c>
      <c r="U845" s="1310" t="s">
        <v>1595</v>
      </c>
      <c r="V845" s="1310" t="s">
        <v>1524</v>
      </c>
      <c r="W845" s="1310" t="s">
        <v>1564</v>
      </c>
      <c r="X845" s="1310" t="s">
        <v>1602</v>
      </c>
      <c r="Y845" s="1310" t="s">
        <v>1626</v>
      </c>
      <c r="Z845" s="1310" t="s">
        <v>1598</v>
      </c>
      <c r="AA845" s="1310" t="s">
        <v>1506</v>
      </c>
      <c r="AB845" s="1310" t="s">
        <v>1613</v>
      </c>
      <c r="AC845" s="1310" t="s">
        <v>1595</v>
      </c>
      <c r="AD845" s="1310" t="s">
        <v>1547</v>
      </c>
      <c r="AE845" s="1310" t="s">
        <v>1639</v>
      </c>
      <c r="AF845" s="1310" t="s">
        <v>1523</v>
      </c>
    </row>
    <row r="846" spans="1:32" x14ac:dyDescent="0.3">
      <c r="A846" s="1310" t="s">
        <v>1629</v>
      </c>
      <c r="B846" s="1310" t="s">
        <v>1557</v>
      </c>
      <c r="C846" s="1310" t="s">
        <v>1489</v>
      </c>
      <c r="D846" s="1310" t="s">
        <v>1535</v>
      </c>
      <c r="E846" s="1310" t="s">
        <v>1490</v>
      </c>
      <c r="F846" s="1310" t="s">
        <v>1656</v>
      </c>
      <c r="G846" s="1310" t="s">
        <v>1509</v>
      </c>
      <c r="H846" s="1310" t="s">
        <v>1651</v>
      </c>
      <c r="I846" s="1310" t="s">
        <v>1569</v>
      </c>
      <c r="J846" s="1310" t="s">
        <v>1542</v>
      </c>
      <c r="K846" s="1310" t="s">
        <v>1482</v>
      </c>
      <c r="L846" s="1310" t="s">
        <v>1652</v>
      </c>
      <c r="M846" s="1310" t="s">
        <v>1542</v>
      </c>
      <c r="N846" s="1310" t="s">
        <v>269</v>
      </c>
      <c r="O846" s="1310" t="s">
        <v>1457</v>
      </c>
      <c r="P846" s="1310" t="s">
        <v>1566</v>
      </c>
      <c r="Q846" s="1310" t="s">
        <v>1494</v>
      </c>
      <c r="R846" s="1310" t="s">
        <v>1487</v>
      </c>
      <c r="S846" s="1310" t="s">
        <v>1643</v>
      </c>
      <c r="T846" s="1310" t="s">
        <v>1609</v>
      </c>
      <c r="U846" s="1310" t="s">
        <v>1582</v>
      </c>
      <c r="V846" s="1310" t="s">
        <v>1491</v>
      </c>
      <c r="W846" s="1310" t="s">
        <v>1639</v>
      </c>
      <c r="X846" s="1310" t="s">
        <v>1547</v>
      </c>
      <c r="Y846" s="1310" t="s">
        <v>1541</v>
      </c>
      <c r="Z846" s="1310" t="s">
        <v>1558</v>
      </c>
      <c r="AA846" s="1310" t="s">
        <v>1601</v>
      </c>
      <c r="AB846" s="1310" t="s">
        <v>1646</v>
      </c>
      <c r="AC846" s="1310" t="s">
        <v>1573</v>
      </c>
      <c r="AD846" s="1310" t="s">
        <v>1523</v>
      </c>
      <c r="AE846" s="1310" t="s">
        <v>1559</v>
      </c>
      <c r="AF846" s="1310" t="s">
        <v>1606</v>
      </c>
    </row>
    <row r="847" spans="1:32" x14ac:dyDescent="0.3">
      <c r="A847" s="1310" t="s">
        <v>1447</v>
      </c>
      <c r="B847" s="1310" t="s">
        <v>1443</v>
      </c>
      <c r="C847" s="1310" t="s">
        <v>1450</v>
      </c>
      <c r="D847" s="1310" t="s">
        <v>1463</v>
      </c>
      <c r="E847" s="1310" t="s">
        <v>1482</v>
      </c>
      <c r="F847" s="1310" t="s">
        <v>1647</v>
      </c>
      <c r="G847" s="1310" t="s">
        <v>6</v>
      </c>
      <c r="H847" s="1310" t="s">
        <v>6</v>
      </c>
      <c r="I847" s="1310" t="s">
        <v>1631</v>
      </c>
      <c r="J847" s="1310" t="s">
        <v>1516</v>
      </c>
      <c r="K847" s="1310" t="s">
        <v>1478</v>
      </c>
      <c r="L847" s="1310" t="s">
        <v>1461</v>
      </c>
      <c r="M847" s="1310" t="s">
        <v>131</v>
      </c>
      <c r="N847" s="1310" t="s">
        <v>1481</v>
      </c>
      <c r="O847" s="1310" t="s">
        <v>1557</v>
      </c>
      <c r="P847" s="1310" t="s">
        <v>1613</v>
      </c>
      <c r="Q847" s="1310" t="s">
        <v>1494</v>
      </c>
      <c r="R847" s="1310" t="s">
        <v>1561</v>
      </c>
      <c r="S847" s="1310" t="s">
        <v>1618</v>
      </c>
      <c r="T847" s="1310" t="s">
        <v>1491</v>
      </c>
      <c r="U847" s="1310" t="s">
        <v>1540</v>
      </c>
      <c r="V847" s="1310" t="s">
        <v>1505</v>
      </c>
      <c r="W847" s="1310" t="s">
        <v>1618</v>
      </c>
      <c r="X847" s="1310" t="s">
        <v>1516</v>
      </c>
      <c r="Y847" s="1310" t="s">
        <v>1613</v>
      </c>
      <c r="Z847" s="1310" t="s">
        <v>1563</v>
      </c>
      <c r="AA847" s="1310" t="s">
        <v>268</v>
      </c>
      <c r="AB847" s="1310" t="s">
        <v>1520</v>
      </c>
      <c r="AC847" s="1310" t="s">
        <v>1561</v>
      </c>
      <c r="AD847" s="1310" t="s">
        <v>1463</v>
      </c>
      <c r="AE847" s="1310" t="s">
        <v>1548</v>
      </c>
      <c r="AF847" s="1310" t="s">
        <v>1587</v>
      </c>
    </row>
    <row r="848" spans="1:32" x14ac:dyDescent="0.3">
      <c r="A848" s="1310" t="s">
        <v>1597</v>
      </c>
      <c r="B848" s="1310" t="s">
        <v>1558</v>
      </c>
      <c r="C848" s="1310" t="s">
        <v>1601</v>
      </c>
      <c r="D848" s="1310" t="s">
        <v>1583</v>
      </c>
      <c r="E848" s="1310" t="s">
        <v>265</v>
      </c>
      <c r="F848" s="1310" t="s">
        <v>1466</v>
      </c>
      <c r="G848" s="1310" t="s">
        <v>1599</v>
      </c>
      <c r="H848" s="1310" t="s">
        <v>268</v>
      </c>
      <c r="I848" s="1310" t="s">
        <v>1563</v>
      </c>
      <c r="J848" s="1310" t="s">
        <v>1622</v>
      </c>
      <c r="K848" s="1310" t="s">
        <v>1597</v>
      </c>
      <c r="L848" s="1310" t="s">
        <v>1570</v>
      </c>
      <c r="M848" s="1310" t="s">
        <v>1567</v>
      </c>
      <c r="N848" s="1310" t="s">
        <v>1468</v>
      </c>
      <c r="O848" s="1310" t="s">
        <v>1548</v>
      </c>
      <c r="P848" s="1310" t="s">
        <v>1468</v>
      </c>
      <c r="Q848" s="1310" t="s">
        <v>1550</v>
      </c>
      <c r="R848" s="1310" t="s">
        <v>1634</v>
      </c>
      <c r="S848" s="1310" t="s">
        <v>1660</v>
      </c>
      <c r="T848" s="1310" t="s">
        <v>1648</v>
      </c>
      <c r="U848" s="1310" t="s">
        <v>1576</v>
      </c>
      <c r="V848" s="1310" t="s">
        <v>1547</v>
      </c>
      <c r="W848" s="1310" t="s">
        <v>1544</v>
      </c>
      <c r="X848" s="1310" t="s">
        <v>1489</v>
      </c>
      <c r="Y848" s="1310" t="s">
        <v>1508</v>
      </c>
      <c r="Z848" s="1310" t="s">
        <v>1513</v>
      </c>
      <c r="AA848" s="1310" t="s">
        <v>1612</v>
      </c>
      <c r="AB848" s="1310" t="s">
        <v>268</v>
      </c>
      <c r="AC848" s="1310" t="s">
        <v>1629</v>
      </c>
      <c r="AD848" s="1310" t="s">
        <v>1611</v>
      </c>
      <c r="AE848" s="1310" t="s">
        <v>1466</v>
      </c>
      <c r="AF848" s="1310" t="s">
        <v>1592</v>
      </c>
    </row>
    <row r="849" spans="1:32" x14ac:dyDescent="0.3">
      <c r="A849" s="1310" t="s">
        <v>1653</v>
      </c>
      <c r="B849" s="1310" t="s">
        <v>1571</v>
      </c>
      <c r="C849" s="1310" t="s">
        <v>1522</v>
      </c>
      <c r="D849" s="1310" t="s">
        <v>1646</v>
      </c>
      <c r="E849" s="1310" t="s">
        <v>1588</v>
      </c>
      <c r="F849" s="1310" t="s">
        <v>1533</v>
      </c>
      <c r="G849" s="1310" t="s">
        <v>111</v>
      </c>
      <c r="H849" s="1310" t="s">
        <v>1639</v>
      </c>
      <c r="I849" s="1310" t="s">
        <v>1546</v>
      </c>
      <c r="J849" s="1310" t="s">
        <v>1548</v>
      </c>
      <c r="K849" s="1310" t="s">
        <v>1589</v>
      </c>
      <c r="L849" s="1310" t="s">
        <v>1592</v>
      </c>
      <c r="M849" s="1310" t="s">
        <v>1503</v>
      </c>
      <c r="N849" s="1310" t="s">
        <v>1572</v>
      </c>
      <c r="O849" s="1310" t="s">
        <v>1657</v>
      </c>
      <c r="P849" s="1310" t="s">
        <v>1628</v>
      </c>
      <c r="Q849" s="1310" t="s">
        <v>1588</v>
      </c>
      <c r="R849" s="1310" t="s">
        <v>1493</v>
      </c>
      <c r="S849" s="1310" t="s">
        <v>1530</v>
      </c>
      <c r="T849" s="1310" t="s">
        <v>1515</v>
      </c>
      <c r="U849" s="1310" t="s">
        <v>1581</v>
      </c>
      <c r="V849" s="1310" t="s">
        <v>1487</v>
      </c>
      <c r="W849" s="1310" t="s">
        <v>1466</v>
      </c>
      <c r="X849" s="1310" t="s">
        <v>1471</v>
      </c>
      <c r="Y849" s="1310" t="s">
        <v>119</v>
      </c>
      <c r="Z849" s="1310" t="s">
        <v>1604</v>
      </c>
      <c r="AA849" s="1310" t="s">
        <v>1457</v>
      </c>
      <c r="AB849" s="1310" t="s">
        <v>1509</v>
      </c>
      <c r="AC849" s="1310" t="s">
        <v>1521</v>
      </c>
      <c r="AD849" s="1310" t="s">
        <v>1488</v>
      </c>
      <c r="AE849" s="1310" t="s">
        <v>1455</v>
      </c>
      <c r="AF849" s="1310" t="s">
        <v>1635</v>
      </c>
    </row>
    <row r="850" spans="1:32" x14ac:dyDescent="0.3">
      <c r="A850" s="1310" t="s">
        <v>1549</v>
      </c>
      <c r="B850" s="1310" t="s">
        <v>1644</v>
      </c>
      <c r="C850" s="1310" t="s">
        <v>1632</v>
      </c>
      <c r="D850" s="1310" t="s">
        <v>1600</v>
      </c>
      <c r="E850" s="1310" t="s">
        <v>1509</v>
      </c>
      <c r="F850" s="1310" t="s">
        <v>1554</v>
      </c>
      <c r="G850" s="1310" t="s">
        <v>1452</v>
      </c>
      <c r="H850" s="1310" t="s">
        <v>1621</v>
      </c>
      <c r="I850" s="1310" t="s">
        <v>1541</v>
      </c>
      <c r="J850" s="1310" t="s">
        <v>1444</v>
      </c>
      <c r="K850" s="1310" t="s">
        <v>465</v>
      </c>
      <c r="L850" s="1310" t="s">
        <v>114</v>
      </c>
      <c r="M850" s="1310" t="s">
        <v>1488</v>
      </c>
      <c r="N850" s="1310" t="s">
        <v>1455</v>
      </c>
      <c r="O850" s="1310" t="s">
        <v>1635</v>
      </c>
      <c r="P850" s="1310" t="s">
        <v>1549</v>
      </c>
      <c r="Q850" s="1310" t="s">
        <v>1644</v>
      </c>
      <c r="R850" s="1310" t="s">
        <v>1632</v>
      </c>
      <c r="S850" s="1310" t="s">
        <v>1600</v>
      </c>
      <c r="T850" s="1310" t="s">
        <v>1509</v>
      </c>
      <c r="U850" s="1310" t="s">
        <v>1554</v>
      </c>
      <c r="V850" s="1310" t="s">
        <v>1452</v>
      </c>
      <c r="W850" s="1310" t="s">
        <v>1443</v>
      </c>
      <c r="X850" s="1310" t="s">
        <v>1450</v>
      </c>
      <c r="Y850" s="1310" t="s">
        <v>1443</v>
      </c>
      <c r="Z850" s="1310" t="s">
        <v>1569</v>
      </c>
      <c r="AA850" s="1310" t="s">
        <v>1571</v>
      </c>
      <c r="AB850" s="1310" t="s">
        <v>1562</v>
      </c>
      <c r="AC850" s="1310" t="s">
        <v>1452</v>
      </c>
      <c r="AD850" s="1310" t="s">
        <v>1621</v>
      </c>
      <c r="AE850" s="1310" t="s">
        <v>1541</v>
      </c>
      <c r="AF850" s="1310" t="s">
        <v>1444</v>
      </c>
    </row>
    <row r="851" spans="1:32" x14ac:dyDescent="0.3">
      <c r="A851" s="1310" t="s">
        <v>465</v>
      </c>
      <c r="B851" s="1310" t="s">
        <v>114</v>
      </c>
      <c r="C851" s="1310" t="s">
        <v>1488</v>
      </c>
      <c r="D851" s="1310" t="s">
        <v>1455</v>
      </c>
      <c r="E851" s="1310" t="s">
        <v>1635</v>
      </c>
      <c r="F851" s="1310" t="s">
        <v>1549</v>
      </c>
      <c r="G851" s="1310" t="s">
        <v>1644</v>
      </c>
      <c r="H851" s="1310" t="s">
        <v>1632</v>
      </c>
      <c r="I851" s="1310" t="s">
        <v>1600</v>
      </c>
      <c r="J851" s="1310" t="s">
        <v>1509</v>
      </c>
      <c r="K851" s="1310" t="s">
        <v>1554</v>
      </c>
      <c r="L851" s="1310" t="s">
        <v>1452</v>
      </c>
      <c r="M851" s="1310" t="s">
        <v>1621</v>
      </c>
      <c r="N851" s="1310" t="s">
        <v>1541</v>
      </c>
      <c r="O851" s="1310" t="s">
        <v>1444</v>
      </c>
      <c r="P851" s="1310" t="s">
        <v>465</v>
      </c>
      <c r="Q851" s="1310" t="s">
        <v>114</v>
      </c>
      <c r="R851" s="1310" t="s">
        <v>1488</v>
      </c>
      <c r="S851" s="1310" t="s">
        <v>1455</v>
      </c>
      <c r="T851" s="1310" t="s">
        <v>1635</v>
      </c>
      <c r="U851" s="1310" t="s">
        <v>1549</v>
      </c>
      <c r="V851" s="1310" t="s">
        <v>1644</v>
      </c>
      <c r="W851" s="1310" t="s">
        <v>1632</v>
      </c>
      <c r="X851" s="1310" t="s">
        <v>1465</v>
      </c>
      <c r="Y851" s="1310" t="s">
        <v>1443</v>
      </c>
      <c r="Z851" s="1310" t="s">
        <v>1450</v>
      </c>
      <c r="AA851" s="1310" t="s">
        <v>1640</v>
      </c>
      <c r="AB851" s="1310" t="s">
        <v>1603</v>
      </c>
      <c r="AC851" s="1310" t="s">
        <v>1618</v>
      </c>
      <c r="AD851" s="1310" t="s">
        <v>1617</v>
      </c>
      <c r="AE851" s="1310" t="s">
        <v>1647</v>
      </c>
      <c r="AF851" s="1310" t="s">
        <v>1644</v>
      </c>
    </row>
    <row r="852" spans="1:32" x14ac:dyDescent="0.3">
      <c r="A852" s="1310" t="s">
        <v>1622</v>
      </c>
      <c r="B852" s="1310" t="s">
        <v>1512</v>
      </c>
      <c r="C852" s="1310" t="s">
        <v>1659</v>
      </c>
      <c r="D852" s="1310" t="s">
        <v>132</v>
      </c>
      <c r="E852" s="1310" t="s">
        <v>1644</v>
      </c>
      <c r="F852" s="1310" t="s">
        <v>1621</v>
      </c>
      <c r="G852" s="1310" t="s">
        <v>1445</v>
      </c>
      <c r="H852" s="1310" t="s">
        <v>1517</v>
      </c>
      <c r="I852" s="1310" t="s">
        <v>1591</v>
      </c>
      <c r="J852" s="1310" t="s">
        <v>1586</v>
      </c>
      <c r="K852" s="1310" t="s">
        <v>1498</v>
      </c>
      <c r="L852" s="1310" t="s">
        <v>1483</v>
      </c>
      <c r="M852" s="1310" t="s">
        <v>1604</v>
      </c>
      <c r="N852" s="1310" t="s">
        <v>1483</v>
      </c>
      <c r="O852" s="1310" t="s">
        <v>1615</v>
      </c>
      <c r="P852" s="1310" t="s">
        <v>1656</v>
      </c>
      <c r="Q852" s="1310" t="s">
        <v>1591</v>
      </c>
      <c r="R852" s="1310" t="s">
        <v>133</v>
      </c>
      <c r="S852" s="1310" t="s">
        <v>1565</v>
      </c>
      <c r="T852" s="1310" t="s">
        <v>1579</v>
      </c>
      <c r="U852" s="1310" t="s">
        <v>1457</v>
      </c>
      <c r="V852" s="1310" t="s">
        <v>1500</v>
      </c>
      <c r="W852" s="1310" t="s">
        <v>1541</v>
      </c>
      <c r="X852" s="1310" t="s">
        <v>1612</v>
      </c>
      <c r="Y852" s="1310" t="s">
        <v>120</v>
      </c>
      <c r="Z852" s="1310" t="s">
        <v>465</v>
      </c>
      <c r="AA852" s="1310" t="s">
        <v>1457</v>
      </c>
      <c r="AB852" s="1310" t="s">
        <v>1567</v>
      </c>
      <c r="AC852" s="1310" t="s">
        <v>1619</v>
      </c>
      <c r="AD852" s="1310" t="s">
        <v>1532</v>
      </c>
      <c r="AE852" s="1310" t="s">
        <v>1569</v>
      </c>
      <c r="AF852" s="1310" t="s">
        <v>1474</v>
      </c>
    </row>
    <row r="853" spans="1:32" x14ac:dyDescent="0.3">
      <c r="A853" s="1310" t="s">
        <v>1552</v>
      </c>
      <c r="B853" s="1310" t="s">
        <v>1637</v>
      </c>
      <c r="C853" s="1310" t="s">
        <v>1560</v>
      </c>
      <c r="D853" s="1310" t="s">
        <v>1645</v>
      </c>
      <c r="E853" s="1310" t="s">
        <v>1480</v>
      </c>
      <c r="F853" s="1310" t="s">
        <v>1628</v>
      </c>
      <c r="G853" s="1310" t="s">
        <v>1576</v>
      </c>
      <c r="H853" s="1310" t="s">
        <v>1653</v>
      </c>
      <c r="I853" s="1310" t="s">
        <v>1460</v>
      </c>
      <c r="J853" s="1310" t="s">
        <v>1551</v>
      </c>
      <c r="K853" s="1310" t="s">
        <v>1595</v>
      </c>
      <c r="L853" s="1310" t="s">
        <v>1498</v>
      </c>
      <c r="M853" s="1310" t="s">
        <v>1552</v>
      </c>
      <c r="N853" s="1310" t="s">
        <v>1576</v>
      </c>
      <c r="O853" s="1310" t="s">
        <v>1548</v>
      </c>
      <c r="P853" s="1310" t="s">
        <v>1608</v>
      </c>
      <c r="Q853" s="1310" t="s">
        <v>1632</v>
      </c>
      <c r="R853" s="1310" t="s">
        <v>123</v>
      </c>
      <c r="S853" s="1310" t="s">
        <v>1459</v>
      </c>
      <c r="T853" s="1310" t="s">
        <v>1561</v>
      </c>
      <c r="U853" s="1310" t="s">
        <v>1599</v>
      </c>
      <c r="V853" s="1310" t="s">
        <v>265</v>
      </c>
      <c r="W853" s="1310" t="s">
        <v>132</v>
      </c>
      <c r="X853" s="1310" t="s">
        <v>1563</v>
      </c>
      <c r="Y853" s="1310" t="s">
        <v>1548</v>
      </c>
      <c r="Z853" s="1310" t="s">
        <v>128</v>
      </c>
      <c r="AA853" s="1310" t="s">
        <v>1637</v>
      </c>
      <c r="AB853" s="1310" t="s">
        <v>1558</v>
      </c>
      <c r="AC853" s="1310" t="s">
        <v>1448</v>
      </c>
      <c r="AD853" s="1310" t="s">
        <v>1552</v>
      </c>
      <c r="AE853" s="1310" t="s">
        <v>1512</v>
      </c>
      <c r="AF853" s="1310" t="s">
        <v>1557</v>
      </c>
    </row>
    <row r="854" spans="1:32" x14ac:dyDescent="0.3">
      <c r="A854" s="1310" t="s">
        <v>1444</v>
      </c>
      <c r="B854" s="1310" t="s">
        <v>1464</v>
      </c>
      <c r="C854" s="1310" t="s">
        <v>1566</v>
      </c>
      <c r="D854" s="1310" t="s">
        <v>1622</v>
      </c>
      <c r="E854" s="1310" t="s">
        <v>1484</v>
      </c>
      <c r="F854" s="1310" t="s">
        <v>1559</v>
      </c>
      <c r="G854" s="1310" t="s">
        <v>1547</v>
      </c>
      <c r="H854" s="1310" t="s">
        <v>1539</v>
      </c>
      <c r="I854" s="1310" t="s">
        <v>1531</v>
      </c>
      <c r="J854" s="1310" t="s">
        <v>1601</v>
      </c>
      <c r="K854" s="1310" t="s">
        <v>1563</v>
      </c>
      <c r="L854" s="1310" t="s">
        <v>1586</v>
      </c>
      <c r="M854" s="1310" t="s">
        <v>1546</v>
      </c>
      <c r="N854" s="1310" t="s">
        <v>1637</v>
      </c>
      <c r="O854" s="1310" t="s">
        <v>1469</v>
      </c>
      <c r="P854" s="1310" t="s">
        <v>1620</v>
      </c>
      <c r="Q854" s="1310" t="s">
        <v>1517</v>
      </c>
      <c r="R854" s="1310" t="s">
        <v>1546</v>
      </c>
      <c r="S854" s="1310" t="s">
        <v>1621</v>
      </c>
      <c r="T854" s="1310" t="s">
        <v>1458</v>
      </c>
      <c r="U854" s="1310" t="s">
        <v>1512</v>
      </c>
      <c r="V854" s="1310" t="s">
        <v>1482</v>
      </c>
      <c r="W854" s="1310" t="s">
        <v>1656</v>
      </c>
      <c r="X854" s="1310" t="s">
        <v>1542</v>
      </c>
      <c r="Y854" s="1310" t="s">
        <v>1617</v>
      </c>
      <c r="Z854" s="1310" t="s">
        <v>1576</v>
      </c>
      <c r="AA854" s="1310" t="s">
        <v>1496</v>
      </c>
      <c r="AB854" s="1310" t="s">
        <v>267</v>
      </c>
      <c r="AC854" s="1310" t="s">
        <v>1611</v>
      </c>
      <c r="AD854" s="1310" t="s">
        <v>1496</v>
      </c>
      <c r="AE854" s="1310" t="s">
        <v>1553</v>
      </c>
      <c r="AF854" s="1310" t="s">
        <v>1544</v>
      </c>
    </row>
    <row r="855" spans="1:32" x14ac:dyDescent="0.3">
      <c r="A855" s="1310" t="s">
        <v>1541</v>
      </c>
      <c r="B855" s="1310" t="s">
        <v>1505</v>
      </c>
      <c r="C855" s="1310" t="s">
        <v>1574</v>
      </c>
      <c r="D855" s="1310" t="s">
        <v>1595</v>
      </c>
      <c r="E855" s="1310" t="s">
        <v>1553</v>
      </c>
      <c r="F855" s="1310" t="s">
        <v>1563</v>
      </c>
      <c r="G855" s="1310" t="s">
        <v>1539</v>
      </c>
      <c r="H855" s="1310" t="s">
        <v>1518</v>
      </c>
      <c r="I855" s="1310" t="s">
        <v>1629</v>
      </c>
      <c r="J855" s="1310" t="s">
        <v>1588</v>
      </c>
      <c r="K855" s="1310" t="s">
        <v>1549</v>
      </c>
      <c r="L855" s="1310" t="s">
        <v>1549</v>
      </c>
      <c r="M855" s="1310" t="s">
        <v>1543</v>
      </c>
      <c r="N855" s="1310" t="s">
        <v>1480</v>
      </c>
      <c r="O855" s="1310" t="s">
        <v>1604</v>
      </c>
      <c r="P855" s="1310" t="s">
        <v>1473</v>
      </c>
      <c r="Q855" s="1310" t="s">
        <v>6</v>
      </c>
      <c r="R855" s="1310" t="s">
        <v>1512</v>
      </c>
      <c r="S855" s="1310" t="s">
        <v>1470</v>
      </c>
      <c r="T855" s="1310" t="s">
        <v>1462</v>
      </c>
      <c r="U855" s="1310" t="s">
        <v>1651</v>
      </c>
      <c r="V855" s="1310" t="s">
        <v>1549</v>
      </c>
      <c r="W855" s="1310" t="s">
        <v>1658</v>
      </c>
      <c r="X855" s="1310" t="s">
        <v>1617</v>
      </c>
      <c r="Y855" s="1310" t="s">
        <v>113</v>
      </c>
      <c r="Z855" s="1310" t="s">
        <v>1454</v>
      </c>
      <c r="AA855" s="1310" t="s">
        <v>1566</v>
      </c>
      <c r="AB855" s="1310" t="s">
        <v>1617</v>
      </c>
      <c r="AC855" s="1310" t="s">
        <v>1482</v>
      </c>
      <c r="AD855" s="1310" t="s">
        <v>1617</v>
      </c>
      <c r="AE855" s="1310" t="s">
        <v>1656</v>
      </c>
      <c r="AF855" s="1310" t="s">
        <v>1457</v>
      </c>
    </row>
    <row r="856" spans="1:32" x14ac:dyDescent="0.3">
      <c r="A856" s="1310" t="s">
        <v>1537</v>
      </c>
      <c r="B856" s="1310" t="s">
        <v>1640</v>
      </c>
      <c r="C856" s="1310" t="s">
        <v>1655</v>
      </c>
      <c r="D856" s="1310" t="s">
        <v>1568</v>
      </c>
      <c r="E856" s="1310" t="s">
        <v>121</v>
      </c>
      <c r="F856" s="1310" t="s">
        <v>132</v>
      </c>
      <c r="G856" s="1310" t="s">
        <v>1027</v>
      </c>
      <c r="H856" s="1310" t="s">
        <v>121</v>
      </c>
      <c r="I856" s="1310" t="s">
        <v>1574</v>
      </c>
      <c r="J856" s="1310" t="s">
        <v>116</v>
      </c>
      <c r="K856" s="1310" t="s">
        <v>1447</v>
      </c>
      <c r="L856" s="1310" t="s">
        <v>1566</v>
      </c>
      <c r="M856" s="1310" t="s">
        <v>1646</v>
      </c>
      <c r="N856" s="1310" t="s">
        <v>1491</v>
      </c>
      <c r="O856" s="1310" t="s">
        <v>1575</v>
      </c>
      <c r="P856" s="1310" t="s">
        <v>123</v>
      </c>
      <c r="Q856" s="1310" t="s">
        <v>1594</v>
      </c>
      <c r="R856" s="1310" t="s">
        <v>1522</v>
      </c>
      <c r="S856" s="1310" t="s">
        <v>1617</v>
      </c>
      <c r="T856" s="1310" t="s">
        <v>1503</v>
      </c>
      <c r="U856" s="1310" t="s">
        <v>1504</v>
      </c>
      <c r="V856" s="1310" t="s">
        <v>1563</v>
      </c>
      <c r="W856" s="1310" t="s">
        <v>1592</v>
      </c>
      <c r="X856" s="1310" t="s">
        <v>1626</v>
      </c>
      <c r="Y856" s="1310" t="s">
        <v>1030</v>
      </c>
      <c r="Z856" s="1310" t="s">
        <v>1448</v>
      </c>
      <c r="AA856" s="1310" t="s">
        <v>116</v>
      </c>
      <c r="AB856" s="1310" t="s">
        <v>1655</v>
      </c>
      <c r="AC856" s="1310" t="s">
        <v>122</v>
      </c>
      <c r="AD856" s="1310" t="s">
        <v>1574</v>
      </c>
      <c r="AE856" s="1310" t="s">
        <v>1461</v>
      </c>
      <c r="AF856" s="1310" t="s">
        <v>1582</v>
      </c>
    </row>
    <row r="857" spans="1:32" x14ac:dyDescent="0.3">
      <c r="A857" s="1310" t="s">
        <v>1659</v>
      </c>
      <c r="B857" s="1310" t="s">
        <v>1464</v>
      </c>
      <c r="C857" s="1310" t="s">
        <v>1530</v>
      </c>
      <c r="D857" s="1310" t="s">
        <v>1630</v>
      </c>
      <c r="E857" s="1310" t="s">
        <v>1535</v>
      </c>
      <c r="F857" s="1310" t="s">
        <v>1540</v>
      </c>
      <c r="G857" s="1310" t="s">
        <v>1511</v>
      </c>
      <c r="H857" s="1310" t="s">
        <v>1547</v>
      </c>
      <c r="I857" s="1310" t="s">
        <v>267</v>
      </c>
      <c r="J857" s="1310" t="s">
        <v>1591</v>
      </c>
      <c r="K857" s="1310" t="s">
        <v>1648</v>
      </c>
      <c r="L857" s="1310" t="s">
        <v>1656</v>
      </c>
      <c r="M857" s="1310" t="s">
        <v>118</v>
      </c>
      <c r="N857" s="1310" t="s">
        <v>1444</v>
      </c>
      <c r="O857" s="1310" t="s">
        <v>1541</v>
      </c>
      <c r="P857" s="1310" t="s">
        <v>1581</v>
      </c>
      <c r="Q857" s="1310" t="s">
        <v>1629</v>
      </c>
      <c r="R857" s="1310" t="s">
        <v>1541</v>
      </c>
      <c r="S857" s="1310" t="s">
        <v>1465</v>
      </c>
      <c r="T857" s="1310" t="s">
        <v>1640</v>
      </c>
      <c r="U857" s="1310" t="s">
        <v>1632</v>
      </c>
      <c r="V857" s="1310" t="s">
        <v>1635</v>
      </c>
      <c r="W857" s="1310" t="s">
        <v>465</v>
      </c>
      <c r="X857" s="1310" t="s">
        <v>1455</v>
      </c>
      <c r="Y857" s="1310" t="s">
        <v>1635</v>
      </c>
      <c r="Z857" s="1310" t="s">
        <v>465</v>
      </c>
      <c r="AA857" s="1310" t="s">
        <v>1455</v>
      </c>
      <c r="AB857" s="1310" t="s">
        <v>465</v>
      </c>
      <c r="AC857" s="1310" t="s">
        <v>1498</v>
      </c>
      <c r="AD857" s="1310" t="s">
        <v>1482</v>
      </c>
      <c r="AE857" s="1310" t="s">
        <v>1541</v>
      </c>
      <c r="AF857" s="1310" t="s">
        <v>111</v>
      </c>
    </row>
    <row r="858" spans="1:32" x14ac:dyDescent="0.3">
      <c r="A858" s="1310" t="s">
        <v>1504</v>
      </c>
      <c r="B858" s="1310" t="s">
        <v>1452</v>
      </c>
      <c r="C858" s="1310" t="s">
        <v>1560</v>
      </c>
      <c r="D858" s="1310" t="s">
        <v>1452</v>
      </c>
      <c r="E858" s="1310" t="s">
        <v>1621</v>
      </c>
      <c r="F858" s="1310" t="s">
        <v>1541</v>
      </c>
      <c r="G858" s="1310" t="s">
        <v>1444</v>
      </c>
      <c r="H858" s="1310" t="s">
        <v>1616</v>
      </c>
      <c r="I858" s="1310" t="s">
        <v>1587</v>
      </c>
      <c r="J858" s="1310" t="s">
        <v>1567</v>
      </c>
      <c r="K858" s="1310" t="s">
        <v>1572</v>
      </c>
      <c r="L858" s="1310" t="s">
        <v>1650</v>
      </c>
      <c r="M858" s="1310" t="s">
        <v>1573</v>
      </c>
      <c r="N858" s="1310" t="s">
        <v>1625</v>
      </c>
      <c r="O858" s="1310" t="s">
        <v>112</v>
      </c>
      <c r="P858" s="1310" t="s">
        <v>1652</v>
      </c>
      <c r="Q858" s="1310" t="s">
        <v>1638</v>
      </c>
      <c r="R858" s="1310" t="s">
        <v>1604</v>
      </c>
      <c r="S858" s="1310" t="s">
        <v>1545</v>
      </c>
      <c r="T858" s="1310" t="s">
        <v>1529</v>
      </c>
      <c r="U858" s="1310" t="s">
        <v>1653</v>
      </c>
      <c r="V858" s="1310" t="s">
        <v>1633</v>
      </c>
      <c r="W858" s="1310" t="s">
        <v>1543</v>
      </c>
      <c r="X858" s="1310" t="s">
        <v>131</v>
      </c>
      <c r="Y858" s="1310" t="s">
        <v>1577</v>
      </c>
      <c r="Z858" s="1310" t="s">
        <v>124</v>
      </c>
      <c r="AA858" s="1310" t="s">
        <v>1635</v>
      </c>
      <c r="AB858" s="1310" t="s">
        <v>1448</v>
      </c>
      <c r="AC858" s="1310" t="s">
        <v>132</v>
      </c>
      <c r="AD858" s="1310" t="s">
        <v>1551</v>
      </c>
      <c r="AE858" s="1310" t="s">
        <v>1547</v>
      </c>
      <c r="AF858" s="1310" t="s">
        <v>125</v>
      </c>
    </row>
    <row r="859" spans="1:32" x14ac:dyDescent="0.3">
      <c r="A859" s="1310" t="s">
        <v>1610</v>
      </c>
      <c r="B859" s="1310" t="s">
        <v>1570</v>
      </c>
      <c r="C859" s="1310" t="s">
        <v>1565</v>
      </c>
      <c r="D859" s="1310" t="s">
        <v>1611</v>
      </c>
      <c r="E859" s="1310" t="s">
        <v>120</v>
      </c>
      <c r="F859" s="1310" t="s">
        <v>1452</v>
      </c>
      <c r="G859" s="1310" t="s">
        <v>1483</v>
      </c>
      <c r="H859" s="1310" t="s">
        <v>1629</v>
      </c>
      <c r="I859" s="1310" t="s">
        <v>1561</v>
      </c>
      <c r="J859" s="1310" t="s">
        <v>112</v>
      </c>
      <c r="K859" s="1310" t="s">
        <v>1530</v>
      </c>
      <c r="L859" s="1310" t="s">
        <v>1651</v>
      </c>
      <c r="M859" s="1310" t="s">
        <v>1624</v>
      </c>
      <c r="N859" s="1310" t="s">
        <v>1657</v>
      </c>
      <c r="O859" s="1310" t="s">
        <v>1610</v>
      </c>
      <c r="P859" s="1310" t="s">
        <v>1608</v>
      </c>
      <c r="Q859" s="1310" t="s">
        <v>1537</v>
      </c>
      <c r="R859" s="1310" t="s">
        <v>1582</v>
      </c>
      <c r="S859" s="1310" t="s">
        <v>1511</v>
      </c>
      <c r="T859" s="1310" t="s">
        <v>1486</v>
      </c>
      <c r="U859" s="1310" t="s">
        <v>1617</v>
      </c>
      <c r="V859" s="1310" t="s">
        <v>110</v>
      </c>
      <c r="W859" s="1310" t="s">
        <v>1640</v>
      </c>
      <c r="X859" s="1310" t="s">
        <v>1027</v>
      </c>
      <c r="Y859" s="1310" t="s">
        <v>1557</v>
      </c>
      <c r="Z859" s="1310" t="s">
        <v>1603</v>
      </c>
      <c r="AA859" s="1310" t="s">
        <v>1565</v>
      </c>
      <c r="AB859" s="1310" t="s">
        <v>1475</v>
      </c>
      <c r="AC859" s="1310" t="s">
        <v>1558</v>
      </c>
      <c r="AD859" s="1310" t="s">
        <v>1610</v>
      </c>
      <c r="AE859" s="1310" t="s">
        <v>1582</v>
      </c>
      <c r="AF859" s="1310" t="s">
        <v>1476</v>
      </c>
    </row>
    <row r="860" spans="1:32" x14ac:dyDescent="0.3">
      <c r="A860" s="1310" t="s">
        <v>1483</v>
      </c>
      <c r="B860" s="1310" t="s">
        <v>1463</v>
      </c>
      <c r="C860" s="1310" t="s">
        <v>1605</v>
      </c>
      <c r="D860" s="1310" t="s">
        <v>1581</v>
      </c>
      <c r="E860" s="1310" t="s">
        <v>1561</v>
      </c>
      <c r="F860" s="1310" t="s">
        <v>1502</v>
      </c>
      <c r="G860" s="1310" t="s">
        <v>1651</v>
      </c>
      <c r="H860" s="1310" t="s">
        <v>1646</v>
      </c>
      <c r="I860" s="1310" t="s">
        <v>1502</v>
      </c>
      <c r="J860" s="1310" t="s">
        <v>1557</v>
      </c>
      <c r="K860" s="1310" t="s">
        <v>262</v>
      </c>
      <c r="L860" s="1310" t="s">
        <v>1505</v>
      </c>
      <c r="M860" s="1310" t="s">
        <v>1492</v>
      </c>
      <c r="N860" s="1310" t="s">
        <v>1585</v>
      </c>
      <c r="O860" s="1310" t="s">
        <v>1492</v>
      </c>
      <c r="P860" s="1310" t="s">
        <v>1601</v>
      </c>
      <c r="Q860" s="1310" t="s">
        <v>1536</v>
      </c>
      <c r="R860" s="1310" t="s">
        <v>1479</v>
      </c>
      <c r="S860" s="1310" t="s">
        <v>1643</v>
      </c>
      <c r="T860" s="1310" t="s">
        <v>1642</v>
      </c>
      <c r="U860" s="1310" t="s">
        <v>1533</v>
      </c>
      <c r="V860" s="1310" t="s">
        <v>1450</v>
      </c>
      <c r="W860" s="1310" t="s">
        <v>1554</v>
      </c>
      <c r="X860" s="1310" t="s">
        <v>1640</v>
      </c>
      <c r="Y860" s="1310" t="s">
        <v>1553</v>
      </c>
      <c r="Z860" s="1310" t="s">
        <v>1644</v>
      </c>
      <c r="AA860" s="1310" t="s">
        <v>1532</v>
      </c>
      <c r="AB860" s="1310" t="s">
        <v>1646</v>
      </c>
      <c r="AC860" s="1310" t="s">
        <v>1500</v>
      </c>
      <c r="AD860" s="1310" t="s">
        <v>270</v>
      </c>
      <c r="AE860" s="1310" t="s">
        <v>1642</v>
      </c>
      <c r="AF860" s="1310" t="s">
        <v>1553</v>
      </c>
    </row>
    <row r="861" spans="1:32" x14ac:dyDescent="0.3">
      <c r="A861" s="1310" t="s">
        <v>1469</v>
      </c>
      <c r="B861" s="1310" t="s">
        <v>1554</v>
      </c>
      <c r="C861" s="1310" t="s">
        <v>1640</v>
      </c>
      <c r="D861" s="1310" t="s">
        <v>1543</v>
      </c>
      <c r="E861" s="1310" t="s">
        <v>1644</v>
      </c>
      <c r="F861" s="1310" t="s">
        <v>1541</v>
      </c>
      <c r="G861" s="1310" t="s">
        <v>1604</v>
      </c>
      <c r="H861" s="1310" t="s">
        <v>1465</v>
      </c>
      <c r="I861" s="1310" t="s">
        <v>119</v>
      </c>
      <c r="J861" s="1310" t="s">
        <v>1642</v>
      </c>
      <c r="K861" s="1310" t="s">
        <v>1498</v>
      </c>
      <c r="L861" s="1310" t="s">
        <v>1497</v>
      </c>
      <c r="M861" s="1310" t="s">
        <v>1499</v>
      </c>
      <c r="N861" s="1310" t="s">
        <v>1463</v>
      </c>
      <c r="O861" s="1310" t="s">
        <v>1655</v>
      </c>
      <c r="P861" s="1310" t="s">
        <v>1649</v>
      </c>
      <c r="Q861" s="1310" t="s">
        <v>1499</v>
      </c>
      <c r="R861" s="1310" t="s">
        <v>1637</v>
      </c>
      <c r="S861" s="1310" t="s">
        <v>1592</v>
      </c>
      <c r="T861" s="1310" t="s">
        <v>1492</v>
      </c>
      <c r="U861" s="1310" t="s">
        <v>1582</v>
      </c>
      <c r="V861" s="1310" t="s">
        <v>1495</v>
      </c>
      <c r="W861" s="1310" t="s">
        <v>1449</v>
      </c>
      <c r="X861" s="1310" t="s">
        <v>1500</v>
      </c>
      <c r="Y861" s="1310" t="s">
        <v>131</v>
      </c>
      <c r="Z861" s="1310" t="s">
        <v>1567</v>
      </c>
      <c r="AA861" s="1310" t="s">
        <v>1593</v>
      </c>
      <c r="AB861" s="1310" t="s">
        <v>1635</v>
      </c>
      <c r="AC861" s="1310" t="s">
        <v>1557</v>
      </c>
      <c r="AD861" s="1310" t="s">
        <v>1532</v>
      </c>
      <c r="AE861" s="1310" t="s">
        <v>1597</v>
      </c>
      <c r="AF861" s="1310" t="s">
        <v>116</v>
      </c>
    </row>
    <row r="862" spans="1:32" x14ac:dyDescent="0.3">
      <c r="A862" s="1310" t="s">
        <v>1557</v>
      </c>
      <c r="B862" s="1310" t="s">
        <v>1646</v>
      </c>
      <c r="C862" s="1310" t="s">
        <v>1557</v>
      </c>
      <c r="D862" s="1310" t="s">
        <v>1488</v>
      </c>
      <c r="E862" s="1310" t="s">
        <v>1482</v>
      </c>
      <c r="F862" s="1310" t="s">
        <v>1529</v>
      </c>
      <c r="G862" s="1310" t="s">
        <v>1630</v>
      </c>
      <c r="H862" s="1310" t="s">
        <v>1502</v>
      </c>
      <c r="I862" s="1310" t="s">
        <v>110</v>
      </c>
      <c r="J862" s="1310" t="s">
        <v>1648</v>
      </c>
      <c r="K862" s="1310" t="s">
        <v>1655</v>
      </c>
      <c r="L862" s="1310" t="s">
        <v>1651</v>
      </c>
      <c r="M862" s="1310" t="s">
        <v>1508</v>
      </c>
      <c r="N862" s="1310" t="s">
        <v>266</v>
      </c>
      <c r="O862" s="1310" t="s">
        <v>1569</v>
      </c>
      <c r="P862" s="1310" t="s">
        <v>471</v>
      </c>
      <c r="Q862" s="1310" t="s">
        <v>1637</v>
      </c>
      <c r="R862" s="1310" t="s">
        <v>1564</v>
      </c>
      <c r="S862" s="1310" t="s">
        <v>1573</v>
      </c>
      <c r="T862" s="1310" t="s">
        <v>113</v>
      </c>
      <c r="U862" s="1310" t="s">
        <v>1521</v>
      </c>
      <c r="V862" s="1310" t="s">
        <v>128</v>
      </c>
      <c r="W862" s="1310" t="s">
        <v>130</v>
      </c>
      <c r="X862" s="1310" t="s">
        <v>1030</v>
      </c>
      <c r="Y862" s="1310" t="s">
        <v>1492</v>
      </c>
      <c r="Z862" s="1310" t="s">
        <v>133</v>
      </c>
      <c r="AA862" s="1310" t="s">
        <v>1605</v>
      </c>
      <c r="AB862" s="1310" t="s">
        <v>1503</v>
      </c>
      <c r="AC862" s="1310" t="s">
        <v>1600</v>
      </c>
      <c r="AD862" s="1310" t="s">
        <v>1517</v>
      </c>
      <c r="AE862" s="1310" t="s">
        <v>112</v>
      </c>
      <c r="AF862" s="1310" t="s">
        <v>1545</v>
      </c>
    </row>
    <row r="863" spans="1:32" x14ac:dyDescent="0.3">
      <c r="A863" s="1310" t="s">
        <v>1523</v>
      </c>
      <c r="B863" s="1310" t="s">
        <v>132</v>
      </c>
      <c r="C863" s="1310" t="s">
        <v>1607</v>
      </c>
      <c r="D863" s="1310" t="s">
        <v>1649</v>
      </c>
      <c r="E863" s="1310" t="s">
        <v>117</v>
      </c>
      <c r="F863" s="1310" t="s">
        <v>110</v>
      </c>
      <c r="G863" s="1310" t="s">
        <v>1561</v>
      </c>
      <c r="H863" s="1310" t="s">
        <v>1575</v>
      </c>
      <c r="I863" s="1310" t="s">
        <v>1648</v>
      </c>
      <c r="J863" s="1310" t="s">
        <v>1517</v>
      </c>
      <c r="K863" s="1310" t="s">
        <v>1657</v>
      </c>
      <c r="L863" s="1310" t="s">
        <v>1585</v>
      </c>
      <c r="M863" s="1310" t="s">
        <v>1493</v>
      </c>
      <c r="N863" s="1310" t="s">
        <v>1650</v>
      </c>
      <c r="O863" s="1310" t="s">
        <v>1483</v>
      </c>
      <c r="P863" s="1310" t="s">
        <v>1443</v>
      </c>
      <c r="Q863" s="1310" t="s">
        <v>1450</v>
      </c>
      <c r="R863" s="1310" t="s">
        <v>1652</v>
      </c>
      <c r="S863" s="1310" t="s">
        <v>6</v>
      </c>
      <c r="T863" s="1310" t="s">
        <v>1586</v>
      </c>
      <c r="U863" s="1310" t="s">
        <v>1599</v>
      </c>
      <c r="V863" s="1310" t="s">
        <v>1646</v>
      </c>
      <c r="W863" s="1310" t="s">
        <v>1578</v>
      </c>
      <c r="X863" s="1310" t="s">
        <v>1631</v>
      </c>
      <c r="Y863" s="1310" t="s">
        <v>1481</v>
      </c>
      <c r="Z863" s="1310" t="s">
        <v>1454</v>
      </c>
      <c r="AA863" s="1310" t="s">
        <v>1595</v>
      </c>
      <c r="AB863" s="1310" t="s">
        <v>1615</v>
      </c>
      <c r="AC863" s="1310" t="s">
        <v>1586</v>
      </c>
      <c r="AD863" s="1310" t="s">
        <v>131</v>
      </c>
      <c r="AE863" s="1310" t="s">
        <v>1566</v>
      </c>
      <c r="AF863" s="1310" t="s">
        <v>1647</v>
      </c>
    </row>
    <row r="864" spans="1:32" x14ac:dyDescent="0.3">
      <c r="A864" s="1310" t="s">
        <v>1493</v>
      </c>
      <c r="B864" s="1310" t="s">
        <v>1635</v>
      </c>
      <c r="C864" s="1310" t="s">
        <v>1610</v>
      </c>
      <c r="D864" s="1310" t="s">
        <v>1556</v>
      </c>
      <c r="E864" s="1310" t="s">
        <v>1464</v>
      </c>
      <c r="F864" s="1310" t="s">
        <v>1519</v>
      </c>
      <c r="G864" s="1310" t="s">
        <v>1622</v>
      </c>
      <c r="H864" s="1310" t="s">
        <v>1451</v>
      </c>
      <c r="I864" s="1310" t="s">
        <v>268</v>
      </c>
      <c r="J864" s="1310" t="s">
        <v>1623</v>
      </c>
      <c r="K864" s="1310" t="s">
        <v>1451</v>
      </c>
      <c r="L864" s="1310" t="s">
        <v>1501</v>
      </c>
      <c r="M864" s="1310" t="s">
        <v>1464</v>
      </c>
      <c r="N864" s="1310" t="s">
        <v>1597</v>
      </c>
      <c r="O864" s="1310" t="s">
        <v>1633</v>
      </c>
      <c r="P864" s="1310" t="s">
        <v>1464</v>
      </c>
      <c r="Q864" s="1310" t="s">
        <v>1575</v>
      </c>
      <c r="R864" s="1310" t="s">
        <v>119</v>
      </c>
      <c r="S864" s="1310" t="s">
        <v>1522</v>
      </c>
      <c r="T864" s="1310" t="s">
        <v>1602</v>
      </c>
      <c r="U864" s="1310" t="s">
        <v>1572</v>
      </c>
      <c r="V864" s="1310" t="s">
        <v>1626</v>
      </c>
      <c r="W864" s="1310" t="s">
        <v>1470</v>
      </c>
      <c r="X864" s="1310" t="s">
        <v>1613</v>
      </c>
      <c r="Y864" s="1310" t="s">
        <v>1631</v>
      </c>
      <c r="Z864" s="1310" t="s">
        <v>1559</v>
      </c>
      <c r="AA864" s="1310" t="s">
        <v>1627</v>
      </c>
      <c r="AB864" s="1310" t="s">
        <v>1443</v>
      </c>
      <c r="AC864" s="1310" t="s">
        <v>1450</v>
      </c>
      <c r="AD864" s="1310" t="s">
        <v>1547</v>
      </c>
      <c r="AE864" s="1310" t="s">
        <v>133</v>
      </c>
      <c r="AF864" s="1310" t="s">
        <v>1540</v>
      </c>
    </row>
    <row r="865" spans="1:32" x14ac:dyDescent="0.3">
      <c r="A865" s="1310" t="s">
        <v>1468</v>
      </c>
      <c r="B865" s="1310" t="s">
        <v>1570</v>
      </c>
      <c r="C865" s="1310" t="s">
        <v>1474</v>
      </c>
      <c r="D865" s="1310" t="s">
        <v>1468</v>
      </c>
      <c r="E865" s="1310" t="s">
        <v>1481</v>
      </c>
      <c r="F865" s="1310" t="s">
        <v>1655</v>
      </c>
      <c r="G865" s="1310" t="s">
        <v>1649</v>
      </c>
      <c r="H865" s="1310" t="s">
        <v>1443</v>
      </c>
      <c r="I865" s="1310" t="s">
        <v>1450</v>
      </c>
      <c r="J865" s="1310" t="s">
        <v>1459</v>
      </c>
      <c r="K865" s="1310" t="s">
        <v>1489</v>
      </c>
      <c r="L865" s="1310" t="s">
        <v>1575</v>
      </c>
      <c r="M865" s="1310" t="s">
        <v>131</v>
      </c>
      <c r="N865" s="1310" t="s">
        <v>1457</v>
      </c>
      <c r="O865" s="1310" t="s">
        <v>1625</v>
      </c>
      <c r="P865" s="1310" t="s">
        <v>132</v>
      </c>
      <c r="Q865" s="1310" t="s">
        <v>1603</v>
      </c>
      <c r="R865" s="1310" t="s">
        <v>1612</v>
      </c>
      <c r="S865" s="1310" t="s">
        <v>1462</v>
      </c>
      <c r="T865" s="1310" t="s">
        <v>1443</v>
      </c>
      <c r="U865" s="1310" t="s">
        <v>1450</v>
      </c>
      <c r="V865" s="1310" t="s">
        <v>1580</v>
      </c>
      <c r="W865" s="1310" t="s">
        <v>1628</v>
      </c>
      <c r="X865" s="1310" t="s">
        <v>1636</v>
      </c>
      <c r="Y865" s="1310" t="s">
        <v>1027</v>
      </c>
      <c r="Z865" s="1310" t="s">
        <v>1608</v>
      </c>
      <c r="AA865" s="1310" t="s">
        <v>1622</v>
      </c>
      <c r="AB865" s="1310" t="s">
        <v>1618</v>
      </c>
      <c r="AC865" s="1310" t="s">
        <v>1486</v>
      </c>
      <c r="AD865" s="1310" t="s">
        <v>124</v>
      </c>
      <c r="AE865" s="1310" t="s">
        <v>1577</v>
      </c>
      <c r="AF865" s="1310" t="s">
        <v>1455</v>
      </c>
    </row>
    <row r="866" spans="1:32" x14ac:dyDescent="0.3">
      <c r="A866" s="1310" t="s">
        <v>1622</v>
      </c>
      <c r="B866" s="1310" t="s">
        <v>1030</v>
      </c>
      <c r="C866" s="1310" t="s">
        <v>131</v>
      </c>
      <c r="D866" s="1310" t="s">
        <v>1620</v>
      </c>
      <c r="E866" s="1310" t="s">
        <v>131</v>
      </c>
      <c r="F866" s="1310" t="s">
        <v>267</v>
      </c>
      <c r="G866" s="1310" t="s">
        <v>1607</v>
      </c>
      <c r="H866" s="1310" t="s">
        <v>1580</v>
      </c>
      <c r="I866" s="1310" t="s">
        <v>1630</v>
      </c>
      <c r="J866" s="1310" t="s">
        <v>1637</v>
      </c>
      <c r="K866" s="1310" t="s">
        <v>1027</v>
      </c>
      <c r="L866" s="1310" t="s">
        <v>1643</v>
      </c>
      <c r="M866" s="1310" t="s">
        <v>1551</v>
      </c>
      <c r="N866" s="1310" t="s">
        <v>267</v>
      </c>
      <c r="O866" s="1310" t="s">
        <v>1465</v>
      </c>
      <c r="P866" s="1310" t="s">
        <v>1445</v>
      </c>
      <c r="Q866" s="1310" t="s">
        <v>1513</v>
      </c>
      <c r="R866" s="1310" t="s">
        <v>1513</v>
      </c>
      <c r="S866" s="1310" t="s">
        <v>1520</v>
      </c>
      <c r="T866" s="1310" t="s">
        <v>1577</v>
      </c>
      <c r="U866" s="1310" t="s">
        <v>124</v>
      </c>
      <c r="V866" s="1310" t="s">
        <v>1572</v>
      </c>
      <c r="W866" s="1310" t="s">
        <v>1544</v>
      </c>
      <c r="X866" s="1310" t="s">
        <v>1614</v>
      </c>
      <c r="Y866" s="1310" t="s">
        <v>263</v>
      </c>
      <c r="Z866" s="1310" t="s">
        <v>1655</v>
      </c>
      <c r="AA866" s="1310" t="s">
        <v>1569</v>
      </c>
      <c r="AB866" s="1310" t="s">
        <v>1528</v>
      </c>
      <c r="AC866" s="1310" t="s">
        <v>1506</v>
      </c>
      <c r="AD866" s="1310" t="s">
        <v>1487</v>
      </c>
      <c r="AE866" s="1310" t="s">
        <v>1559</v>
      </c>
      <c r="AF866" s="1310" t="s">
        <v>1525</v>
      </c>
    </row>
    <row r="867" spans="1:32" x14ac:dyDescent="0.3">
      <c r="A867" s="1310" t="s">
        <v>1592</v>
      </c>
      <c r="B867" s="1310" t="s">
        <v>1553</v>
      </c>
      <c r="C867" s="1310" t="s">
        <v>1486</v>
      </c>
      <c r="D867" s="1310" t="s">
        <v>1468</v>
      </c>
      <c r="E867" s="1310" t="s">
        <v>1454</v>
      </c>
      <c r="F867" s="1310" t="s">
        <v>1545</v>
      </c>
      <c r="G867" s="1310" t="s">
        <v>1445</v>
      </c>
      <c r="H867" s="1310" t="s">
        <v>1559</v>
      </c>
      <c r="I867" s="1310" t="s">
        <v>1490</v>
      </c>
      <c r="J867" s="1310" t="s">
        <v>130</v>
      </c>
      <c r="K867" s="1310" t="s">
        <v>1491</v>
      </c>
      <c r="L867" s="1310" t="s">
        <v>1499</v>
      </c>
      <c r="M867" s="1310" t="s">
        <v>1602</v>
      </c>
      <c r="N867" s="1310" t="s">
        <v>1472</v>
      </c>
      <c r="O867" s="1310" t="s">
        <v>1581</v>
      </c>
      <c r="P867" s="1310" t="s">
        <v>1540</v>
      </c>
      <c r="Q867" s="1310" t="s">
        <v>1630</v>
      </c>
      <c r="R867" s="1310" t="s">
        <v>1626</v>
      </c>
      <c r="S867" s="1310" t="s">
        <v>1659</v>
      </c>
      <c r="T867" s="1310" t="s">
        <v>1608</v>
      </c>
      <c r="U867" s="1310" t="s">
        <v>1547</v>
      </c>
      <c r="V867" s="1310" t="s">
        <v>1551</v>
      </c>
      <c r="W867" s="1310" t="s">
        <v>1516</v>
      </c>
      <c r="X867" s="1310" t="s">
        <v>1564</v>
      </c>
      <c r="Y867" s="1310" t="s">
        <v>1519</v>
      </c>
      <c r="Z867" s="1310" t="s">
        <v>131</v>
      </c>
      <c r="AA867" s="1310" t="s">
        <v>1636</v>
      </c>
      <c r="AB867" s="1310" t="s">
        <v>116</v>
      </c>
      <c r="AC867" s="1310" t="s">
        <v>262</v>
      </c>
      <c r="AD867" s="1310" t="s">
        <v>1548</v>
      </c>
      <c r="AE867" s="1310" t="s">
        <v>1550</v>
      </c>
      <c r="AF867" s="1310" t="s">
        <v>133</v>
      </c>
    </row>
    <row r="868" spans="1:32" x14ac:dyDescent="0.3">
      <c r="A868" s="1310" t="s">
        <v>465</v>
      </c>
      <c r="B868" s="1310" t="s">
        <v>1649</v>
      </c>
      <c r="C868" s="1310" t="s">
        <v>1027</v>
      </c>
      <c r="D868" s="1310" t="s">
        <v>1492</v>
      </c>
      <c r="E868" s="1310" t="s">
        <v>1508</v>
      </c>
      <c r="F868" s="1310" t="s">
        <v>1455</v>
      </c>
      <c r="G868" s="1310" t="s">
        <v>1615</v>
      </c>
      <c r="H868" s="1310" t="s">
        <v>1561</v>
      </c>
      <c r="I868" s="1310" t="s">
        <v>1657</v>
      </c>
      <c r="J868" s="1310" t="s">
        <v>1646</v>
      </c>
      <c r="K868" s="1310" t="s">
        <v>1599</v>
      </c>
      <c r="L868" s="1310" t="s">
        <v>1454</v>
      </c>
      <c r="M868" s="1310" t="s">
        <v>1490</v>
      </c>
      <c r="N868" s="1310" t="s">
        <v>1530</v>
      </c>
      <c r="O868" s="1310" t="s">
        <v>1529</v>
      </c>
      <c r="P868" s="1310" t="s">
        <v>1533</v>
      </c>
      <c r="Q868" s="1310" t="s">
        <v>1530</v>
      </c>
      <c r="R868" s="1310" t="s">
        <v>1549</v>
      </c>
      <c r="S868" s="1310" t="s">
        <v>1544</v>
      </c>
      <c r="T868" s="1310" t="s">
        <v>1632</v>
      </c>
      <c r="U868" s="1310" t="s">
        <v>1591</v>
      </c>
      <c r="V868" s="1310" t="s">
        <v>1657</v>
      </c>
      <c r="W868" s="1310" t="s">
        <v>125</v>
      </c>
      <c r="X868" s="1310" t="s">
        <v>1632</v>
      </c>
      <c r="Y868" s="1310" t="s">
        <v>471</v>
      </c>
      <c r="Z868" s="1310" t="s">
        <v>1655</v>
      </c>
      <c r="AA868" s="1310" t="s">
        <v>131</v>
      </c>
      <c r="AB868" s="1310" t="s">
        <v>1580</v>
      </c>
      <c r="AC868" s="1310" t="s">
        <v>1561</v>
      </c>
      <c r="AD868" s="1310" t="s">
        <v>1608</v>
      </c>
      <c r="AE868" s="1310" t="s">
        <v>116</v>
      </c>
      <c r="AF868" s="1310" t="s">
        <v>128</v>
      </c>
    </row>
    <row r="869" spans="1:32" x14ac:dyDescent="0.3">
      <c r="A869" s="1310" t="s">
        <v>1614</v>
      </c>
      <c r="B869" s="1310" t="s">
        <v>1622</v>
      </c>
      <c r="C869" s="1310" t="s">
        <v>1568</v>
      </c>
      <c r="D869" s="1310" t="s">
        <v>1590</v>
      </c>
      <c r="E869" s="1310" t="s">
        <v>1637</v>
      </c>
      <c r="F869" s="1310" t="s">
        <v>1499</v>
      </c>
      <c r="G869" s="1310" t="s">
        <v>1510</v>
      </c>
      <c r="H869" s="1310" t="s">
        <v>1637</v>
      </c>
      <c r="I869" s="1310" t="s">
        <v>1485</v>
      </c>
      <c r="J869" s="1310" t="s">
        <v>1575</v>
      </c>
      <c r="K869" s="1310" t="s">
        <v>1519</v>
      </c>
      <c r="L869" s="1310" t="s">
        <v>1550</v>
      </c>
      <c r="M869" s="1310" t="s">
        <v>1548</v>
      </c>
      <c r="N869" s="1310" t="s">
        <v>1446</v>
      </c>
      <c r="O869" s="1310" t="s">
        <v>1560</v>
      </c>
      <c r="P869" s="1310" t="s">
        <v>1470</v>
      </c>
      <c r="Q869" s="1310" t="s">
        <v>471</v>
      </c>
      <c r="R869" s="1310" t="s">
        <v>1604</v>
      </c>
      <c r="S869" s="1310" t="s">
        <v>1642</v>
      </c>
      <c r="T869" s="1310" t="s">
        <v>1527</v>
      </c>
      <c r="U869" s="1310" t="s">
        <v>1638</v>
      </c>
      <c r="V869" s="1310" t="s">
        <v>1657</v>
      </c>
      <c r="W869" s="1310" t="s">
        <v>1446</v>
      </c>
      <c r="X869" s="1310" t="s">
        <v>1550</v>
      </c>
      <c r="Y869" s="1310" t="s">
        <v>1486</v>
      </c>
      <c r="Z869" s="1310" t="s">
        <v>1525</v>
      </c>
      <c r="AA869" s="1310" t="s">
        <v>1593</v>
      </c>
      <c r="AB869" s="1310" t="s">
        <v>119</v>
      </c>
      <c r="AC869" s="1310" t="s">
        <v>1570</v>
      </c>
      <c r="AD869" s="1310" t="s">
        <v>1621</v>
      </c>
      <c r="AE869" s="1310" t="s">
        <v>1610</v>
      </c>
      <c r="AF869" s="1310" t="s">
        <v>1590</v>
      </c>
    </row>
    <row r="870" spans="1:32" x14ac:dyDescent="0.3">
      <c r="A870" s="1310" t="s">
        <v>1638</v>
      </c>
      <c r="B870" s="1310" t="s">
        <v>1560</v>
      </c>
      <c r="C870" s="1310" t="s">
        <v>1446</v>
      </c>
      <c r="D870" s="1310" t="s">
        <v>1639</v>
      </c>
      <c r="E870" s="1310" t="s">
        <v>1656</v>
      </c>
      <c r="F870" s="1310" t="s">
        <v>1459</v>
      </c>
      <c r="G870" s="1310" t="s">
        <v>1504</v>
      </c>
      <c r="H870" s="1310" t="s">
        <v>1504</v>
      </c>
      <c r="I870" s="1310" t="s">
        <v>1575</v>
      </c>
      <c r="J870" s="1310" t="s">
        <v>1603</v>
      </c>
      <c r="K870" s="1310" t="s">
        <v>1486</v>
      </c>
      <c r="L870" s="1310" t="s">
        <v>1512</v>
      </c>
      <c r="M870" s="1310" t="s">
        <v>1451</v>
      </c>
      <c r="N870" s="1310" t="s">
        <v>1444</v>
      </c>
      <c r="O870" s="1310" t="s">
        <v>1589</v>
      </c>
      <c r="P870" s="1310" t="s">
        <v>1528</v>
      </c>
      <c r="Q870" s="1310" t="s">
        <v>1572</v>
      </c>
      <c r="R870" s="1310" t="s">
        <v>1581</v>
      </c>
      <c r="S870" s="1310" t="s">
        <v>1630</v>
      </c>
      <c r="T870" s="1310" t="s">
        <v>1484</v>
      </c>
      <c r="U870" s="1310" t="s">
        <v>1498</v>
      </c>
      <c r="V870" s="1310" t="s">
        <v>1521</v>
      </c>
      <c r="W870" s="1310" t="s">
        <v>1473</v>
      </c>
      <c r="X870" s="1310" t="s">
        <v>127</v>
      </c>
      <c r="Y870" s="1310" t="s">
        <v>1506</v>
      </c>
      <c r="Z870" s="1310" t="s">
        <v>1459</v>
      </c>
      <c r="AA870" s="1310" t="s">
        <v>1649</v>
      </c>
      <c r="AB870" s="1310" t="s">
        <v>1595</v>
      </c>
      <c r="AC870" s="1310" t="s">
        <v>112</v>
      </c>
      <c r="AD870" s="1310" t="s">
        <v>1511</v>
      </c>
      <c r="AE870" s="1310" t="s">
        <v>1520</v>
      </c>
      <c r="AF870" s="1310" t="s">
        <v>119</v>
      </c>
    </row>
    <row r="871" spans="1:32" x14ac:dyDescent="0.3">
      <c r="A871" s="1310" t="s">
        <v>1447</v>
      </c>
      <c r="B871" s="1310" t="s">
        <v>130</v>
      </c>
      <c r="C871" s="1310" t="s">
        <v>1030</v>
      </c>
      <c r="D871" s="1310" t="s">
        <v>130</v>
      </c>
      <c r="E871" s="1310" t="s">
        <v>1597</v>
      </c>
      <c r="F871" s="1310" t="s">
        <v>1466</v>
      </c>
      <c r="G871" s="1310" t="s">
        <v>1447</v>
      </c>
      <c r="H871" s="1310" t="s">
        <v>1622</v>
      </c>
      <c r="I871" s="1310" t="s">
        <v>1568</v>
      </c>
      <c r="J871" s="1310" t="s">
        <v>1534</v>
      </c>
      <c r="K871" s="1310" t="s">
        <v>1555</v>
      </c>
      <c r="L871" s="1310" t="s">
        <v>1535</v>
      </c>
      <c r="M871" s="1310" t="s">
        <v>1608</v>
      </c>
      <c r="N871" s="1310" t="s">
        <v>1600</v>
      </c>
      <c r="O871" s="1310" t="s">
        <v>1570</v>
      </c>
      <c r="P871" s="1310" t="s">
        <v>1623</v>
      </c>
      <c r="Q871" s="1310" t="s">
        <v>113</v>
      </c>
      <c r="R871" s="1310" t="s">
        <v>1499</v>
      </c>
      <c r="S871" s="1310" t="s">
        <v>1642</v>
      </c>
      <c r="T871" s="1310" t="s">
        <v>1572</v>
      </c>
      <c r="U871" s="1310" t="s">
        <v>1605</v>
      </c>
      <c r="V871" s="1310" t="s">
        <v>1588</v>
      </c>
      <c r="W871" s="1310" t="s">
        <v>1531</v>
      </c>
      <c r="X871" s="1310" t="s">
        <v>1455</v>
      </c>
      <c r="Y871" s="1310" t="s">
        <v>1565</v>
      </c>
      <c r="Z871" s="1310" t="s">
        <v>1510</v>
      </c>
      <c r="AA871" s="1310" t="s">
        <v>1471</v>
      </c>
      <c r="AB871" s="1310" t="s">
        <v>1461</v>
      </c>
      <c r="AC871" s="1310" t="s">
        <v>1630</v>
      </c>
      <c r="AD871" s="1310" t="s">
        <v>1623</v>
      </c>
      <c r="AE871" s="1310" t="s">
        <v>1501</v>
      </c>
      <c r="AF871" s="1310" t="s">
        <v>1519</v>
      </c>
    </row>
    <row r="872" spans="1:32" x14ac:dyDescent="0.3">
      <c r="A872" s="1310" t="s">
        <v>1507</v>
      </c>
      <c r="B872" s="1310" t="s">
        <v>1571</v>
      </c>
      <c r="C872" s="1310" t="s">
        <v>1542</v>
      </c>
      <c r="D872" s="1310" t="s">
        <v>1498</v>
      </c>
      <c r="E872" s="1310" t="s">
        <v>1492</v>
      </c>
      <c r="F872" s="1310" t="s">
        <v>1633</v>
      </c>
      <c r="G872" s="1310" t="s">
        <v>1648</v>
      </c>
      <c r="H872" s="1310" t="s">
        <v>1517</v>
      </c>
      <c r="I872" s="1310" t="s">
        <v>1539</v>
      </c>
      <c r="J872" s="1310" t="s">
        <v>1638</v>
      </c>
      <c r="K872" s="1310" t="s">
        <v>1572</v>
      </c>
      <c r="L872" s="1310" t="s">
        <v>1513</v>
      </c>
      <c r="M872" s="1310" t="s">
        <v>1565</v>
      </c>
      <c r="N872" s="1310" t="s">
        <v>1546</v>
      </c>
      <c r="O872" s="1310" t="s">
        <v>1473</v>
      </c>
      <c r="P872" s="1310" t="s">
        <v>124</v>
      </c>
      <c r="Q872" s="1310" t="s">
        <v>1513</v>
      </c>
      <c r="R872" s="1310" t="s">
        <v>1583</v>
      </c>
      <c r="S872" s="1310" t="s">
        <v>1556</v>
      </c>
      <c r="T872" s="1310" t="s">
        <v>1482</v>
      </c>
      <c r="U872" s="1310" t="s">
        <v>1582</v>
      </c>
      <c r="V872" s="1310" t="s">
        <v>1653</v>
      </c>
      <c r="W872" s="1310" t="s">
        <v>1478</v>
      </c>
      <c r="X872" s="1310" t="s">
        <v>117</v>
      </c>
      <c r="Y872" s="1310" t="s">
        <v>1584</v>
      </c>
      <c r="Z872" s="1310" t="s">
        <v>1526</v>
      </c>
      <c r="AA872" s="1310" t="s">
        <v>1586</v>
      </c>
      <c r="AB872" s="1310" t="s">
        <v>1653</v>
      </c>
      <c r="AC872" s="1310" t="s">
        <v>1564</v>
      </c>
      <c r="AD872" s="1310" t="s">
        <v>1538</v>
      </c>
      <c r="AE872" s="1310" t="s">
        <v>1452</v>
      </c>
      <c r="AF872" s="1310" t="s">
        <v>1549</v>
      </c>
    </row>
    <row r="873" spans="1:32" x14ac:dyDescent="0.3">
      <c r="A873" s="1310" t="s">
        <v>1557</v>
      </c>
      <c r="B873" s="1310" t="s">
        <v>1588</v>
      </c>
      <c r="C873" s="1310" t="s">
        <v>1445</v>
      </c>
      <c r="D873" s="1310" t="s">
        <v>1577</v>
      </c>
      <c r="E873" s="1310" t="s">
        <v>1601</v>
      </c>
      <c r="F873" s="1310" t="s">
        <v>122</v>
      </c>
      <c r="G873" s="1310" t="s">
        <v>1645</v>
      </c>
      <c r="H873" s="1310" t="s">
        <v>1616</v>
      </c>
      <c r="I873" s="1310" t="s">
        <v>1659</v>
      </c>
      <c r="J873" s="1310" t="s">
        <v>1527</v>
      </c>
      <c r="K873" s="1310" t="s">
        <v>1570</v>
      </c>
      <c r="L873" s="1310" t="s">
        <v>1550</v>
      </c>
      <c r="M873" s="1310" t="s">
        <v>1564</v>
      </c>
      <c r="N873" s="1310" t="s">
        <v>1542</v>
      </c>
      <c r="O873" s="1310" t="s">
        <v>127</v>
      </c>
      <c r="P873" s="1310" t="s">
        <v>1650</v>
      </c>
      <c r="Q873" s="1310" t="s">
        <v>1570</v>
      </c>
      <c r="R873" s="1310" t="s">
        <v>1488</v>
      </c>
      <c r="S873" s="1310" t="s">
        <v>120</v>
      </c>
      <c r="T873" s="1310" t="s">
        <v>1613</v>
      </c>
      <c r="U873" s="1310" t="s">
        <v>1486</v>
      </c>
      <c r="V873" s="1310" t="s">
        <v>1452</v>
      </c>
      <c r="W873" s="1310" t="s">
        <v>1533</v>
      </c>
      <c r="X873" s="1310" t="s">
        <v>1497</v>
      </c>
      <c r="Y873" s="1310" t="s">
        <v>1595</v>
      </c>
      <c r="Z873" s="1310" t="s">
        <v>1552</v>
      </c>
      <c r="AA873" s="1310" t="s">
        <v>125</v>
      </c>
      <c r="AB873" s="1310" t="s">
        <v>1595</v>
      </c>
      <c r="AC873" s="1310" t="s">
        <v>1634</v>
      </c>
      <c r="AD873" s="1310" t="s">
        <v>1575</v>
      </c>
      <c r="AE873" s="1310" t="s">
        <v>1486</v>
      </c>
      <c r="AF873" s="1310" t="s">
        <v>1490</v>
      </c>
    </row>
    <row r="874" spans="1:32" x14ac:dyDescent="0.3">
      <c r="A874" s="1310" t="s">
        <v>1580</v>
      </c>
      <c r="B874" s="1310" t="s">
        <v>1557</v>
      </c>
      <c r="C874" s="1310" t="s">
        <v>1627</v>
      </c>
      <c r="D874" s="1310" t="s">
        <v>1614</v>
      </c>
      <c r="E874" s="1310" t="s">
        <v>1594</v>
      </c>
      <c r="F874" s="1310" t="s">
        <v>128</v>
      </c>
      <c r="G874" s="1310" t="s">
        <v>1569</v>
      </c>
      <c r="H874" s="1310" t="s">
        <v>1449</v>
      </c>
      <c r="I874" s="1310" t="s">
        <v>1594</v>
      </c>
      <c r="J874" s="1310" t="s">
        <v>1518</v>
      </c>
      <c r="K874" s="1310" t="s">
        <v>1593</v>
      </c>
      <c r="L874" s="1310" t="s">
        <v>1615</v>
      </c>
      <c r="M874" s="1310" t="s">
        <v>110</v>
      </c>
      <c r="N874" s="1310" t="s">
        <v>1603</v>
      </c>
      <c r="O874" s="1310" t="s">
        <v>1656</v>
      </c>
      <c r="P874" s="1310" t="s">
        <v>1613</v>
      </c>
      <c r="Q874" s="1310" t="s">
        <v>1606</v>
      </c>
      <c r="R874" s="1310" t="s">
        <v>1468</v>
      </c>
      <c r="S874" s="1310" t="s">
        <v>1596</v>
      </c>
      <c r="T874" s="1310" t="s">
        <v>1638</v>
      </c>
      <c r="U874" s="1310" t="s">
        <v>1618</v>
      </c>
      <c r="V874" s="1310" t="s">
        <v>1521</v>
      </c>
      <c r="W874" s="1310" t="s">
        <v>1610</v>
      </c>
      <c r="X874" s="1310" t="s">
        <v>1581</v>
      </c>
      <c r="Y874" s="1310" t="s">
        <v>113</v>
      </c>
      <c r="Z874" s="1310" t="s">
        <v>1581</v>
      </c>
      <c r="AA874" s="1310" t="s">
        <v>1630</v>
      </c>
      <c r="AB874" s="1310" t="s">
        <v>1558</v>
      </c>
      <c r="AC874" s="1310" t="s">
        <v>1646</v>
      </c>
      <c r="AD874" s="1310" t="s">
        <v>1551</v>
      </c>
      <c r="AE874" s="1310" t="s">
        <v>1447</v>
      </c>
      <c r="AF874" s="1310" t="s">
        <v>122</v>
      </c>
    </row>
    <row r="875" spans="1:32" x14ac:dyDescent="0.3">
      <c r="A875" s="1310" t="s">
        <v>127</v>
      </c>
      <c r="B875" s="1310" t="s">
        <v>1601</v>
      </c>
      <c r="C875" s="1310" t="s">
        <v>1577</v>
      </c>
      <c r="D875" s="1310" t="s">
        <v>1529</v>
      </c>
      <c r="E875" s="1310" t="s">
        <v>1478</v>
      </c>
      <c r="F875" s="1310" t="s">
        <v>1452</v>
      </c>
      <c r="G875" s="1310" t="s">
        <v>1638</v>
      </c>
      <c r="H875" s="1310" t="s">
        <v>115</v>
      </c>
      <c r="I875" s="1310" t="s">
        <v>1568</v>
      </c>
      <c r="J875" s="1310" t="s">
        <v>1566</v>
      </c>
      <c r="K875" s="1310" t="s">
        <v>1462</v>
      </c>
      <c r="L875" s="1310" t="s">
        <v>1485</v>
      </c>
      <c r="M875" s="1310" t="s">
        <v>1454</v>
      </c>
      <c r="N875" s="1310" t="s">
        <v>1655</v>
      </c>
      <c r="O875" s="1310" t="s">
        <v>121</v>
      </c>
      <c r="P875" s="1310" t="s">
        <v>1567</v>
      </c>
      <c r="Q875" s="1310" t="s">
        <v>268</v>
      </c>
      <c r="R875" s="1310" t="s">
        <v>268</v>
      </c>
      <c r="S875" s="1310" t="s">
        <v>1657</v>
      </c>
      <c r="T875" s="1310" t="s">
        <v>1528</v>
      </c>
      <c r="U875" s="1310" t="s">
        <v>1452</v>
      </c>
      <c r="V875" s="1310" t="s">
        <v>1637</v>
      </c>
      <c r="W875" s="1310" t="s">
        <v>1643</v>
      </c>
      <c r="X875" s="1310" t="s">
        <v>1603</v>
      </c>
      <c r="Y875" s="1310" t="s">
        <v>1629</v>
      </c>
      <c r="Z875" s="1310" t="s">
        <v>1633</v>
      </c>
      <c r="AA875" s="1310" t="s">
        <v>1479</v>
      </c>
      <c r="AB875" s="1310" t="s">
        <v>1562</v>
      </c>
      <c r="AC875" s="1310" t="s">
        <v>1465</v>
      </c>
      <c r="AD875" s="1310" t="s">
        <v>1651</v>
      </c>
      <c r="AE875" s="1310" t="s">
        <v>1608</v>
      </c>
      <c r="AF875" s="1310" t="s">
        <v>129</v>
      </c>
    </row>
    <row r="876" spans="1:32" x14ac:dyDescent="0.3">
      <c r="A876" s="1310" t="s">
        <v>1622</v>
      </c>
      <c r="B876" s="1310" t="s">
        <v>1479</v>
      </c>
      <c r="C876" s="1310" t="s">
        <v>1521</v>
      </c>
      <c r="D876" s="1310" t="s">
        <v>1529</v>
      </c>
      <c r="E876" s="1310" t="s">
        <v>1621</v>
      </c>
      <c r="F876" s="1310" t="s">
        <v>1479</v>
      </c>
      <c r="G876" s="1310" t="s">
        <v>1644</v>
      </c>
      <c r="H876" s="1310" t="s">
        <v>1464</v>
      </c>
      <c r="I876" s="1310" t="s">
        <v>1628</v>
      </c>
      <c r="J876" s="1310" t="s">
        <v>124</v>
      </c>
      <c r="K876" s="1310" t="s">
        <v>1519</v>
      </c>
      <c r="L876" s="1310" t="s">
        <v>1525</v>
      </c>
      <c r="M876" s="1310" t="s">
        <v>1445</v>
      </c>
      <c r="N876" s="1310" t="s">
        <v>1627</v>
      </c>
      <c r="O876" s="1310" t="s">
        <v>131</v>
      </c>
      <c r="P876" s="1310" t="s">
        <v>1443</v>
      </c>
      <c r="Q876" s="1310" t="s">
        <v>1450</v>
      </c>
      <c r="R876" s="1310" t="s">
        <v>1620</v>
      </c>
      <c r="S876" s="1310" t="s">
        <v>1613</v>
      </c>
      <c r="T876" s="1310" t="s">
        <v>1580</v>
      </c>
      <c r="U876" s="1310" t="s">
        <v>1481</v>
      </c>
      <c r="V876" s="1310" t="s">
        <v>132</v>
      </c>
      <c r="W876" s="1310" t="s">
        <v>1541</v>
      </c>
      <c r="X876" s="1310" t="s">
        <v>1596</v>
      </c>
      <c r="Y876" s="1310" t="s">
        <v>1590</v>
      </c>
      <c r="Z876" s="1310" t="s">
        <v>1654</v>
      </c>
      <c r="AA876" s="1310" t="s">
        <v>1457</v>
      </c>
      <c r="AB876" s="1310" t="s">
        <v>6</v>
      </c>
      <c r="AC876" s="1310" t="s">
        <v>1527</v>
      </c>
      <c r="AD876" s="1310" t="s">
        <v>122</v>
      </c>
      <c r="AE876" s="1310" t="s">
        <v>1660</v>
      </c>
      <c r="AF876" s="1310" t="s">
        <v>1549</v>
      </c>
    </row>
    <row r="877" spans="1:32" x14ac:dyDescent="0.3">
      <c r="A877" s="1310" t="s">
        <v>110</v>
      </c>
      <c r="B877" s="1310" t="s">
        <v>1659</v>
      </c>
      <c r="C877" s="1310" t="s">
        <v>1457</v>
      </c>
      <c r="D877" s="1310" t="s">
        <v>1533</v>
      </c>
      <c r="E877" s="1310" t="s">
        <v>1512</v>
      </c>
      <c r="F877" s="1310" t="s">
        <v>1619</v>
      </c>
      <c r="G877" s="1310" t="s">
        <v>1619</v>
      </c>
      <c r="H877" s="1310" t="s">
        <v>1457</v>
      </c>
      <c r="I877" s="1310" t="s">
        <v>1533</v>
      </c>
      <c r="J877" s="1310" t="s">
        <v>1590</v>
      </c>
      <c r="K877" s="1310" t="s">
        <v>1504</v>
      </c>
      <c r="L877" s="1310" t="s">
        <v>1566</v>
      </c>
      <c r="M877" s="1310" t="s">
        <v>1660</v>
      </c>
      <c r="N877" s="1310" t="s">
        <v>1527</v>
      </c>
      <c r="O877" s="1310" t="s">
        <v>1548</v>
      </c>
      <c r="P877" s="1310" t="s">
        <v>1640</v>
      </c>
      <c r="Q877" s="1310" t="s">
        <v>1547</v>
      </c>
      <c r="R877" s="1310" t="s">
        <v>1529</v>
      </c>
      <c r="S877" s="1310" t="s">
        <v>1659</v>
      </c>
      <c r="T877" s="1310" t="s">
        <v>1593</v>
      </c>
      <c r="U877" s="1310" t="s">
        <v>1474</v>
      </c>
      <c r="V877" s="1310" t="s">
        <v>1455</v>
      </c>
      <c r="W877" s="1310" t="s">
        <v>1592</v>
      </c>
      <c r="X877" s="1310" t="s">
        <v>1574</v>
      </c>
      <c r="Y877" s="1310" t="s">
        <v>1515</v>
      </c>
      <c r="Z877" s="1310" t="s">
        <v>133</v>
      </c>
      <c r="AA877" s="1310" t="s">
        <v>1529</v>
      </c>
      <c r="AB877" s="1310" t="s">
        <v>1448</v>
      </c>
      <c r="AC877" s="1310" t="s">
        <v>1473</v>
      </c>
      <c r="AD877" s="1310" t="s">
        <v>1589</v>
      </c>
      <c r="AE877" s="1310" t="s">
        <v>1590</v>
      </c>
      <c r="AF877" s="1310" t="s">
        <v>1464</v>
      </c>
    </row>
    <row r="878" spans="1:32" x14ac:dyDescent="0.3">
      <c r="A878" s="1310" t="s">
        <v>1591</v>
      </c>
      <c r="B878" s="1310" t="s">
        <v>1481</v>
      </c>
      <c r="C878" s="1310" t="s">
        <v>1628</v>
      </c>
      <c r="D878" s="1310" t="s">
        <v>1531</v>
      </c>
      <c r="E878" s="1310" t="s">
        <v>1660</v>
      </c>
      <c r="F878" s="1310" t="s">
        <v>1455</v>
      </c>
      <c r="G878" s="1310" t="s">
        <v>1489</v>
      </c>
      <c r="H878" s="1310" t="s">
        <v>1473</v>
      </c>
      <c r="I878" s="1310" t="s">
        <v>1605</v>
      </c>
      <c r="J878" s="1310" t="s">
        <v>1564</v>
      </c>
      <c r="K878" s="1310" t="s">
        <v>1507</v>
      </c>
      <c r="L878" s="1310" t="s">
        <v>1509</v>
      </c>
      <c r="M878" s="1310" t="s">
        <v>1499</v>
      </c>
      <c r="N878" s="1310" t="s">
        <v>1592</v>
      </c>
      <c r="O878" s="1310" t="s">
        <v>1601</v>
      </c>
      <c r="P878" s="1310" t="s">
        <v>1549</v>
      </c>
      <c r="Q878" s="1310" t="s">
        <v>112</v>
      </c>
      <c r="R878" s="1310" t="s">
        <v>1656</v>
      </c>
      <c r="S878" s="1310" t="s">
        <v>1642</v>
      </c>
      <c r="T878" s="1310" t="s">
        <v>1473</v>
      </c>
      <c r="U878" s="1310" t="s">
        <v>1475</v>
      </c>
      <c r="V878" s="1310" t="s">
        <v>1515</v>
      </c>
      <c r="W878" s="1310" t="s">
        <v>1510</v>
      </c>
      <c r="X878" s="1310" t="s">
        <v>1509</v>
      </c>
      <c r="Y878" s="1310" t="s">
        <v>1569</v>
      </c>
      <c r="Z878" s="1310" t="s">
        <v>1565</v>
      </c>
      <c r="AA878" s="1310" t="s">
        <v>1624</v>
      </c>
      <c r="AB878" s="1310" t="s">
        <v>1565</v>
      </c>
      <c r="AC878" s="1310" t="s">
        <v>1638</v>
      </c>
      <c r="AD878" s="1310" t="s">
        <v>1614</v>
      </c>
      <c r="AE878" s="1310" t="s">
        <v>1477</v>
      </c>
      <c r="AF878" s="1310" t="s">
        <v>1589</v>
      </c>
    </row>
    <row r="879" spans="1:32" x14ac:dyDescent="0.3">
      <c r="A879" s="1310" t="s">
        <v>1567</v>
      </c>
      <c r="B879" s="1310" t="s">
        <v>1655</v>
      </c>
      <c r="C879" s="1310" t="s">
        <v>471</v>
      </c>
      <c r="D879" s="1310" t="s">
        <v>1468</v>
      </c>
      <c r="E879" s="1310" t="s">
        <v>125</v>
      </c>
      <c r="F879" s="1310" t="s">
        <v>131</v>
      </c>
      <c r="G879" s="1310" t="s">
        <v>1655</v>
      </c>
      <c r="H879" s="1310" t="s">
        <v>1583</v>
      </c>
      <c r="I879" s="1310" t="s">
        <v>1559</v>
      </c>
      <c r="J879" s="1310" t="s">
        <v>1645</v>
      </c>
      <c r="K879" s="1310" t="s">
        <v>1486</v>
      </c>
      <c r="L879" s="1310" t="s">
        <v>1636</v>
      </c>
      <c r="M879" s="1310" t="s">
        <v>1527</v>
      </c>
      <c r="N879" s="1310" t="s">
        <v>1635</v>
      </c>
      <c r="O879" s="1310" t="s">
        <v>1546</v>
      </c>
      <c r="P879" s="1310" t="s">
        <v>1540</v>
      </c>
      <c r="Q879" s="1310" t="s">
        <v>1606</v>
      </c>
      <c r="R879" s="1310" t="s">
        <v>1492</v>
      </c>
      <c r="S879" s="1310" t="s">
        <v>1485</v>
      </c>
      <c r="T879" s="1310" t="s">
        <v>1563</v>
      </c>
      <c r="U879" s="1310" t="s">
        <v>1642</v>
      </c>
      <c r="V879" s="1310" t="s">
        <v>1547</v>
      </c>
      <c r="W879" s="1310" t="s">
        <v>129</v>
      </c>
      <c r="X879" s="1310" t="s">
        <v>1489</v>
      </c>
      <c r="Y879" s="1310" t="s">
        <v>123</v>
      </c>
      <c r="Z879" s="1310" t="s">
        <v>1457</v>
      </c>
      <c r="AA879" s="1310" t="s">
        <v>1571</v>
      </c>
      <c r="AB879" s="1310" t="s">
        <v>1533</v>
      </c>
      <c r="AC879" s="1310" t="s">
        <v>1576</v>
      </c>
      <c r="AD879" s="1310" t="s">
        <v>1603</v>
      </c>
      <c r="AE879" s="1310" t="s">
        <v>1554</v>
      </c>
      <c r="AF879" s="1310" t="s">
        <v>1655</v>
      </c>
    </row>
    <row r="880" spans="1:32" x14ac:dyDescent="0.3">
      <c r="A880" s="1310" t="s">
        <v>1540</v>
      </c>
      <c r="B880" s="1310" t="s">
        <v>1494</v>
      </c>
      <c r="C880" s="1310" t="s">
        <v>1466</v>
      </c>
      <c r="D880" s="1310" t="s">
        <v>1599</v>
      </c>
      <c r="E880" s="1310" t="s">
        <v>1549</v>
      </c>
      <c r="F880" s="1310" t="s">
        <v>1467</v>
      </c>
      <c r="G880" s="1310" t="s">
        <v>1639</v>
      </c>
      <c r="H880" s="1310" t="s">
        <v>1575</v>
      </c>
      <c r="I880" s="1310" t="s">
        <v>465</v>
      </c>
      <c r="J880" s="1310" t="s">
        <v>1655</v>
      </c>
      <c r="K880" s="1310" t="s">
        <v>1503</v>
      </c>
      <c r="L880" s="1310" t="s">
        <v>1532</v>
      </c>
      <c r="M880" s="1310" t="s">
        <v>1567</v>
      </c>
      <c r="N880" s="1310" t="s">
        <v>1632</v>
      </c>
      <c r="O880" s="1310" t="s">
        <v>126</v>
      </c>
      <c r="P880" s="1310" t="s">
        <v>1447</v>
      </c>
      <c r="Q880" s="1310" t="s">
        <v>1521</v>
      </c>
      <c r="R880" s="1310" t="s">
        <v>1600</v>
      </c>
      <c r="S880" s="1310" t="s">
        <v>1502</v>
      </c>
      <c r="T880" s="1310" t="s">
        <v>1573</v>
      </c>
      <c r="U880" s="1310" t="s">
        <v>1622</v>
      </c>
      <c r="V880" s="1310" t="s">
        <v>1630</v>
      </c>
      <c r="W880" s="1310" t="s">
        <v>1613</v>
      </c>
      <c r="X880" s="1310" t="s">
        <v>1651</v>
      </c>
      <c r="Y880" s="1310" t="s">
        <v>265</v>
      </c>
      <c r="Z880" s="1310" t="s">
        <v>1531</v>
      </c>
      <c r="AA880" s="1310" t="s">
        <v>1612</v>
      </c>
      <c r="AB880" s="1310" t="s">
        <v>1578</v>
      </c>
      <c r="AC880" s="1310" t="s">
        <v>1556</v>
      </c>
      <c r="AD880" s="1310" t="s">
        <v>1608</v>
      </c>
      <c r="AE880" s="1310" t="s">
        <v>1452</v>
      </c>
      <c r="AF880" s="1310" t="s">
        <v>471</v>
      </c>
    </row>
    <row r="881" spans="1:32" x14ac:dyDescent="0.3">
      <c r="A881" s="1310" t="s">
        <v>1603</v>
      </c>
      <c r="B881" s="1310" t="s">
        <v>1453</v>
      </c>
      <c r="C881" s="1310" t="s">
        <v>1535</v>
      </c>
      <c r="D881" s="1310" t="s">
        <v>1485</v>
      </c>
      <c r="E881" s="1310" t="s">
        <v>120</v>
      </c>
      <c r="F881" s="1310" t="s">
        <v>1548</v>
      </c>
      <c r="G881" s="1310" t="s">
        <v>1550</v>
      </c>
      <c r="H881" s="1310" t="s">
        <v>131</v>
      </c>
      <c r="I881" s="1310" t="s">
        <v>1465</v>
      </c>
      <c r="J881" s="1310" t="s">
        <v>1571</v>
      </c>
      <c r="K881" s="1310" t="s">
        <v>1491</v>
      </c>
      <c r="L881" s="1310" t="s">
        <v>1658</v>
      </c>
      <c r="M881" s="1310" t="s">
        <v>1465</v>
      </c>
      <c r="N881" s="1310" t="s">
        <v>1621</v>
      </c>
      <c r="O881" s="1310" t="s">
        <v>1516</v>
      </c>
      <c r="P881" s="1310" t="s">
        <v>1535</v>
      </c>
      <c r="Q881" s="1310" t="s">
        <v>1631</v>
      </c>
      <c r="R881" s="1310" t="s">
        <v>1475</v>
      </c>
      <c r="S881" s="1310" t="s">
        <v>1636</v>
      </c>
      <c r="T881" s="1310" t="s">
        <v>1603</v>
      </c>
      <c r="U881" s="1310" t="s">
        <v>1541</v>
      </c>
      <c r="V881" s="1310" t="s">
        <v>1580</v>
      </c>
      <c r="W881" s="1310" t="s">
        <v>1540</v>
      </c>
      <c r="X881" s="1310" t="s">
        <v>1462</v>
      </c>
      <c r="Y881" s="1310" t="s">
        <v>1590</v>
      </c>
      <c r="Z881" s="1310" t="s">
        <v>1603</v>
      </c>
      <c r="AA881" s="1310" t="s">
        <v>267</v>
      </c>
      <c r="AB881" s="1310" t="s">
        <v>1552</v>
      </c>
      <c r="AC881" s="1310" t="s">
        <v>1581</v>
      </c>
      <c r="AD881" s="1310" t="s">
        <v>1623</v>
      </c>
      <c r="AE881" s="1310" t="s">
        <v>1583</v>
      </c>
      <c r="AF881" s="1310" t="s">
        <v>1527</v>
      </c>
    </row>
    <row r="882" spans="1:32" x14ac:dyDescent="0.3">
      <c r="A882" s="1310" t="s">
        <v>132</v>
      </c>
      <c r="B882" s="1310" t="s">
        <v>1513</v>
      </c>
      <c r="C882" s="1310" t="s">
        <v>1569</v>
      </c>
      <c r="D882" s="1310" t="s">
        <v>1561</v>
      </c>
      <c r="E882" s="1310" t="s">
        <v>1603</v>
      </c>
      <c r="F882" s="1310" t="s">
        <v>1570</v>
      </c>
      <c r="G882" s="1310" t="s">
        <v>1605</v>
      </c>
      <c r="H882" s="1310" t="s">
        <v>1610</v>
      </c>
      <c r="I882" s="1310" t="s">
        <v>1575</v>
      </c>
      <c r="J882" s="1310" t="s">
        <v>1649</v>
      </c>
      <c r="K882" s="1310" t="s">
        <v>1654</v>
      </c>
      <c r="L882" s="1310" t="s">
        <v>1656</v>
      </c>
      <c r="M882" s="1310" t="s">
        <v>1533</v>
      </c>
      <c r="N882" s="1310" t="s">
        <v>1647</v>
      </c>
      <c r="O882" s="1310" t="s">
        <v>1653</v>
      </c>
      <c r="P882" s="1310" t="s">
        <v>131</v>
      </c>
      <c r="Q882" s="1310" t="s">
        <v>1621</v>
      </c>
      <c r="R882" s="1310" t="s">
        <v>1530</v>
      </c>
      <c r="S882" s="1310" t="s">
        <v>1466</v>
      </c>
      <c r="T882" s="1310" t="s">
        <v>1549</v>
      </c>
      <c r="U882" s="1310" t="s">
        <v>1478</v>
      </c>
      <c r="V882" s="1310" t="s">
        <v>131</v>
      </c>
      <c r="W882" s="1310" t="s">
        <v>130</v>
      </c>
      <c r="X882" s="1310" t="s">
        <v>1558</v>
      </c>
      <c r="Y882" s="1310" t="s">
        <v>1506</v>
      </c>
      <c r="Z882" s="1310" t="s">
        <v>1586</v>
      </c>
      <c r="AA882" s="1310" t="s">
        <v>119</v>
      </c>
      <c r="AB882" s="1310" t="s">
        <v>123</v>
      </c>
      <c r="AC882" s="1310" t="s">
        <v>1461</v>
      </c>
      <c r="AD882" s="1310" t="s">
        <v>1591</v>
      </c>
      <c r="AE882" s="1310" t="s">
        <v>126</v>
      </c>
      <c r="AF882" s="1310" t="s">
        <v>1500</v>
      </c>
    </row>
    <row r="883" spans="1:32" x14ac:dyDescent="0.3">
      <c r="A883" s="1310" t="s">
        <v>1571</v>
      </c>
      <c r="B883" s="1310" t="s">
        <v>268</v>
      </c>
      <c r="C883" s="1310" t="s">
        <v>1492</v>
      </c>
      <c r="D883" s="1310" t="s">
        <v>1625</v>
      </c>
      <c r="E883" s="1310" t="s">
        <v>1614</v>
      </c>
      <c r="F883" s="1310" t="s">
        <v>1568</v>
      </c>
      <c r="G883" s="1310" t="s">
        <v>125</v>
      </c>
      <c r="H883" s="1310" t="s">
        <v>128</v>
      </c>
      <c r="I883" s="1310" t="s">
        <v>1495</v>
      </c>
      <c r="J883" s="1310" t="s">
        <v>1577</v>
      </c>
      <c r="K883" s="1310" t="s">
        <v>1459</v>
      </c>
      <c r="L883" s="1310" t="s">
        <v>1493</v>
      </c>
      <c r="M883" s="1310" t="s">
        <v>1573</v>
      </c>
      <c r="N883" s="1310" t="s">
        <v>1463</v>
      </c>
      <c r="O883" s="1310" t="s">
        <v>1451</v>
      </c>
      <c r="P883" s="1310" t="s">
        <v>268</v>
      </c>
      <c r="Q883" s="1310" t="s">
        <v>1565</v>
      </c>
      <c r="R883" s="1310" t="s">
        <v>1446</v>
      </c>
      <c r="S883" s="1310" t="s">
        <v>1617</v>
      </c>
      <c r="T883" s="1310" t="s">
        <v>1511</v>
      </c>
      <c r="U883" s="1310" t="s">
        <v>114</v>
      </c>
      <c r="V883" s="1310" t="s">
        <v>1579</v>
      </c>
      <c r="W883" s="1310" t="s">
        <v>1521</v>
      </c>
      <c r="X883" s="1310" t="s">
        <v>1610</v>
      </c>
      <c r="Y883" s="1310" t="s">
        <v>1447</v>
      </c>
      <c r="Z883" s="1310" t="s">
        <v>1607</v>
      </c>
      <c r="AA883" s="1310" t="s">
        <v>1500</v>
      </c>
      <c r="AB883" s="1310" t="s">
        <v>1517</v>
      </c>
      <c r="AC883" s="1310" t="s">
        <v>1584</v>
      </c>
      <c r="AD883" s="1310" t="s">
        <v>1535</v>
      </c>
      <c r="AE883" s="1310" t="s">
        <v>1448</v>
      </c>
      <c r="AF883" s="1310" t="s">
        <v>1522</v>
      </c>
    </row>
    <row r="884" spans="1:32" x14ac:dyDescent="0.3">
      <c r="A884" s="1310" t="s">
        <v>1549</v>
      </c>
      <c r="B884" s="1310" t="s">
        <v>1631</v>
      </c>
      <c r="C884" s="1310" t="s">
        <v>1637</v>
      </c>
      <c r="D884" s="1310" t="s">
        <v>1506</v>
      </c>
      <c r="E884" s="1310" t="s">
        <v>1610</v>
      </c>
      <c r="F884" s="1310" t="s">
        <v>1587</v>
      </c>
      <c r="G884" s="1310" t="s">
        <v>1515</v>
      </c>
      <c r="H884" s="1310" t="s">
        <v>1570</v>
      </c>
      <c r="I884" s="1310" t="s">
        <v>1627</v>
      </c>
      <c r="J884" s="1310" t="s">
        <v>110</v>
      </c>
      <c r="K884" s="1310" t="s">
        <v>269</v>
      </c>
      <c r="L884" s="1310" t="s">
        <v>124</v>
      </c>
      <c r="M884" s="1310" t="s">
        <v>1623</v>
      </c>
      <c r="N884" s="1310" t="s">
        <v>1507</v>
      </c>
      <c r="O884" s="1310" t="s">
        <v>1656</v>
      </c>
      <c r="P884" s="1310" t="s">
        <v>1584</v>
      </c>
      <c r="Q884" s="1310" t="s">
        <v>1650</v>
      </c>
      <c r="R884" s="1310" t="s">
        <v>1626</v>
      </c>
      <c r="S884" s="1310" t="s">
        <v>1494</v>
      </c>
      <c r="T884" s="1310" t="s">
        <v>1596</v>
      </c>
      <c r="U884" s="1310" t="s">
        <v>1620</v>
      </c>
      <c r="V884" s="1310" t="s">
        <v>1582</v>
      </c>
      <c r="W884" s="1310" t="s">
        <v>128</v>
      </c>
      <c r="X884" s="1310" t="s">
        <v>1601</v>
      </c>
      <c r="Y884" s="1310" t="s">
        <v>1563</v>
      </c>
      <c r="Z884" s="1310" t="s">
        <v>1503</v>
      </c>
      <c r="AA884" s="1310" t="s">
        <v>130</v>
      </c>
      <c r="AB884" s="1310" t="s">
        <v>1534</v>
      </c>
      <c r="AC884" s="1310" t="s">
        <v>1486</v>
      </c>
      <c r="AD884" s="1310" t="s">
        <v>1647</v>
      </c>
      <c r="AE884" s="1310" t="s">
        <v>1593</v>
      </c>
      <c r="AF884" s="1310" t="s">
        <v>1510</v>
      </c>
    </row>
    <row r="885" spans="1:32" x14ac:dyDescent="0.3">
      <c r="A885" s="1310" t="s">
        <v>1561</v>
      </c>
      <c r="B885" s="1310" t="s">
        <v>1590</v>
      </c>
      <c r="C885" s="1310" t="s">
        <v>1570</v>
      </c>
      <c r="D885" s="1310" t="s">
        <v>1573</v>
      </c>
      <c r="E885" s="1310" t="s">
        <v>1551</v>
      </c>
      <c r="F885" s="1310" t="s">
        <v>1577</v>
      </c>
      <c r="G885" s="1310" t="s">
        <v>1608</v>
      </c>
      <c r="H885" s="1310" t="s">
        <v>1629</v>
      </c>
      <c r="I885" s="1310" t="s">
        <v>1492</v>
      </c>
      <c r="J885" s="1310" t="s">
        <v>1644</v>
      </c>
      <c r="K885" s="1310" t="s">
        <v>1543</v>
      </c>
      <c r="L885" s="1310" t="s">
        <v>1456</v>
      </c>
      <c r="M885" s="1310" t="s">
        <v>1631</v>
      </c>
      <c r="N885" s="1310" t="s">
        <v>1470</v>
      </c>
      <c r="O885" s="1310" t="s">
        <v>1533</v>
      </c>
      <c r="P885" s="1310" t="s">
        <v>1558</v>
      </c>
      <c r="Q885" s="1310" t="s">
        <v>1566</v>
      </c>
      <c r="R885" s="1310" t="s">
        <v>1629</v>
      </c>
      <c r="S885" s="1310" t="s">
        <v>1567</v>
      </c>
      <c r="T885" s="1310" t="s">
        <v>1567</v>
      </c>
      <c r="U885" s="1310" t="s">
        <v>1027</v>
      </c>
      <c r="V885" s="1310" t="s">
        <v>1595</v>
      </c>
      <c r="W885" s="1310" t="s">
        <v>1515</v>
      </c>
      <c r="X885" s="1310" t="s">
        <v>1586</v>
      </c>
      <c r="Y885" s="1310" t="s">
        <v>1599</v>
      </c>
      <c r="Z885" s="1310" t="s">
        <v>1514</v>
      </c>
      <c r="AA885" s="1310" t="s">
        <v>1595</v>
      </c>
      <c r="AB885" s="1310" t="s">
        <v>1492</v>
      </c>
      <c r="AC885" s="1310" t="s">
        <v>1549</v>
      </c>
      <c r="AD885" s="1310" t="s">
        <v>120</v>
      </c>
      <c r="AE885" s="1310" t="s">
        <v>1616</v>
      </c>
      <c r="AF885" s="1310" t="s">
        <v>263</v>
      </c>
    </row>
    <row r="886" spans="1:32" x14ac:dyDescent="0.3">
      <c r="A886" s="1310" t="s">
        <v>1549</v>
      </c>
      <c r="B886" s="1310" t="s">
        <v>1518</v>
      </c>
      <c r="C886" s="1310" t="s">
        <v>1609</v>
      </c>
      <c r="D886" s="1310" t="s">
        <v>1613</v>
      </c>
      <c r="E886" s="1310" t="s">
        <v>1488</v>
      </c>
      <c r="F886" s="1310" t="s">
        <v>1557</v>
      </c>
      <c r="G886" s="1310" t="s">
        <v>1468</v>
      </c>
      <c r="H886" s="1310" t="s">
        <v>1477</v>
      </c>
      <c r="I886" s="1310" t="s">
        <v>1570</v>
      </c>
      <c r="J886" s="1310" t="s">
        <v>1524</v>
      </c>
      <c r="K886" s="1310" t="s">
        <v>266</v>
      </c>
      <c r="L886" s="1310" t="s">
        <v>1565</v>
      </c>
      <c r="M886" s="1310" t="s">
        <v>1630</v>
      </c>
      <c r="N886" s="1310" t="s">
        <v>123</v>
      </c>
      <c r="O886" s="1310" t="s">
        <v>1448</v>
      </c>
      <c r="P886" s="1310" t="s">
        <v>1551</v>
      </c>
      <c r="Q886" s="1310" t="s">
        <v>1602</v>
      </c>
      <c r="R886" s="1310" t="s">
        <v>1625</v>
      </c>
      <c r="S886" s="1310" t="s">
        <v>1521</v>
      </c>
      <c r="T886" s="1310" t="s">
        <v>1568</v>
      </c>
      <c r="U886" s="1310" t="s">
        <v>1629</v>
      </c>
      <c r="V886" s="1310" t="s">
        <v>1590</v>
      </c>
      <c r="W886" s="1310" t="s">
        <v>1656</v>
      </c>
      <c r="X886" s="1310" t="s">
        <v>1468</v>
      </c>
      <c r="Y886" s="1310" t="s">
        <v>1631</v>
      </c>
      <c r="Z886" s="1310" t="s">
        <v>1655</v>
      </c>
      <c r="AA886" s="1310" t="s">
        <v>1601</v>
      </c>
      <c r="AB886" s="1310" t="s">
        <v>1030</v>
      </c>
      <c r="AC886" s="1310" t="s">
        <v>1637</v>
      </c>
      <c r="AD886" s="1310" t="s">
        <v>1581</v>
      </c>
      <c r="AE886" s="1310" t="s">
        <v>1602</v>
      </c>
      <c r="AF886" s="1310" t="s">
        <v>1570</v>
      </c>
    </row>
    <row r="887" spans="1:32" x14ac:dyDescent="0.3">
      <c r="A887" s="1310" t="s">
        <v>267</v>
      </c>
      <c r="B887" s="1310" t="s">
        <v>1630</v>
      </c>
      <c r="C887" s="1310" t="s">
        <v>1605</v>
      </c>
      <c r="D887" s="1310" t="s">
        <v>1643</v>
      </c>
      <c r="E887" s="1310" t="s">
        <v>1561</v>
      </c>
      <c r="F887" s="1310" t="s">
        <v>1513</v>
      </c>
      <c r="G887" s="1310" t="s">
        <v>1515</v>
      </c>
      <c r="H887" s="1310" t="s">
        <v>269</v>
      </c>
      <c r="I887" s="1310" t="s">
        <v>117</v>
      </c>
      <c r="J887" s="1310" t="s">
        <v>1645</v>
      </c>
      <c r="K887" s="1310" t="s">
        <v>1654</v>
      </c>
      <c r="L887" s="1310" t="s">
        <v>1492</v>
      </c>
      <c r="M887" s="1310" t="s">
        <v>1466</v>
      </c>
      <c r="N887" s="1310" t="s">
        <v>1567</v>
      </c>
      <c r="O887" s="1310" t="s">
        <v>1571</v>
      </c>
      <c r="P887" s="1310" t="s">
        <v>1565</v>
      </c>
      <c r="Q887" s="1310" t="s">
        <v>1489</v>
      </c>
      <c r="R887" s="1310" t="s">
        <v>115</v>
      </c>
      <c r="S887" s="1310" t="s">
        <v>116</v>
      </c>
      <c r="T887" s="1310" t="s">
        <v>1599</v>
      </c>
      <c r="U887" s="1310" t="s">
        <v>1579</v>
      </c>
      <c r="V887" s="1310" t="s">
        <v>1554</v>
      </c>
      <c r="W887" s="1310" t="s">
        <v>1565</v>
      </c>
      <c r="X887" s="1310" t="s">
        <v>1461</v>
      </c>
      <c r="Y887" s="1310" t="s">
        <v>1604</v>
      </c>
      <c r="Z887" s="1310" t="s">
        <v>1567</v>
      </c>
      <c r="AA887" s="1310" t="s">
        <v>1567</v>
      </c>
      <c r="AB887" s="1310" t="s">
        <v>1461</v>
      </c>
      <c r="AC887" s="1310" t="s">
        <v>266</v>
      </c>
      <c r="AD887" s="1310" t="s">
        <v>1570</v>
      </c>
      <c r="AE887" s="1310" t="s">
        <v>1625</v>
      </c>
      <c r="AF887" s="1310" t="s">
        <v>1522</v>
      </c>
    </row>
    <row r="888" spans="1:32" x14ac:dyDescent="0.3">
      <c r="A888" s="1310" t="s">
        <v>267</v>
      </c>
      <c r="B888" s="1310" t="s">
        <v>1566</v>
      </c>
      <c r="C888" s="1310" t="s">
        <v>1500</v>
      </c>
      <c r="D888" s="1310" t="s">
        <v>1519</v>
      </c>
      <c r="E888" s="1310" t="s">
        <v>112</v>
      </c>
      <c r="F888" s="1310" t="s">
        <v>1451</v>
      </c>
      <c r="G888" s="1310" t="s">
        <v>1458</v>
      </c>
      <c r="H888" s="1310" t="s">
        <v>1595</v>
      </c>
      <c r="I888" s="1310" t="s">
        <v>1649</v>
      </c>
      <c r="J888" s="1310" t="s">
        <v>1532</v>
      </c>
      <c r="K888" s="1310" t="s">
        <v>125</v>
      </c>
      <c r="L888" s="1310" t="s">
        <v>1658</v>
      </c>
      <c r="M888" s="1310" t="s">
        <v>1642</v>
      </c>
      <c r="N888" s="1310" t="s">
        <v>1649</v>
      </c>
      <c r="O888" s="1310" t="s">
        <v>1506</v>
      </c>
      <c r="P888" s="1310" t="s">
        <v>1469</v>
      </c>
      <c r="Q888" s="1310" t="s">
        <v>1603</v>
      </c>
      <c r="R888" s="1310" t="s">
        <v>1582</v>
      </c>
      <c r="S888" s="1310" t="s">
        <v>1637</v>
      </c>
      <c r="T888" s="1310" t="s">
        <v>1565</v>
      </c>
      <c r="U888" s="1310" t="s">
        <v>1533</v>
      </c>
      <c r="V888" s="1310" t="s">
        <v>1646</v>
      </c>
      <c r="W888" s="1310" t="s">
        <v>1509</v>
      </c>
      <c r="X888" s="1310" t="s">
        <v>1650</v>
      </c>
      <c r="Y888" s="1310" t="s">
        <v>1531</v>
      </c>
      <c r="Z888" s="1310" t="s">
        <v>1559</v>
      </c>
      <c r="AA888" s="1310" t="s">
        <v>1618</v>
      </c>
      <c r="AB888" s="1310" t="s">
        <v>1647</v>
      </c>
      <c r="AC888" s="1310" t="s">
        <v>1568</v>
      </c>
      <c r="AD888" s="1310" t="s">
        <v>113</v>
      </c>
      <c r="AE888" s="1310" t="s">
        <v>1505</v>
      </c>
      <c r="AF888" s="1310" t="s">
        <v>1539</v>
      </c>
    </row>
    <row r="889" spans="1:32" x14ac:dyDescent="0.3">
      <c r="A889" s="1310" t="s">
        <v>1630</v>
      </c>
      <c r="B889" s="1310" t="s">
        <v>1551</v>
      </c>
      <c r="C889" s="1310" t="s">
        <v>1639</v>
      </c>
      <c r="D889" s="1310" t="s">
        <v>1598</v>
      </c>
      <c r="E889" s="1310" t="s">
        <v>1655</v>
      </c>
      <c r="F889" s="1310" t="s">
        <v>465</v>
      </c>
      <c r="G889" s="1310" t="s">
        <v>1551</v>
      </c>
      <c r="H889" s="1310" t="s">
        <v>1492</v>
      </c>
      <c r="I889" s="1310" t="s">
        <v>1529</v>
      </c>
      <c r="J889" s="1310" t="s">
        <v>1505</v>
      </c>
      <c r="K889" s="1310" t="s">
        <v>1472</v>
      </c>
      <c r="L889" s="1310" t="s">
        <v>1460</v>
      </c>
      <c r="M889" s="1310" t="s">
        <v>1583</v>
      </c>
      <c r="N889" s="1310" t="s">
        <v>1580</v>
      </c>
      <c r="O889" s="1310" t="s">
        <v>1480</v>
      </c>
      <c r="P889" s="1310" t="s">
        <v>1458</v>
      </c>
      <c r="Q889" s="1310" t="s">
        <v>1538</v>
      </c>
      <c r="R889" s="1310" t="s">
        <v>1587</v>
      </c>
      <c r="S889" s="1310" t="s">
        <v>1550</v>
      </c>
      <c r="T889" s="1310" t="s">
        <v>1470</v>
      </c>
      <c r="U889" s="1310" t="s">
        <v>1502</v>
      </c>
      <c r="V889" s="1310" t="s">
        <v>1519</v>
      </c>
      <c r="W889" s="1310" t="s">
        <v>1492</v>
      </c>
      <c r="X889" s="1310" t="s">
        <v>1617</v>
      </c>
      <c r="Y889" s="1310" t="s">
        <v>1524</v>
      </c>
      <c r="Z889" s="1310" t="s">
        <v>1514</v>
      </c>
      <c r="AA889" s="1310" t="s">
        <v>1458</v>
      </c>
      <c r="AB889" s="1310" t="s">
        <v>1517</v>
      </c>
      <c r="AC889" s="1310" t="s">
        <v>1466</v>
      </c>
      <c r="AD889" s="1310" t="s">
        <v>1586</v>
      </c>
      <c r="AE889" s="1310" t="s">
        <v>1657</v>
      </c>
      <c r="AF889" s="1310" t="s">
        <v>1493</v>
      </c>
    </row>
    <row r="890" spans="1:32" x14ac:dyDescent="0.3">
      <c r="A890" s="1310" t="s">
        <v>1539</v>
      </c>
      <c r="B890" s="1310" t="s">
        <v>1637</v>
      </c>
      <c r="C890" s="1310" t="s">
        <v>1562</v>
      </c>
      <c r="D890" s="1310" t="s">
        <v>1651</v>
      </c>
      <c r="E890" s="1310" t="s">
        <v>116</v>
      </c>
      <c r="F890" s="1310" t="s">
        <v>117</v>
      </c>
      <c r="G890" s="1310" t="s">
        <v>1571</v>
      </c>
      <c r="H890" s="1310" t="s">
        <v>1488</v>
      </c>
      <c r="I890" s="1310" t="s">
        <v>1511</v>
      </c>
      <c r="J890" s="1310" t="s">
        <v>115</v>
      </c>
      <c r="K890" s="1310" t="s">
        <v>1630</v>
      </c>
      <c r="L890" s="1310" t="s">
        <v>471</v>
      </c>
      <c r="M890" s="1310" t="s">
        <v>1564</v>
      </c>
      <c r="N890" s="1310" t="s">
        <v>1572</v>
      </c>
      <c r="O890" s="1310" t="s">
        <v>1630</v>
      </c>
      <c r="P890" s="1310" t="s">
        <v>1611</v>
      </c>
      <c r="Q890" s="1310" t="s">
        <v>1537</v>
      </c>
      <c r="R890" s="1310" t="s">
        <v>1488</v>
      </c>
      <c r="S890" s="1310" t="s">
        <v>1452</v>
      </c>
      <c r="T890" s="1310" t="s">
        <v>1613</v>
      </c>
      <c r="U890" s="1310" t="s">
        <v>1629</v>
      </c>
      <c r="V890" s="1310" t="s">
        <v>1623</v>
      </c>
      <c r="W890" s="1310" t="s">
        <v>1525</v>
      </c>
      <c r="X890" s="1310" t="s">
        <v>1577</v>
      </c>
      <c r="Y890" s="1310" t="s">
        <v>1475</v>
      </c>
      <c r="Z890" s="1310" t="s">
        <v>1570</v>
      </c>
      <c r="AA890" s="1310" t="s">
        <v>1562</v>
      </c>
      <c r="AB890" s="1310" t="s">
        <v>1563</v>
      </c>
      <c r="AC890" s="1310" t="s">
        <v>1639</v>
      </c>
      <c r="AD890" s="1310" t="s">
        <v>1523</v>
      </c>
      <c r="AE890" s="1310" t="s">
        <v>1594</v>
      </c>
      <c r="AF890" s="1310" t="s">
        <v>1647</v>
      </c>
    </row>
    <row r="891" spans="1:32" x14ac:dyDescent="0.3">
      <c r="A891" s="1310" t="s">
        <v>1653</v>
      </c>
      <c r="B891" s="1310" t="s">
        <v>1585</v>
      </c>
      <c r="C891" s="1310" t="s">
        <v>1453</v>
      </c>
      <c r="D891" s="1310" t="s">
        <v>1641</v>
      </c>
      <c r="E891" s="1310" t="s">
        <v>1601</v>
      </c>
      <c r="F891" s="1310" t="s">
        <v>1619</v>
      </c>
      <c r="G891" s="1310" t="s">
        <v>1484</v>
      </c>
      <c r="H891" s="1310" t="s">
        <v>1558</v>
      </c>
      <c r="I891" s="1310" t="s">
        <v>1655</v>
      </c>
      <c r="J891" s="1310" t="s">
        <v>1599</v>
      </c>
      <c r="K891" s="1310" t="s">
        <v>1526</v>
      </c>
      <c r="L891" s="1310" t="s">
        <v>1548</v>
      </c>
      <c r="M891" s="1310" t="s">
        <v>121</v>
      </c>
      <c r="N891" s="1310" t="s">
        <v>117</v>
      </c>
      <c r="O891" s="1310" t="s">
        <v>1490</v>
      </c>
      <c r="P891" s="1310" t="s">
        <v>1520</v>
      </c>
      <c r="Q891" s="1310" t="s">
        <v>471</v>
      </c>
      <c r="R891" s="1310" t="s">
        <v>124</v>
      </c>
      <c r="S891" s="1310" t="s">
        <v>1474</v>
      </c>
      <c r="T891" s="1310" t="s">
        <v>1455</v>
      </c>
      <c r="U891" s="1310" t="s">
        <v>1449</v>
      </c>
      <c r="V891" s="1310" t="s">
        <v>1592</v>
      </c>
      <c r="W891" s="1310" t="s">
        <v>1497</v>
      </c>
      <c r="X891" s="1310" t="s">
        <v>1519</v>
      </c>
      <c r="Y891" s="1310" t="s">
        <v>1622</v>
      </c>
      <c r="Z891" s="1310" t="s">
        <v>1549</v>
      </c>
      <c r="AA891" s="1310" t="s">
        <v>1500</v>
      </c>
      <c r="AB891" s="1310" t="s">
        <v>1624</v>
      </c>
      <c r="AC891" s="1310" t="s">
        <v>1642</v>
      </c>
      <c r="AD891" s="1310" t="s">
        <v>1027</v>
      </c>
      <c r="AE891" s="1310" t="s">
        <v>115</v>
      </c>
      <c r="AF891" s="1310" t="s">
        <v>1615</v>
      </c>
    </row>
    <row r="892" spans="1:32" x14ac:dyDescent="0.3">
      <c r="A892" s="1310" t="s">
        <v>1643</v>
      </c>
      <c r="B892" s="1310" t="s">
        <v>1446</v>
      </c>
      <c r="C892" s="1310" t="s">
        <v>1475</v>
      </c>
      <c r="D892" s="1310" t="s">
        <v>1492</v>
      </c>
      <c r="E892" s="1310" t="s">
        <v>1595</v>
      </c>
      <c r="F892" s="1310" t="s">
        <v>1502</v>
      </c>
      <c r="G892" s="1310" t="s">
        <v>1615</v>
      </c>
      <c r="H892" s="1310" t="s">
        <v>1631</v>
      </c>
      <c r="I892" s="1310" t="s">
        <v>1610</v>
      </c>
      <c r="J892" s="1310" t="s">
        <v>1605</v>
      </c>
      <c r="K892" s="1310" t="s">
        <v>1586</v>
      </c>
      <c r="L892" s="1310" t="s">
        <v>1446</v>
      </c>
      <c r="M892" s="1310" t="s">
        <v>1505</v>
      </c>
      <c r="N892" s="1310" t="s">
        <v>1644</v>
      </c>
      <c r="O892" s="1310" t="s">
        <v>1583</v>
      </c>
      <c r="P892" s="1310" t="s">
        <v>1584</v>
      </c>
      <c r="Q892" s="1310" t="s">
        <v>115</v>
      </c>
      <c r="R892" s="1310" t="s">
        <v>133</v>
      </c>
      <c r="S892" s="1310" t="s">
        <v>1529</v>
      </c>
      <c r="T892" s="1310" t="s">
        <v>124</v>
      </c>
      <c r="U892" s="1310" t="s">
        <v>1473</v>
      </c>
      <c r="V892" s="1310" t="s">
        <v>1030</v>
      </c>
      <c r="W892" s="1310" t="s">
        <v>1464</v>
      </c>
      <c r="X892" s="1310" t="s">
        <v>1579</v>
      </c>
      <c r="Y892" s="1310" t="s">
        <v>1595</v>
      </c>
      <c r="Z892" s="1310" t="s">
        <v>1531</v>
      </c>
      <c r="AA892" s="1310" t="s">
        <v>1629</v>
      </c>
      <c r="AB892" s="1310" t="s">
        <v>1649</v>
      </c>
      <c r="AC892" s="1310" t="s">
        <v>1510</v>
      </c>
      <c r="AD892" s="1310" t="s">
        <v>123</v>
      </c>
      <c r="AE892" s="1310" t="s">
        <v>269</v>
      </c>
      <c r="AF892" s="1310" t="s">
        <v>1641</v>
      </c>
    </row>
    <row r="893" spans="1:32" x14ac:dyDescent="0.3">
      <c r="A893" s="1310" t="s">
        <v>1577</v>
      </c>
      <c r="B893" s="1310" t="s">
        <v>132</v>
      </c>
      <c r="C893" s="1310" t="s">
        <v>125</v>
      </c>
      <c r="D893" s="1310" t="s">
        <v>1593</v>
      </c>
      <c r="E893" s="1310" t="s">
        <v>1544</v>
      </c>
      <c r="F893" s="1310" t="s">
        <v>1626</v>
      </c>
      <c r="G893" s="1310" t="s">
        <v>122</v>
      </c>
      <c r="H893" s="1310" t="s">
        <v>1505</v>
      </c>
      <c r="I893" s="1310" t="s">
        <v>1444</v>
      </c>
      <c r="J893" s="1310" t="s">
        <v>1627</v>
      </c>
      <c r="K893" s="1310" t="s">
        <v>1565</v>
      </c>
      <c r="L893" s="1310" t="s">
        <v>1537</v>
      </c>
      <c r="M893" s="1310" t="s">
        <v>1644</v>
      </c>
      <c r="N893" s="1310" t="s">
        <v>1591</v>
      </c>
      <c r="O893" s="1310" t="s">
        <v>1642</v>
      </c>
      <c r="P893" s="1310" t="s">
        <v>1532</v>
      </c>
      <c r="Q893" s="1310" t="s">
        <v>117</v>
      </c>
      <c r="R893" s="1310" t="s">
        <v>1455</v>
      </c>
      <c r="S893" s="1310" t="s">
        <v>1536</v>
      </c>
      <c r="T893" s="1310" t="s">
        <v>1547</v>
      </c>
      <c r="U893" s="1310" t="s">
        <v>1645</v>
      </c>
      <c r="V893" s="1310" t="s">
        <v>1561</v>
      </c>
      <c r="W893" s="1310" t="s">
        <v>1636</v>
      </c>
      <c r="X893" s="1310" t="s">
        <v>123</v>
      </c>
      <c r="Y893" s="1310" t="s">
        <v>121</v>
      </c>
      <c r="Z893" s="1310" t="s">
        <v>1584</v>
      </c>
      <c r="AA893" s="1310" t="s">
        <v>1636</v>
      </c>
      <c r="AB893" s="1310" t="s">
        <v>1542</v>
      </c>
      <c r="AC893" s="1310" t="s">
        <v>1659</v>
      </c>
      <c r="AD893" s="1310" t="s">
        <v>1633</v>
      </c>
      <c r="AE893" s="1310" t="s">
        <v>1551</v>
      </c>
      <c r="AF893" s="1310" t="s">
        <v>1443</v>
      </c>
    </row>
    <row r="894" spans="1:32" x14ac:dyDescent="0.3">
      <c r="A894" s="1310" t="s">
        <v>1450</v>
      </c>
      <c r="B894" s="1310" t="s">
        <v>1622</v>
      </c>
      <c r="C894" s="1310" t="s">
        <v>1615</v>
      </c>
      <c r="D894" s="1310" t="s">
        <v>130</v>
      </c>
      <c r="E894" s="1310" t="s">
        <v>1616</v>
      </c>
      <c r="F894" s="1310" t="s">
        <v>1457</v>
      </c>
      <c r="G894" s="1310" t="s">
        <v>1457</v>
      </c>
      <c r="H894" s="1310" t="s">
        <v>1525</v>
      </c>
      <c r="I894" s="1310" t="s">
        <v>117</v>
      </c>
      <c r="J894" s="1310" t="s">
        <v>1569</v>
      </c>
      <c r="K894" s="1310" t="s">
        <v>1525</v>
      </c>
      <c r="L894" s="1310" t="s">
        <v>116</v>
      </c>
      <c r="M894" s="1310" t="s">
        <v>1594</v>
      </c>
      <c r="N894" s="1310" t="s">
        <v>118</v>
      </c>
      <c r="O894" s="1310" t="s">
        <v>1544</v>
      </c>
      <c r="P894" s="1310" t="s">
        <v>1555</v>
      </c>
      <c r="Q894" s="1310" t="s">
        <v>1561</v>
      </c>
      <c r="R894" s="1310" t="s">
        <v>1529</v>
      </c>
      <c r="S894" s="1310" t="s">
        <v>1444</v>
      </c>
      <c r="T894" s="1310" t="s">
        <v>1647</v>
      </c>
      <c r="U894" s="1310" t="s">
        <v>1592</v>
      </c>
      <c r="V894" s="1310" t="s">
        <v>1527</v>
      </c>
      <c r="W894" s="1310" t="s">
        <v>1497</v>
      </c>
      <c r="X894" s="1310" t="s">
        <v>1641</v>
      </c>
      <c r="Y894" s="1310" t="s">
        <v>1517</v>
      </c>
      <c r="Z894" s="1310" t="s">
        <v>1575</v>
      </c>
      <c r="AA894" s="1310" t="s">
        <v>1609</v>
      </c>
      <c r="AB894" s="1310" t="s">
        <v>1560</v>
      </c>
      <c r="AC894" s="1310" t="s">
        <v>1464</v>
      </c>
      <c r="AD894" s="1310" t="s">
        <v>1567</v>
      </c>
      <c r="AE894" s="1310" t="s">
        <v>1549</v>
      </c>
      <c r="AF894" s="1310" t="s">
        <v>123</v>
      </c>
    </row>
    <row r="895" spans="1:32" x14ac:dyDescent="0.3">
      <c r="A895" s="1310" t="s">
        <v>1631</v>
      </c>
      <c r="B895" s="1310" t="s">
        <v>1590</v>
      </c>
      <c r="C895" s="1310" t="s">
        <v>1520</v>
      </c>
      <c r="D895" s="1310" t="s">
        <v>1552</v>
      </c>
      <c r="E895" s="1310" t="s">
        <v>1507</v>
      </c>
      <c r="F895" s="1310" t="s">
        <v>1607</v>
      </c>
      <c r="G895" s="1310" t="s">
        <v>1444</v>
      </c>
      <c r="H895" s="1310" t="s">
        <v>1459</v>
      </c>
      <c r="I895" s="1310" t="s">
        <v>1642</v>
      </c>
      <c r="J895" s="1310" t="s">
        <v>1585</v>
      </c>
      <c r="K895" s="1310" t="s">
        <v>127</v>
      </c>
      <c r="L895" s="1310" t="s">
        <v>1494</v>
      </c>
      <c r="M895" s="1310" t="s">
        <v>1642</v>
      </c>
      <c r="N895" s="1310" t="s">
        <v>1577</v>
      </c>
      <c r="O895" s="1310" t="s">
        <v>1610</v>
      </c>
      <c r="P895" s="1310" t="s">
        <v>1589</v>
      </c>
      <c r="Q895" s="1310" t="s">
        <v>1601</v>
      </c>
      <c r="R895" s="1310" t="s">
        <v>1474</v>
      </c>
      <c r="S895" s="1310" t="s">
        <v>1571</v>
      </c>
      <c r="T895" s="1310" t="s">
        <v>1597</v>
      </c>
      <c r="U895" s="1310" t="s">
        <v>1525</v>
      </c>
      <c r="V895" s="1310" t="s">
        <v>1637</v>
      </c>
      <c r="W895" s="1310" t="s">
        <v>1466</v>
      </c>
      <c r="X895" s="1310" t="s">
        <v>1577</v>
      </c>
      <c r="Y895" s="1310" t="s">
        <v>1575</v>
      </c>
      <c r="Z895" s="1310" t="s">
        <v>1482</v>
      </c>
      <c r="AA895" s="1310" t="s">
        <v>126</v>
      </c>
      <c r="AB895" s="1310" t="s">
        <v>1526</v>
      </c>
      <c r="AC895" s="1310" t="s">
        <v>1650</v>
      </c>
      <c r="AD895" s="1310" t="s">
        <v>1489</v>
      </c>
      <c r="AE895" s="1310" t="s">
        <v>1469</v>
      </c>
      <c r="AF895" s="1310" t="s">
        <v>1647</v>
      </c>
    </row>
    <row r="896" spans="1:32" x14ac:dyDescent="0.3">
      <c r="A896" s="1310" t="s">
        <v>1501</v>
      </c>
      <c r="B896" s="1310" t="s">
        <v>1444</v>
      </c>
      <c r="C896" s="1310" t="s">
        <v>1552</v>
      </c>
      <c r="D896" s="1310" t="s">
        <v>1595</v>
      </c>
      <c r="E896" s="1310" t="s">
        <v>1528</v>
      </c>
      <c r="F896" s="1310" t="s">
        <v>1545</v>
      </c>
      <c r="G896" s="1310" t="s">
        <v>1488</v>
      </c>
      <c r="H896" s="1310" t="s">
        <v>1486</v>
      </c>
      <c r="I896" s="1310" t="s">
        <v>1550</v>
      </c>
      <c r="J896" s="1310" t="s">
        <v>1573</v>
      </c>
      <c r="K896" s="1310" t="s">
        <v>1634</v>
      </c>
      <c r="L896" s="1310" t="s">
        <v>1656</v>
      </c>
      <c r="M896" s="1310" t="s">
        <v>129</v>
      </c>
      <c r="N896" s="1310" t="s">
        <v>1601</v>
      </c>
      <c r="O896" s="1310" t="s">
        <v>133</v>
      </c>
      <c r="P896" s="1310" t="s">
        <v>1643</v>
      </c>
      <c r="Q896" s="1310" t="s">
        <v>1450</v>
      </c>
      <c r="R896" s="1310" t="s">
        <v>1519</v>
      </c>
      <c r="S896" s="1310" t="s">
        <v>1629</v>
      </c>
      <c r="T896" s="1310" t="s">
        <v>1594</v>
      </c>
      <c r="U896" s="1310" t="s">
        <v>1495</v>
      </c>
      <c r="V896" s="1310" t="s">
        <v>1503</v>
      </c>
      <c r="W896" s="1310" t="s">
        <v>1503</v>
      </c>
      <c r="X896" s="1310" t="s">
        <v>114</v>
      </c>
      <c r="Y896" s="1310" t="s">
        <v>119</v>
      </c>
      <c r="Z896" s="1310" t="s">
        <v>1649</v>
      </c>
      <c r="AA896" s="1310" t="s">
        <v>265</v>
      </c>
      <c r="AB896" s="1310" t="s">
        <v>1480</v>
      </c>
      <c r="AC896" s="1310" t="s">
        <v>1545</v>
      </c>
      <c r="AD896" s="1310" t="s">
        <v>1619</v>
      </c>
      <c r="AE896" s="1310" t="s">
        <v>1604</v>
      </c>
      <c r="AF896" s="1310" t="s">
        <v>1027</v>
      </c>
    </row>
    <row r="897" spans="1:32" x14ac:dyDescent="0.3">
      <c r="A897" s="1310" t="s">
        <v>125</v>
      </c>
      <c r="B897" s="1310" t="s">
        <v>115</v>
      </c>
      <c r="C897" s="1310" t="s">
        <v>6</v>
      </c>
      <c r="D897" s="1310" t="s">
        <v>1451</v>
      </c>
      <c r="E897" s="1310" t="s">
        <v>1476</v>
      </c>
      <c r="F897" s="1310" t="s">
        <v>1614</v>
      </c>
      <c r="G897" s="1310" t="s">
        <v>1474</v>
      </c>
      <c r="H897" s="1310" t="s">
        <v>1497</v>
      </c>
      <c r="I897" s="1310" t="s">
        <v>1530</v>
      </c>
      <c r="J897" s="1310" t="s">
        <v>471</v>
      </c>
      <c r="K897" s="1310" t="s">
        <v>1564</v>
      </c>
      <c r="L897" s="1310" t="s">
        <v>1656</v>
      </c>
      <c r="M897" s="1310" t="s">
        <v>129</v>
      </c>
      <c r="N897" s="1310" t="s">
        <v>1626</v>
      </c>
      <c r="O897" s="1310" t="s">
        <v>116</v>
      </c>
      <c r="P897" s="1310" t="s">
        <v>1473</v>
      </c>
      <c r="Q897" s="1310" t="s">
        <v>1520</v>
      </c>
      <c r="R897" s="1310" t="s">
        <v>1610</v>
      </c>
      <c r="S897" s="1310" t="s">
        <v>1601</v>
      </c>
      <c r="T897" s="1310" t="s">
        <v>110</v>
      </c>
      <c r="U897" s="1310" t="s">
        <v>1562</v>
      </c>
      <c r="V897" s="1310" t="s">
        <v>1567</v>
      </c>
      <c r="W897" s="1310" t="s">
        <v>1601</v>
      </c>
      <c r="X897" s="1310" t="s">
        <v>1646</v>
      </c>
      <c r="Y897" s="1310" t="s">
        <v>1653</v>
      </c>
      <c r="Z897" s="1310" t="s">
        <v>1545</v>
      </c>
      <c r="AA897" s="1310" t="s">
        <v>1570</v>
      </c>
      <c r="AB897" s="1310" t="s">
        <v>1548</v>
      </c>
      <c r="AC897" s="1310" t="s">
        <v>1597</v>
      </c>
      <c r="AD897" s="1310" t="s">
        <v>1588</v>
      </c>
      <c r="AE897" s="1310" t="s">
        <v>268</v>
      </c>
      <c r="AF897" s="1310" t="s">
        <v>1611</v>
      </c>
    </row>
    <row r="898" spans="1:32" x14ac:dyDescent="0.3">
      <c r="A898" s="1310" t="s">
        <v>1623</v>
      </c>
      <c r="B898" s="1310" t="s">
        <v>1650</v>
      </c>
      <c r="C898" s="1310" t="s">
        <v>1558</v>
      </c>
      <c r="D898" s="1310" t="s">
        <v>1622</v>
      </c>
      <c r="E898" s="1310" t="s">
        <v>123</v>
      </c>
      <c r="F898" s="1310" t="s">
        <v>1582</v>
      </c>
      <c r="G898" s="1310" t="s">
        <v>1559</v>
      </c>
      <c r="H898" s="1310" t="s">
        <v>132</v>
      </c>
      <c r="I898" s="1310" t="s">
        <v>1604</v>
      </c>
      <c r="J898" s="1310" t="s">
        <v>131</v>
      </c>
      <c r="K898" s="1310" t="s">
        <v>1459</v>
      </c>
      <c r="L898" s="1310" t="s">
        <v>1586</v>
      </c>
      <c r="M898" s="1310" t="s">
        <v>1649</v>
      </c>
      <c r="N898" s="1310" t="s">
        <v>1584</v>
      </c>
      <c r="O898" s="1310" t="s">
        <v>114</v>
      </c>
      <c r="P898" s="1310" t="s">
        <v>1640</v>
      </c>
      <c r="Q898" s="1310" t="s">
        <v>1027</v>
      </c>
      <c r="R898" s="1310" t="s">
        <v>1515</v>
      </c>
      <c r="S898" s="1310" t="s">
        <v>1638</v>
      </c>
      <c r="T898" s="1310" t="s">
        <v>1564</v>
      </c>
      <c r="U898" s="1310" t="s">
        <v>1657</v>
      </c>
      <c r="V898" s="1310" t="s">
        <v>1527</v>
      </c>
      <c r="W898" s="1310" t="s">
        <v>1555</v>
      </c>
      <c r="X898" s="1310" t="s">
        <v>1461</v>
      </c>
      <c r="Y898" s="1310" t="s">
        <v>1499</v>
      </c>
      <c r="Z898" s="1310" t="s">
        <v>1565</v>
      </c>
      <c r="AA898" s="1310" t="s">
        <v>1487</v>
      </c>
      <c r="AB898" s="1310" t="s">
        <v>262</v>
      </c>
      <c r="AC898" s="1310" t="s">
        <v>1523</v>
      </c>
      <c r="AD898" s="1310" t="s">
        <v>1448</v>
      </c>
      <c r="AE898" s="1310" t="s">
        <v>1558</v>
      </c>
      <c r="AF898" s="1310" t="s">
        <v>1546</v>
      </c>
    </row>
    <row r="899" spans="1:32" x14ac:dyDescent="0.3">
      <c r="A899" s="1310" t="s">
        <v>1525</v>
      </c>
      <c r="B899" s="1310" t="s">
        <v>1482</v>
      </c>
      <c r="C899" s="1310" t="s">
        <v>1559</v>
      </c>
      <c r="D899" s="1310" t="s">
        <v>1649</v>
      </c>
      <c r="E899" s="1310" t="s">
        <v>1480</v>
      </c>
      <c r="F899" s="1310" t="s">
        <v>114</v>
      </c>
      <c r="G899" s="1310" t="s">
        <v>1472</v>
      </c>
      <c r="H899" s="1310" t="s">
        <v>1463</v>
      </c>
      <c r="I899" s="1310" t="s">
        <v>1579</v>
      </c>
      <c r="J899" s="1310" t="s">
        <v>1553</v>
      </c>
      <c r="K899" s="1310" t="s">
        <v>1469</v>
      </c>
      <c r="L899" s="1310" t="s">
        <v>1521</v>
      </c>
      <c r="M899" s="1310" t="s">
        <v>1505</v>
      </c>
      <c r="N899" s="1310" t="s">
        <v>1492</v>
      </c>
      <c r="O899" s="1310" t="s">
        <v>1604</v>
      </c>
      <c r="P899" s="1310" t="s">
        <v>1644</v>
      </c>
      <c r="Q899" s="1310" t="s">
        <v>1601</v>
      </c>
      <c r="R899" s="1310" t="s">
        <v>1511</v>
      </c>
      <c r="S899" s="1310" t="s">
        <v>115</v>
      </c>
      <c r="T899" s="1310" t="s">
        <v>1637</v>
      </c>
      <c r="U899" s="1310" t="s">
        <v>1493</v>
      </c>
      <c r="V899" s="1310" t="s">
        <v>269</v>
      </c>
      <c r="W899" s="1310" t="s">
        <v>112</v>
      </c>
      <c r="X899" s="1310" t="s">
        <v>1492</v>
      </c>
      <c r="Y899" s="1310" t="s">
        <v>1599</v>
      </c>
      <c r="Z899" s="1310" t="s">
        <v>266</v>
      </c>
      <c r="AA899" s="1310" t="s">
        <v>1600</v>
      </c>
      <c r="AB899" s="1310" t="s">
        <v>1482</v>
      </c>
      <c r="AC899" s="1310" t="s">
        <v>1620</v>
      </c>
      <c r="AD899" s="1310" t="s">
        <v>1515</v>
      </c>
      <c r="AE899" s="1310" t="s">
        <v>6</v>
      </c>
      <c r="AF899" s="1310" t="s">
        <v>1656</v>
      </c>
    </row>
    <row r="900" spans="1:32" x14ac:dyDescent="0.3">
      <c r="A900" s="1310" t="s">
        <v>1515</v>
      </c>
      <c r="B900" s="1310" t="s">
        <v>1552</v>
      </c>
      <c r="C900" s="1310" t="s">
        <v>1648</v>
      </c>
      <c r="D900" s="1310" t="s">
        <v>1633</v>
      </c>
      <c r="E900" s="1310" t="s">
        <v>1504</v>
      </c>
      <c r="F900" s="1310" t="s">
        <v>1466</v>
      </c>
      <c r="G900" s="1310" t="s">
        <v>1592</v>
      </c>
      <c r="H900" s="1310" t="s">
        <v>1491</v>
      </c>
      <c r="I900" s="1310" t="s">
        <v>1573</v>
      </c>
      <c r="J900" s="1310" t="s">
        <v>1583</v>
      </c>
      <c r="K900" s="1310" t="s">
        <v>1614</v>
      </c>
      <c r="L900" s="1310" t="s">
        <v>1514</v>
      </c>
      <c r="M900" s="1310" t="s">
        <v>267</v>
      </c>
      <c r="N900" s="1310" t="s">
        <v>1605</v>
      </c>
      <c r="O900" s="1310" t="s">
        <v>471</v>
      </c>
      <c r="P900" s="1310" t="s">
        <v>1511</v>
      </c>
      <c r="Q900" s="1310" t="s">
        <v>1576</v>
      </c>
      <c r="R900" s="1310" t="s">
        <v>1576</v>
      </c>
      <c r="S900" s="1310" t="s">
        <v>1649</v>
      </c>
      <c r="T900" s="1310" t="s">
        <v>1606</v>
      </c>
      <c r="U900" s="1310" t="s">
        <v>1594</v>
      </c>
      <c r="V900" s="1310" t="s">
        <v>112</v>
      </c>
      <c r="W900" s="1310" t="s">
        <v>1623</v>
      </c>
      <c r="X900" s="1310" t="s">
        <v>1615</v>
      </c>
      <c r="Y900" s="1310" t="s">
        <v>1600</v>
      </c>
      <c r="Z900" s="1310" t="s">
        <v>1561</v>
      </c>
      <c r="AA900" s="1310" t="s">
        <v>123</v>
      </c>
      <c r="AB900" s="1310" t="s">
        <v>1533</v>
      </c>
      <c r="AC900" s="1310" t="s">
        <v>1470</v>
      </c>
      <c r="AD900" s="1310" t="s">
        <v>1488</v>
      </c>
      <c r="AE900" s="1310" t="s">
        <v>1565</v>
      </c>
      <c r="AF900" s="1310" t="s">
        <v>1657</v>
      </c>
    </row>
    <row r="901" spans="1:32" x14ac:dyDescent="0.3">
      <c r="A901" s="1310" t="s">
        <v>1456</v>
      </c>
      <c r="B901" s="1310" t="s">
        <v>1604</v>
      </c>
      <c r="C901" s="1310" t="s">
        <v>1602</v>
      </c>
      <c r="D901" s="1310" t="s">
        <v>1649</v>
      </c>
      <c r="E901" s="1310" t="s">
        <v>1631</v>
      </c>
      <c r="F901" s="1310" t="s">
        <v>1548</v>
      </c>
      <c r="G901" s="1310" t="s">
        <v>1568</v>
      </c>
      <c r="H901" s="1310" t="s">
        <v>267</v>
      </c>
      <c r="I901" s="1310" t="s">
        <v>1644</v>
      </c>
      <c r="J901" s="1310" t="s">
        <v>1631</v>
      </c>
      <c r="K901" s="1310" t="s">
        <v>1572</v>
      </c>
      <c r="L901" s="1310" t="s">
        <v>1471</v>
      </c>
      <c r="M901" s="1310" t="s">
        <v>1645</v>
      </c>
      <c r="N901" s="1310" t="s">
        <v>1525</v>
      </c>
      <c r="O901" s="1310" t="s">
        <v>1649</v>
      </c>
      <c r="P901" s="1310" t="s">
        <v>114</v>
      </c>
      <c r="Q901" s="1310" t="s">
        <v>1513</v>
      </c>
      <c r="R901" s="1310" t="s">
        <v>1658</v>
      </c>
      <c r="S901" s="1310" t="s">
        <v>121</v>
      </c>
      <c r="T901" s="1310" t="s">
        <v>1560</v>
      </c>
      <c r="U901" s="1310" t="s">
        <v>1562</v>
      </c>
      <c r="V901" s="1310" t="s">
        <v>1552</v>
      </c>
      <c r="W901" s="1310" t="s">
        <v>1557</v>
      </c>
      <c r="X901" s="1310" t="s">
        <v>1617</v>
      </c>
      <c r="Y901" s="1310" t="s">
        <v>1481</v>
      </c>
      <c r="Z901" s="1310" t="s">
        <v>1482</v>
      </c>
      <c r="AA901" s="1310" t="s">
        <v>1507</v>
      </c>
      <c r="AB901" s="1310" t="s">
        <v>1451</v>
      </c>
      <c r="AC901" s="1310" t="s">
        <v>1518</v>
      </c>
      <c r="AD901" s="1310" t="s">
        <v>1469</v>
      </c>
      <c r="AE901" s="1310" t="s">
        <v>262</v>
      </c>
      <c r="AF901" s="1310" t="s">
        <v>1545</v>
      </c>
    </row>
    <row r="902" spans="1:32" x14ac:dyDescent="0.3">
      <c r="A902" s="1310" t="s">
        <v>117</v>
      </c>
      <c r="B902" s="1310" t="s">
        <v>1446</v>
      </c>
      <c r="C902" s="1310" t="s">
        <v>1541</v>
      </c>
      <c r="D902" s="1310" t="s">
        <v>124</v>
      </c>
      <c r="E902" s="1310" t="s">
        <v>1458</v>
      </c>
      <c r="F902" s="1310" t="s">
        <v>1549</v>
      </c>
      <c r="G902" s="1310" t="s">
        <v>265</v>
      </c>
      <c r="H902" s="1310" t="s">
        <v>1528</v>
      </c>
      <c r="I902" s="1310" t="s">
        <v>1488</v>
      </c>
      <c r="J902" s="1310" t="s">
        <v>1642</v>
      </c>
      <c r="K902" s="1310" t="s">
        <v>1450</v>
      </c>
      <c r="L902" s="1310" t="s">
        <v>1574</v>
      </c>
      <c r="M902" s="1310" t="s">
        <v>1658</v>
      </c>
      <c r="N902" s="1310" t="s">
        <v>1448</v>
      </c>
      <c r="O902" s="1310" t="s">
        <v>114</v>
      </c>
      <c r="P902" s="1310" t="s">
        <v>1505</v>
      </c>
      <c r="Q902" s="1310" t="s">
        <v>1617</v>
      </c>
      <c r="R902" s="1310" t="s">
        <v>268</v>
      </c>
      <c r="S902" s="1310" t="s">
        <v>1622</v>
      </c>
      <c r="T902" s="1310" t="s">
        <v>1540</v>
      </c>
      <c r="U902" s="1310" t="s">
        <v>1467</v>
      </c>
      <c r="V902" s="1310" t="s">
        <v>1475</v>
      </c>
      <c r="W902" s="1310" t="s">
        <v>1526</v>
      </c>
      <c r="X902" s="1310" t="s">
        <v>1629</v>
      </c>
      <c r="Y902" s="1310" t="s">
        <v>124</v>
      </c>
      <c r="Z902" s="1310" t="s">
        <v>1629</v>
      </c>
      <c r="AA902" s="1310" t="s">
        <v>1504</v>
      </c>
      <c r="AB902" s="1310" t="s">
        <v>1459</v>
      </c>
      <c r="AC902" s="1310" t="s">
        <v>1502</v>
      </c>
      <c r="AD902" s="1310" t="s">
        <v>130</v>
      </c>
      <c r="AE902" s="1310" t="s">
        <v>1591</v>
      </c>
      <c r="AF902" s="1310" t="s">
        <v>1514</v>
      </c>
    </row>
    <row r="903" spans="1:32" x14ac:dyDescent="0.3">
      <c r="A903" s="1310" t="s">
        <v>1469</v>
      </c>
      <c r="B903" s="1310" t="s">
        <v>1509</v>
      </c>
      <c r="C903" s="1310" t="s">
        <v>127</v>
      </c>
      <c r="D903" s="1310" t="s">
        <v>1651</v>
      </c>
      <c r="E903" s="1310" t="s">
        <v>1537</v>
      </c>
      <c r="F903" s="1310" t="s">
        <v>1523</v>
      </c>
      <c r="G903" s="1310" t="s">
        <v>269</v>
      </c>
      <c r="H903" s="1310" t="s">
        <v>465</v>
      </c>
      <c r="I903" s="1310" t="s">
        <v>1522</v>
      </c>
      <c r="J903" s="1310" t="s">
        <v>1472</v>
      </c>
      <c r="K903" s="1310" t="s">
        <v>1529</v>
      </c>
      <c r="L903" s="1310" t="s">
        <v>1504</v>
      </c>
      <c r="M903" s="1310" t="s">
        <v>1637</v>
      </c>
      <c r="N903" s="1310" t="s">
        <v>1533</v>
      </c>
      <c r="O903" s="1310" t="s">
        <v>1492</v>
      </c>
      <c r="P903" s="1310" t="s">
        <v>270</v>
      </c>
      <c r="Q903" s="1310" t="s">
        <v>1547</v>
      </c>
      <c r="R903" s="1310" t="s">
        <v>1467</v>
      </c>
      <c r="S903" s="1310" t="s">
        <v>1504</v>
      </c>
      <c r="T903" s="1310" t="s">
        <v>1651</v>
      </c>
      <c r="U903" s="1310" t="s">
        <v>267</v>
      </c>
      <c r="V903" s="1310" t="s">
        <v>1474</v>
      </c>
      <c r="W903" s="1310" t="s">
        <v>1464</v>
      </c>
      <c r="X903" s="1310" t="s">
        <v>1453</v>
      </c>
      <c r="Y903" s="1310" t="s">
        <v>1573</v>
      </c>
      <c r="Z903" s="1310" t="s">
        <v>1623</v>
      </c>
      <c r="AA903" s="1310" t="s">
        <v>1585</v>
      </c>
      <c r="AB903" s="1310" t="s">
        <v>1497</v>
      </c>
      <c r="AC903" s="1310" t="s">
        <v>1489</v>
      </c>
      <c r="AD903" s="1310" t="s">
        <v>1643</v>
      </c>
      <c r="AE903" s="1310" t="s">
        <v>1469</v>
      </c>
      <c r="AF903" s="1310" t="s">
        <v>1503</v>
      </c>
    </row>
    <row r="904" spans="1:32" x14ac:dyDescent="0.3">
      <c r="A904" s="1310" t="s">
        <v>1521</v>
      </c>
      <c r="B904" s="1310" t="s">
        <v>1532</v>
      </c>
      <c r="C904" s="1310" t="s">
        <v>1455</v>
      </c>
      <c r="D904" s="1310" t="s">
        <v>1569</v>
      </c>
      <c r="E904" s="1310" t="s">
        <v>1569</v>
      </c>
      <c r="F904" s="1310" t="s">
        <v>1600</v>
      </c>
      <c r="G904" s="1310" t="s">
        <v>1630</v>
      </c>
      <c r="H904" s="1310" t="s">
        <v>1531</v>
      </c>
      <c r="I904" s="1310" t="s">
        <v>1600</v>
      </c>
      <c r="J904" s="1310" t="s">
        <v>1660</v>
      </c>
      <c r="K904" s="1310" t="s">
        <v>1481</v>
      </c>
      <c r="L904" s="1310" t="s">
        <v>1653</v>
      </c>
      <c r="M904" s="1310" t="s">
        <v>122</v>
      </c>
      <c r="N904" s="1310" t="s">
        <v>1503</v>
      </c>
      <c r="O904" s="1310" t="s">
        <v>1611</v>
      </c>
      <c r="P904" s="1310" t="s">
        <v>1569</v>
      </c>
      <c r="Q904" s="1310" t="s">
        <v>1487</v>
      </c>
      <c r="R904" s="1310" t="s">
        <v>116</v>
      </c>
      <c r="S904" s="1310" t="s">
        <v>1631</v>
      </c>
      <c r="T904" s="1310" t="s">
        <v>1634</v>
      </c>
      <c r="U904" s="1310" t="s">
        <v>1500</v>
      </c>
      <c r="V904" s="1310" t="s">
        <v>1537</v>
      </c>
      <c r="W904" s="1310" t="s">
        <v>1563</v>
      </c>
      <c r="X904" s="1310" t="s">
        <v>1463</v>
      </c>
      <c r="Y904" s="1310" t="s">
        <v>1027</v>
      </c>
      <c r="Z904" s="1310" t="s">
        <v>1604</v>
      </c>
      <c r="AA904" s="1310" t="s">
        <v>1640</v>
      </c>
      <c r="AB904" s="1310" t="s">
        <v>1457</v>
      </c>
      <c r="AC904" s="1310" t="s">
        <v>1466</v>
      </c>
      <c r="AD904" s="1310" t="s">
        <v>1444</v>
      </c>
      <c r="AE904" s="1310" t="s">
        <v>1627</v>
      </c>
      <c r="AF904" s="1310" t="s">
        <v>1501</v>
      </c>
    </row>
    <row r="905" spans="1:32" x14ac:dyDescent="0.3">
      <c r="A905" s="1310" t="s">
        <v>1615</v>
      </c>
      <c r="B905" s="1310" t="s">
        <v>1640</v>
      </c>
      <c r="C905" s="1310" t="s">
        <v>1527</v>
      </c>
      <c r="D905" s="1310" t="s">
        <v>1649</v>
      </c>
      <c r="E905" s="1310" t="s">
        <v>119</v>
      </c>
      <c r="F905" s="1310" t="s">
        <v>1554</v>
      </c>
      <c r="G905" s="1310" t="s">
        <v>1534</v>
      </c>
      <c r="H905" s="1310" t="s">
        <v>1602</v>
      </c>
      <c r="I905" s="1310" t="s">
        <v>1595</v>
      </c>
      <c r="J905" s="1310" t="s">
        <v>1499</v>
      </c>
      <c r="K905" s="1310" t="s">
        <v>1613</v>
      </c>
      <c r="L905" s="1310" t="s">
        <v>1644</v>
      </c>
      <c r="M905" s="1310" t="s">
        <v>1641</v>
      </c>
      <c r="N905" s="1310" t="s">
        <v>1490</v>
      </c>
      <c r="O905" s="1310" t="s">
        <v>1594</v>
      </c>
      <c r="P905" s="1310" t="s">
        <v>1623</v>
      </c>
      <c r="Q905" s="1310" t="s">
        <v>1611</v>
      </c>
      <c r="R905" s="1310" t="s">
        <v>1480</v>
      </c>
      <c r="S905" s="1310" t="s">
        <v>1656</v>
      </c>
      <c r="T905" s="1310" t="s">
        <v>133</v>
      </c>
      <c r="U905" s="1310" t="s">
        <v>1595</v>
      </c>
      <c r="V905" s="1310" t="s">
        <v>1645</v>
      </c>
      <c r="W905" s="1310" t="s">
        <v>1621</v>
      </c>
      <c r="X905" s="1310" t="s">
        <v>1635</v>
      </c>
      <c r="Y905" s="1310" t="s">
        <v>1460</v>
      </c>
      <c r="Z905" s="1310" t="s">
        <v>1649</v>
      </c>
      <c r="AA905" s="1310" t="s">
        <v>1466</v>
      </c>
      <c r="AB905" s="1310" t="s">
        <v>1628</v>
      </c>
      <c r="AC905" s="1310" t="s">
        <v>1566</v>
      </c>
      <c r="AD905" s="1310" t="s">
        <v>130</v>
      </c>
      <c r="AE905" s="1310" t="s">
        <v>1590</v>
      </c>
      <c r="AF905" s="1310" t="s">
        <v>1464</v>
      </c>
    </row>
    <row r="906" spans="1:32" x14ac:dyDescent="0.3">
      <c r="A906" s="1310" t="s">
        <v>1492</v>
      </c>
      <c r="B906" s="1310" t="s">
        <v>1545</v>
      </c>
      <c r="C906" s="1310" t="s">
        <v>114</v>
      </c>
      <c r="D906" s="1310" t="s">
        <v>267</v>
      </c>
      <c r="E906" s="1310" t="s">
        <v>1489</v>
      </c>
      <c r="F906" s="1310" t="s">
        <v>1598</v>
      </c>
      <c r="G906" s="1310" t="s">
        <v>1538</v>
      </c>
      <c r="H906" s="1310" t="s">
        <v>1551</v>
      </c>
      <c r="I906" s="1310" t="s">
        <v>1612</v>
      </c>
      <c r="J906" s="1310" t="s">
        <v>1637</v>
      </c>
      <c r="K906" s="1310" t="s">
        <v>1453</v>
      </c>
      <c r="L906" s="1310" t="s">
        <v>120</v>
      </c>
      <c r="M906" s="1310" t="s">
        <v>1552</v>
      </c>
      <c r="N906" s="1310" t="s">
        <v>1646</v>
      </c>
      <c r="O906" s="1310" t="s">
        <v>1484</v>
      </c>
      <c r="P906" s="1310" t="s">
        <v>1652</v>
      </c>
      <c r="Q906" s="1310" t="s">
        <v>1505</v>
      </c>
      <c r="R906" s="1310" t="s">
        <v>1449</v>
      </c>
      <c r="S906" s="1310" t="s">
        <v>1571</v>
      </c>
      <c r="T906" s="1310" t="s">
        <v>1451</v>
      </c>
      <c r="U906" s="1310" t="s">
        <v>1539</v>
      </c>
      <c r="V906" s="1310" t="s">
        <v>1649</v>
      </c>
      <c r="W906" s="1310" t="s">
        <v>267</v>
      </c>
      <c r="X906" s="1310" t="s">
        <v>1546</v>
      </c>
      <c r="Y906" s="1310" t="s">
        <v>1585</v>
      </c>
      <c r="Z906" s="1310" t="s">
        <v>1463</v>
      </c>
      <c r="AA906" s="1310" t="s">
        <v>1559</v>
      </c>
      <c r="AB906" s="1310" t="s">
        <v>110</v>
      </c>
      <c r="AC906" s="1310" t="s">
        <v>1562</v>
      </c>
      <c r="AD906" s="1310" t="s">
        <v>1601</v>
      </c>
      <c r="AE906" s="1310" t="s">
        <v>1607</v>
      </c>
      <c r="AF906" s="1310" t="s">
        <v>1502</v>
      </c>
    </row>
    <row r="907" spans="1:32" x14ac:dyDescent="0.3">
      <c r="A907" s="1310" t="s">
        <v>1546</v>
      </c>
      <c r="B907" s="1310" t="s">
        <v>120</v>
      </c>
      <c r="C907" s="1310" t="s">
        <v>1606</v>
      </c>
      <c r="D907" s="1310" t="s">
        <v>1447</v>
      </c>
      <c r="E907" s="1310" t="s">
        <v>1575</v>
      </c>
      <c r="F907" s="1310" t="s">
        <v>1649</v>
      </c>
      <c r="G907" s="1310" t="s">
        <v>1027</v>
      </c>
      <c r="H907" s="1310" t="s">
        <v>1458</v>
      </c>
      <c r="I907" s="1310" t="s">
        <v>1501</v>
      </c>
      <c r="J907" s="1310" t="s">
        <v>1482</v>
      </c>
      <c r="K907" s="1310" t="s">
        <v>1614</v>
      </c>
      <c r="L907" s="1310" t="s">
        <v>133</v>
      </c>
      <c r="M907" s="1310" t="s">
        <v>1631</v>
      </c>
      <c r="N907" s="1310" t="s">
        <v>1576</v>
      </c>
      <c r="O907" s="1310" t="s">
        <v>1597</v>
      </c>
      <c r="P907" s="1310" t="s">
        <v>1464</v>
      </c>
      <c r="Q907" s="1310" t="s">
        <v>1544</v>
      </c>
      <c r="R907" s="1310" t="s">
        <v>1596</v>
      </c>
      <c r="S907" s="1310" t="s">
        <v>1554</v>
      </c>
      <c r="T907" s="1310" t="s">
        <v>117</v>
      </c>
      <c r="U907" s="1310" t="s">
        <v>1449</v>
      </c>
      <c r="V907" s="1310" t="s">
        <v>1505</v>
      </c>
      <c r="W907" s="1310" t="s">
        <v>1618</v>
      </c>
      <c r="X907" s="1310" t="s">
        <v>1654</v>
      </c>
      <c r="Y907" s="1310" t="s">
        <v>1539</v>
      </c>
      <c r="Z907" s="1310" t="s">
        <v>1563</v>
      </c>
      <c r="AA907" s="1310" t="s">
        <v>1504</v>
      </c>
      <c r="AB907" s="1310" t="s">
        <v>1472</v>
      </c>
      <c r="AC907" s="1310" t="s">
        <v>1555</v>
      </c>
      <c r="AD907" s="1310" t="s">
        <v>1644</v>
      </c>
      <c r="AE907" s="1310" t="s">
        <v>1559</v>
      </c>
      <c r="AF907" s="1310" t="s">
        <v>121</v>
      </c>
    </row>
    <row r="908" spans="1:32" x14ac:dyDescent="0.3">
      <c r="A908" s="1310" t="s">
        <v>1575</v>
      </c>
      <c r="B908" s="1310" t="s">
        <v>1528</v>
      </c>
      <c r="C908" s="1310" t="s">
        <v>1617</v>
      </c>
      <c r="D908" s="1310" t="s">
        <v>1544</v>
      </c>
      <c r="E908" s="1310" t="s">
        <v>124</v>
      </c>
      <c r="F908" s="1310" t="s">
        <v>1603</v>
      </c>
      <c r="G908" s="1310" t="s">
        <v>1521</v>
      </c>
      <c r="H908" s="1310" t="s">
        <v>1646</v>
      </c>
      <c r="I908" s="1310" t="s">
        <v>1466</v>
      </c>
      <c r="J908" s="1310" t="s">
        <v>1460</v>
      </c>
      <c r="K908" s="1310" t="s">
        <v>1448</v>
      </c>
      <c r="L908" s="1310" t="s">
        <v>1645</v>
      </c>
      <c r="M908" s="1310" t="s">
        <v>1550</v>
      </c>
      <c r="N908" s="1310" t="s">
        <v>1590</v>
      </c>
      <c r="O908" s="1310" t="s">
        <v>1622</v>
      </c>
      <c r="P908" s="1310" t="s">
        <v>120</v>
      </c>
      <c r="Q908" s="1310" t="s">
        <v>1443</v>
      </c>
      <c r="R908" s="1310" t="s">
        <v>1450</v>
      </c>
      <c r="S908" s="1310" t="s">
        <v>1648</v>
      </c>
      <c r="T908" s="1310" t="s">
        <v>1547</v>
      </c>
      <c r="U908" s="1310" t="s">
        <v>1468</v>
      </c>
      <c r="V908" s="1310" t="s">
        <v>1514</v>
      </c>
      <c r="W908" s="1310" t="s">
        <v>1468</v>
      </c>
      <c r="X908" s="1310" t="s">
        <v>110</v>
      </c>
      <c r="Y908" s="1310" t="s">
        <v>123</v>
      </c>
      <c r="Z908" s="1310" t="s">
        <v>1582</v>
      </c>
      <c r="AA908" s="1310" t="s">
        <v>1581</v>
      </c>
      <c r="AB908" s="1310" t="s">
        <v>1646</v>
      </c>
      <c r="AC908" s="1310" t="s">
        <v>124</v>
      </c>
      <c r="AD908" s="1310" t="s">
        <v>1560</v>
      </c>
      <c r="AE908" s="1310" t="s">
        <v>1479</v>
      </c>
      <c r="AF908" s="1310" t="s">
        <v>1517</v>
      </c>
    </row>
    <row r="909" spans="1:32" x14ac:dyDescent="0.3">
      <c r="A909" s="1310" t="s">
        <v>1571</v>
      </c>
      <c r="B909" s="1310" t="s">
        <v>1603</v>
      </c>
      <c r="C909" s="1310" t="s">
        <v>1447</v>
      </c>
      <c r="D909" s="1310" t="s">
        <v>1511</v>
      </c>
      <c r="E909" s="1310" t="s">
        <v>1560</v>
      </c>
      <c r="F909" s="1310" t="s">
        <v>1543</v>
      </c>
      <c r="G909" s="1310" t="s">
        <v>1507</v>
      </c>
      <c r="H909" s="1310" t="s">
        <v>1545</v>
      </c>
      <c r="I909" s="1310" t="s">
        <v>1515</v>
      </c>
      <c r="J909" s="1310" t="s">
        <v>1502</v>
      </c>
      <c r="K909" s="1310" t="s">
        <v>132</v>
      </c>
      <c r="L909" s="1310" t="s">
        <v>1551</v>
      </c>
      <c r="M909" s="1310" t="s">
        <v>1633</v>
      </c>
      <c r="N909" s="1310" t="s">
        <v>112</v>
      </c>
      <c r="O909" s="1310" t="s">
        <v>1461</v>
      </c>
      <c r="P909" s="1310" t="s">
        <v>1534</v>
      </c>
      <c r="Q909" s="1310" t="s">
        <v>267</v>
      </c>
      <c r="R909" s="1310" t="s">
        <v>1634</v>
      </c>
      <c r="S909" s="1310" t="s">
        <v>1511</v>
      </c>
      <c r="T909" s="1310" t="s">
        <v>1541</v>
      </c>
      <c r="U909" s="1310" t="s">
        <v>1444</v>
      </c>
      <c r="V909" s="1310" t="s">
        <v>465</v>
      </c>
      <c r="W909" s="1310" t="s">
        <v>114</v>
      </c>
      <c r="X909" s="1310" t="s">
        <v>1488</v>
      </c>
      <c r="Y909" s="1310" t="s">
        <v>1455</v>
      </c>
      <c r="Z909" s="1310" t="s">
        <v>1635</v>
      </c>
      <c r="AA909" s="1310" t="s">
        <v>1549</v>
      </c>
      <c r="AB909" s="1310" t="s">
        <v>1644</v>
      </c>
      <c r="AC909" s="1310" t="s">
        <v>1632</v>
      </c>
      <c r="AD909" s="1310" t="s">
        <v>1600</v>
      </c>
      <c r="AE909" s="1310" t="s">
        <v>1509</v>
      </c>
      <c r="AF909" s="1310" t="s">
        <v>1554</v>
      </c>
    </row>
    <row r="910" spans="1:32" x14ac:dyDescent="0.3">
      <c r="A910" s="1310" t="s">
        <v>1452</v>
      </c>
      <c r="B910" s="1310" t="s">
        <v>1621</v>
      </c>
      <c r="C910" s="1310" t="s">
        <v>1541</v>
      </c>
      <c r="D910" s="1310" t="s">
        <v>1444</v>
      </c>
      <c r="E910" s="1310" t="s">
        <v>465</v>
      </c>
      <c r="F910" s="1310" t="s">
        <v>114</v>
      </c>
      <c r="G910" s="1310" t="s">
        <v>1488</v>
      </c>
      <c r="H910" s="1310" t="s">
        <v>1455</v>
      </c>
      <c r="I910" s="1310" t="s">
        <v>1635</v>
      </c>
      <c r="J910" s="1310" t="s">
        <v>1549</v>
      </c>
      <c r="K910" s="1310" t="s">
        <v>1644</v>
      </c>
      <c r="L910" s="1310" t="s">
        <v>1632</v>
      </c>
      <c r="M910" s="1310" t="s">
        <v>1575</v>
      </c>
      <c r="N910" s="1310" t="s">
        <v>1443</v>
      </c>
      <c r="O910" s="1310" t="s">
        <v>1634</v>
      </c>
      <c r="P910" s="1310" t="s">
        <v>1571</v>
      </c>
      <c r="Q910" s="1310" t="s">
        <v>1562</v>
      </c>
      <c r="R910" s="1310" t="s">
        <v>1452</v>
      </c>
      <c r="S910" s="1310" t="s">
        <v>1621</v>
      </c>
      <c r="T910" s="1310" t="s">
        <v>1541</v>
      </c>
      <c r="U910" s="1310" t="s">
        <v>1444</v>
      </c>
      <c r="V910" s="1310" t="s">
        <v>465</v>
      </c>
      <c r="W910" s="1310" t="s">
        <v>114</v>
      </c>
      <c r="X910" s="1310" t="s">
        <v>1488</v>
      </c>
      <c r="Y910" s="1310" t="s">
        <v>1455</v>
      </c>
      <c r="Z910" s="1310" t="s">
        <v>1635</v>
      </c>
      <c r="AA910" s="1310" t="s">
        <v>1549</v>
      </c>
      <c r="AB910" s="1310" t="s">
        <v>1644</v>
      </c>
      <c r="AC910" s="1310" t="s">
        <v>1632</v>
      </c>
      <c r="AD910" s="1310" t="s">
        <v>1600</v>
      </c>
      <c r="AE910" s="1310" t="s">
        <v>1509</v>
      </c>
      <c r="AF910" s="1310" t="s">
        <v>1554</v>
      </c>
    </row>
    <row r="911" spans="1:32" x14ac:dyDescent="0.3">
      <c r="A911" s="1310" t="s">
        <v>1452</v>
      </c>
      <c r="B911" s="1310" t="s">
        <v>1621</v>
      </c>
      <c r="C911" s="1310" t="s">
        <v>1541</v>
      </c>
      <c r="D911" s="1310" t="s">
        <v>1444</v>
      </c>
      <c r="E911" s="1310" t="s">
        <v>465</v>
      </c>
      <c r="F911" s="1310" t="s">
        <v>114</v>
      </c>
      <c r="G911" s="1310" t="s">
        <v>1488</v>
      </c>
      <c r="H911" s="1310" t="s">
        <v>1455</v>
      </c>
      <c r="I911" s="1310" t="s">
        <v>1635</v>
      </c>
      <c r="J911" s="1310" t="s">
        <v>1549</v>
      </c>
      <c r="K911" s="1310" t="s">
        <v>1644</v>
      </c>
      <c r="L911" s="1310" t="s">
        <v>1632</v>
      </c>
      <c r="M911" s="1310" t="s">
        <v>471</v>
      </c>
      <c r="N911" s="1310" t="s">
        <v>269</v>
      </c>
      <c r="O911" s="1310" t="s">
        <v>1443</v>
      </c>
      <c r="P911" s="1310" t="s">
        <v>1450</v>
      </c>
      <c r="Q911" s="1310" t="s">
        <v>1629</v>
      </c>
      <c r="R911" s="1310" t="s">
        <v>1443</v>
      </c>
      <c r="S911" s="1310" t="s">
        <v>1450</v>
      </c>
      <c r="T911" s="1310" t="s">
        <v>1468</v>
      </c>
      <c r="U911" s="1310" t="s">
        <v>1550</v>
      </c>
      <c r="V911" s="1310" t="s">
        <v>1573</v>
      </c>
      <c r="W911" s="1310" t="s">
        <v>1602</v>
      </c>
      <c r="X911" s="1310" t="s">
        <v>1451</v>
      </c>
      <c r="Y911" s="1310" t="s">
        <v>1468</v>
      </c>
      <c r="Z911" s="1310" t="s">
        <v>465</v>
      </c>
      <c r="AA911" s="1310" t="s">
        <v>123</v>
      </c>
      <c r="AB911" s="1310" t="s">
        <v>1535</v>
      </c>
      <c r="AC911" s="1310" t="s">
        <v>1591</v>
      </c>
      <c r="AD911" s="1310" t="s">
        <v>1524</v>
      </c>
      <c r="AE911" s="1310" t="s">
        <v>1645</v>
      </c>
      <c r="AF911" s="1310" t="s">
        <v>1548</v>
      </c>
    </row>
    <row r="912" spans="1:32" x14ac:dyDescent="0.3">
      <c r="A912" s="1310" t="s">
        <v>1481</v>
      </c>
      <c r="B912" s="1310" t="s">
        <v>1566</v>
      </c>
      <c r="C912" s="1310" t="s">
        <v>1455</v>
      </c>
      <c r="D912" s="1310" t="s">
        <v>270</v>
      </c>
      <c r="E912" s="1310" t="s">
        <v>1639</v>
      </c>
      <c r="F912" s="1310" t="s">
        <v>122</v>
      </c>
      <c r="G912" s="1310" t="s">
        <v>1603</v>
      </c>
      <c r="H912" s="1310" t="s">
        <v>1542</v>
      </c>
      <c r="I912" s="1310" t="s">
        <v>1473</v>
      </c>
      <c r="J912" s="1310" t="s">
        <v>1470</v>
      </c>
      <c r="K912" s="1310" t="s">
        <v>1515</v>
      </c>
      <c r="L912" s="1310" t="s">
        <v>1652</v>
      </c>
      <c r="M912" s="1310" t="s">
        <v>471</v>
      </c>
      <c r="N912" s="1310" t="s">
        <v>1535</v>
      </c>
      <c r="O912" s="1310" t="s">
        <v>123</v>
      </c>
      <c r="P912" s="1310" t="s">
        <v>1656</v>
      </c>
      <c r="Q912" s="1310" t="s">
        <v>128</v>
      </c>
      <c r="R912" s="1310" t="s">
        <v>120</v>
      </c>
      <c r="S912" s="1310" t="s">
        <v>1482</v>
      </c>
      <c r="T912" s="1310" t="s">
        <v>119</v>
      </c>
      <c r="U912" s="1310" t="s">
        <v>1637</v>
      </c>
      <c r="V912" s="1310" t="s">
        <v>1535</v>
      </c>
      <c r="W912" s="1310" t="s">
        <v>1582</v>
      </c>
      <c r="X912" s="1310" t="s">
        <v>1494</v>
      </c>
      <c r="Y912" s="1310" t="s">
        <v>1587</v>
      </c>
      <c r="Z912" s="1310" t="s">
        <v>1467</v>
      </c>
      <c r="AA912" s="1310" t="s">
        <v>1601</v>
      </c>
      <c r="AB912" s="1310" t="s">
        <v>1027</v>
      </c>
      <c r="AC912" s="1310" t="s">
        <v>1600</v>
      </c>
      <c r="AD912" s="1310" t="s">
        <v>1564</v>
      </c>
      <c r="AE912" s="1310" t="s">
        <v>1627</v>
      </c>
      <c r="AF912" s="1310" t="s">
        <v>1616</v>
      </c>
    </row>
    <row r="913" spans="1:32" x14ac:dyDescent="0.3">
      <c r="A913" s="1310" t="s">
        <v>1650</v>
      </c>
      <c r="B913" s="1310" t="s">
        <v>128</v>
      </c>
      <c r="C913" s="1310" t="s">
        <v>1536</v>
      </c>
      <c r="D913" s="1310" t="s">
        <v>1627</v>
      </c>
      <c r="E913" s="1310" t="s">
        <v>1474</v>
      </c>
      <c r="F913" s="1310" t="s">
        <v>1637</v>
      </c>
      <c r="G913" s="1310" t="s">
        <v>1454</v>
      </c>
      <c r="H913" s="1310" t="s">
        <v>1647</v>
      </c>
      <c r="I913" s="1310" t="s">
        <v>1579</v>
      </c>
      <c r="J913" s="1310" t="s">
        <v>1567</v>
      </c>
      <c r="K913" s="1310" t="s">
        <v>1555</v>
      </c>
      <c r="L913" s="1310" t="s">
        <v>1521</v>
      </c>
      <c r="M913" s="1310" t="s">
        <v>1491</v>
      </c>
      <c r="N913" s="1310" t="s">
        <v>1621</v>
      </c>
      <c r="O913" s="1310" t="s">
        <v>1601</v>
      </c>
      <c r="P913" s="1310" t="s">
        <v>1473</v>
      </c>
      <c r="Q913" s="1310" t="s">
        <v>264</v>
      </c>
      <c r="R913" s="1310" t="s">
        <v>1617</v>
      </c>
      <c r="S913" s="1310" t="s">
        <v>1605</v>
      </c>
      <c r="T913" s="1310" t="s">
        <v>1567</v>
      </c>
      <c r="U913" s="1310" t="s">
        <v>1520</v>
      </c>
      <c r="V913" s="1310" t="s">
        <v>1497</v>
      </c>
      <c r="W913" s="1310" t="s">
        <v>1646</v>
      </c>
      <c r="X913" s="1310" t="s">
        <v>1564</v>
      </c>
      <c r="Y913" s="1310" t="s">
        <v>264</v>
      </c>
      <c r="Z913" s="1310" t="s">
        <v>1611</v>
      </c>
      <c r="AA913" s="1310" t="s">
        <v>1615</v>
      </c>
      <c r="AB913" s="1310" t="s">
        <v>1570</v>
      </c>
      <c r="AC913" s="1310" t="s">
        <v>1497</v>
      </c>
      <c r="AD913" s="1310" t="s">
        <v>1627</v>
      </c>
      <c r="AE913" s="1310" t="s">
        <v>1517</v>
      </c>
      <c r="AF913" s="1310" t="s">
        <v>1498</v>
      </c>
    </row>
    <row r="914" spans="1:32" x14ac:dyDescent="0.3">
      <c r="A914" s="1310" t="s">
        <v>1558</v>
      </c>
      <c r="B914" s="1310" t="s">
        <v>126</v>
      </c>
      <c r="C914" s="1310" t="s">
        <v>465</v>
      </c>
      <c r="D914" s="1310" t="s">
        <v>1558</v>
      </c>
      <c r="E914" s="1310" t="s">
        <v>1460</v>
      </c>
      <c r="F914" s="1310" t="s">
        <v>1454</v>
      </c>
      <c r="G914" s="1310" t="s">
        <v>1609</v>
      </c>
      <c r="H914" s="1310" t="s">
        <v>1604</v>
      </c>
      <c r="I914" s="1310" t="s">
        <v>1521</v>
      </c>
      <c r="J914" s="1310" t="s">
        <v>1500</v>
      </c>
      <c r="K914" s="1310" t="s">
        <v>1557</v>
      </c>
      <c r="L914" s="1310" t="s">
        <v>1572</v>
      </c>
      <c r="M914" s="1310" t="s">
        <v>1491</v>
      </c>
      <c r="N914" s="1310" t="s">
        <v>1458</v>
      </c>
      <c r="O914" s="1310" t="s">
        <v>1640</v>
      </c>
      <c r="P914" s="1310" t="s">
        <v>1493</v>
      </c>
      <c r="Q914" s="1310" t="s">
        <v>1637</v>
      </c>
      <c r="R914" s="1310" t="s">
        <v>1481</v>
      </c>
      <c r="S914" s="1310" t="s">
        <v>1536</v>
      </c>
      <c r="T914" s="1310" t="s">
        <v>1652</v>
      </c>
      <c r="U914" s="1310" t="s">
        <v>1608</v>
      </c>
      <c r="V914" s="1310" t="s">
        <v>1658</v>
      </c>
      <c r="W914" s="1310" t="s">
        <v>1635</v>
      </c>
      <c r="X914" s="1310" t="s">
        <v>1490</v>
      </c>
      <c r="Y914" s="1310" t="s">
        <v>1532</v>
      </c>
      <c r="Z914" s="1310" t="s">
        <v>1572</v>
      </c>
      <c r="AA914" s="1310" t="s">
        <v>1566</v>
      </c>
      <c r="AB914" s="1310" t="s">
        <v>1617</v>
      </c>
      <c r="AC914" s="1310" t="s">
        <v>1482</v>
      </c>
      <c r="AD914" s="1310" t="s">
        <v>1572</v>
      </c>
      <c r="AE914" s="1310" t="s">
        <v>1582</v>
      </c>
      <c r="AF914" s="1310" t="s">
        <v>1457</v>
      </c>
    </row>
    <row r="915" spans="1:32" x14ac:dyDescent="0.3">
      <c r="A915" s="1310" t="s">
        <v>1537</v>
      </c>
      <c r="B915" s="1310" t="s">
        <v>1640</v>
      </c>
      <c r="C915" s="1310" t="s">
        <v>1655</v>
      </c>
      <c r="D915" s="1310" t="s">
        <v>1568</v>
      </c>
      <c r="E915" s="1310" t="s">
        <v>121</v>
      </c>
      <c r="F915" s="1310" t="s">
        <v>132</v>
      </c>
      <c r="G915" s="1310" t="s">
        <v>1027</v>
      </c>
      <c r="H915" s="1310" t="s">
        <v>121</v>
      </c>
      <c r="I915" s="1310" t="s">
        <v>1574</v>
      </c>
      <c r="J915" s="1310" t="s">
        <v>116</v>
      </c>
      <c r="K915" s="1310" t="s">
        <v>1447</v>
      </c>
      <c r="L915" s="1310" t="s">
        <v>1566</v>
      </c>
      <c r="M915" s="1310" t="s">
        <v>1646</v>
      </c>
      <c r="N915" s="1310" t="s">
        <v>1491</v>
      </c>
      <c r="O915" s="1310" t="s">
        <v>1575</v>
      </c>
      <c r="P915" s="1310" t="s">
        <v>123</v>
      </c>
      <c r="Q915" s="1310" t="s">
        <v>1594</v>
      </c>
      <c r="R915" s="1310" t="s">
        <v>1522</v>
      </c>
      <c r="S915" s="1310" t="s">
        <v>1617</v>
      </c>
      <c r="T915" s="1310" t="s">
        <v>1503</v>
      </c>
      <c r="U915" s="1310" t="s">
        <v>1504</v>
      </c>
      <c r="V915" s="1310" t="s">
        <v>1563</v>
      </c>
      <c r="W915" s="1310" t="s">
        <v>1592</v>
      </c>
      <c r="X915" s="1310" t="s">
        <v>1626</v>
      </c>
      <c r="Y915" s="1310" t="s">
        <v>1030</v>
      </c>
      <c r="Z915" s="1310" t="s">
        <v>1448</v>
      </c>
      <c r="AA915" s="1310" t="s">
        <v>116</v>
      </c>
      <c r="AB915" s="1310" t="s">
        <v>1655</v>
      </c>
      <c r="AC915" s="1310" t="s">
        <v>122</v>
      </c>
      <c r="AD915" s="1310" t="s">
        <v>1574</v>
      </c>
      <c r="AE915" s="1310" t="s">
        <v>1461</v>
      </c>
      <c r="AF915" s="1310" t="s">
        <v>1582</v>
      </c>
    </row>
    <row r="916" spans="1:32" x14ac:dyDescent="0.3">
      <c r="A916" s="1310" t="s">
        <v>1659</v>
      </c>
      <c r="B916" s="1310" t="s">
        <v>1464</v>
      </c>
      <c r="C916" s="1310" t="s">
        <v>1530</v>
      </c>
      <c r="D916" s="1310" t="s">
        <v>1630</v>
      </c>
      <c r="E916" s="1310" t="s">
        <v>1535</v>
      </c>
      <c r="F916" s="1310" t="s">
        <v>1540</v>
      </c>
      <c r="G916" s="1310" t="s">
        <v>1511</v>
      </c>
      <c r="H916" s="1310" t="s">
        <v>1547</v>
      </c>
      <c r="I916" s="1310" t="s">
        <v>267</v>
      </c>
      <c r="J916" s="1310" t="s">
        <v>1591</v>
      </c>
      <c r="K916" s="1310" t="s">
        <v>1648</v>
      </c>
      <c r="L916" s="1310" t="s">
        <v>1656</v>
      </c>
      <c r="M916" s="1310" t="s">
        <v>118</v>
      </c>
      <c r="N916" s="1310" t="s">
        <v>1444</v>
      </c>
      <c r="O916" s="1310" t="s">
        <v>1541</v>
      </c>
      <c r="P916" s="1310" t="s">
        <v>1610</v>
      </c>
      <c r="Q916" s="1310" t="s">
        <v>1547</v>
      </c>
      <c r="R916" s="1310" t="s">
        <v>1521</v>
      </c>
      <c r="S916" s="1310" t="s">
        <v>1541</v>
      </c>
      <c r="T916" s="1310" t="s">
        <v>1479</v>
      </c>
      <c r="U916" s="1310" t="s">
        <v>1469</v>
      </c>
      <c r="V916" s="1310" t="s">
        <v>1567</v>
      </c>
      <c r="W916" s="1310" t="s">
        <v>1482</v>
      </c>
      <c r="X916" s="1310" t="s">
        <v>1541</v>
      </c>
      <c r="Y916" s="1310" t="s">
        <v>1453</v>
      </c>
      <c r="Z916" s="1310" t="s">
        <v>1556</v>
      </c>
      <c r="AA916" s="1310" t="s">
        <v>1473</v>
      </c>
      <c r="AB916" s="1310" t="s">
        <v>1562</v>
      </c>
      <c r="AC916" s="1310" t="s">
        <v>1549</v>
      </c>
      <c r="AD916" s="1310" t="s">
        <v>1541</v>
      </c>
      <c r="AE916" s="1310" t="s">
        <v>1608</v>
      </c>
      <c r="AF916" s="1310" t="s">
        <v>113</v>
      </c>
    </row>
    <row r="917" spans="1:32" x14ac:dyDescent="0.3">
      <c r="A917" s="1310" t="s">
        <v>1605</v>
      </c>
      <c r="B917" s="1310" t="s">
        <v>1459</v>
      </c>
      <c r="C917" s="1310" t="s">
        <v>1541</v>
      </c>
      <c r="D917" s="1310" t="s">
        <v>1485</v>
      </c>
      <c r="E917" s="1310" t="s">
        <v>117</v>
      </c>
      <c r="F917" s="1310" t="s">
        <v>1525</v>
      </c>
      <c r="G917" s="1310" t="s">
        <v>1558</v>
      </c>
      <c r="H917" s="1310" t="s">
        <v>1452</v>
      </c>
      <c r="I917" s="1310" t="s">
        <v>1555</v>
      </c>
      <c r="J917" s="1310" t="s">
        <v>1447</v>
      </c>
      <c r="K917" s="1310" t="s">
        <v>1448</v>
      </c>
      <c r="L917" s="1310" t="s">
        <v>1632</v>
      </c>
      <c r="M917" s="1310" t="s">
        <v>1628</v>
      </c>
      <c r="N917" s="1310" t="s">
        <v>1461</v>
      </c>
      <c r="O917" s="1310" t="s">
        <v>123</v>
      </c>
      <c r="P917" s="1310" t="s">
        <v>1509</v>
      </c>
      <c r="Q917" s="1310" t="s">
        <v>1599</v>
      </c>
      <c r="R917" s="1310" t="s">
        <v>1632</v>
      </c>
      <c r="S917" s="1310" t="s">
        <v>1600</v>
      </c>
      <c r="T917" s="1310" t="s">
        <v>1509</v>
      </c>
      <c r="U917" s="1310" t="s">
        <v>1553</v>
      </c>
      <c r="V917" s="1310" t="s">
        <v>1567</v>
      </c>
      <c r="W917" s="1310" t="s">
        <v>1641</v>
      </c>
      <c r="X917" s="1310" t="s">
        <v>1502</v>
      </c>
      <c r="Y917" s="1310" t="s">
        <v>1657</v>
      </c>
      <c r="Z917" s="1310" t="s">
        <v>1529</v>
      </c>
      <c r="AA917" s="1310" t="s">
        <v>1502</v>
      </c>
      <c r="AB917" s="1310" t="s">
        <v>1458</v>
      </c>
      <c r="AC917" s="1310" t="s">
        <v>122</v>
      </c>
      <c r="AD917" s="1310" t="s">
        <v>1647</v>
      </c>
      <c r="AE917" s="1310" t="s">
        <v>122</v>
      </c>
      <c r="AF917" s="1310" t="s">
        <v>1561</v>
      </c>
    </row>
    <row r="918" spans="1:32" x14ac:dyDescent="0.3">
      <c r="A918" s="1310" t="s">
        <v>1567</v>
      </c>
      <c r="B918" s="1310" t="s">
        <v>1459</v>
      </c>
      <c r="C918" s="1310" t="s">
        <v>1449</v>
      </c>
      <c r="D918" s="1310" t="s">
        <v>1613</v>
      </c>
      <c r="E918" s="1310" t="s">
        <v>1565</v>
      </c>
      <c r="F918" s="1310" t="s">
        <v>1551</v>
      </c>
      <c r="G918" s="1310" t="s">
        <v>118</v>
      </c>
      <c r="H918" s="1310" t="s">
        <v>1553</v>
      </c>
      <c r="I918" s="1310" t="s">
        <v>1651</v>
      </c>
      <c r="J918" s="1310" t="s">
        <v>1561</v>
      </c>
      <c r="K918" s="1310" t="s">
        <v>1552</v>
      </c>
      <c r="L918" s="1310" t="s">
        <v>1530</v>
      </c>
      <c r="M918" s="1310" t="s">
        <v>1557</v>
      </c>
      <c r="N918" s="1310" t="s">
        <v>1496</v>
      </c>
      <c r="O918" s="1310" t="s">
        <v>1549</v>
      </c>
      <c r="P918" s="1310" t="s">
        <v>1499</v>
      </c>
      <c r="Q918" s="1310" t="s">
        <v>1613</v>
      </c>
      <c r="R918" s="1310" t="s">
        <v>1588</v>
      </c>
      <c r="S918" s="1310" t="s">
        <v>1592</v>
      </c>
      <c r="T918" s="1310" t="s">
        <v>1616</v>
      </c>
      <c r="U918" s="1310" t="s">
        <v>1602</v>
      </c>
      <c r="V918" s="1310" t="s">
        <v>1543</v>
      </c>
      <c r="W918" s="1310" t="s">
        <v>1521</v>
      </c>
      <c r="X918" s="1310" t="s">
        <v>1463</v>
      </c>
      <c r="Y918" s="1310" t="s">
        <v>1648</v>
      </c>
      <c r="Z918" s="1310" t="s">
        <v>124</v>
      </c>
      <c r="AA918" s="1310" t="s">
        <v>128</v>
      </c>
      <c r="AB918" s="1310" t="s">
        <v>1543</v>
      </c>
      <c r="AC918" s="1310" t="s">
        <v>1510</v>
      </c>
      <c r="AD918" s="1310" t="s">
        <v>1553</v>
      </c>
      <c r="AE918" s="1310" t="s">
        <v>121</v>
      </c>
      <c r="AF918" s="1310" t="s">
        <v>1483</v>
      </c>
    </row>
    <row r="919" spans="1:32" x14ac:dyDescent="0.3">
      <c r="A919" s="1310" t="s">
        <v>118</v>
      </c>
      <c r="B919" s="1310" t="s">
        <v>1508</v>
      </c>
      <c r="C919" s="1310" t="s">
        <v>1558</v>
      </c>
      <c r="D919" s="1310" t="s">
        <v>1460</v>
      </c>
      <c r="E919" s="1310" t="s">
        <v>1610</v>
      </c>
      <c r="F919" s="1310" t="s">
        <v>1595</v>
      </c>
      <c r="G919" s="1310" t="s">
        <v>1653</v>
      </c>
      <c r="H919" s="1310" t="s">
        <v>1481</v>
      </c>
      <c r="I919" s="1310" t="s">
        <v>129</v>
      </c>
      <c r="J919" s="1310" t="s">
        <v>1640</v>
      </c>
      <c r="K919" s="1310" t="s">
        <v>1482</v>
      </c>
      <c r="L919" s="1310" t="s">
        <v>1483</v>
      </c>
      <c r="M919" s="1310" t="s">
        <v>1446</v>
      </c>
      <c r="N919" s="1310" t="s">
        <v>268</v>
      </c>
      <c r="O919" s="1310" t="s">
        <v>1617</v>
      </c>
      <c r="P919" s="1310" t="s">
        <v>111</v>
      </c>
      <c r="Q919" s="1310" t="s">
        <v>1637</v>
      </c>
      <c r="R919" s="1310" t="s">
        <v>1616</v>
      </c>
      <c r="S919" s="1310" t="s">
        <v>1484</v>
      </c>
      <c r="T919" s="1310" t="s">
        <v>1511</v>
      </c>
      <c r="U919" s="1310" t="s">
        <v>1530</v>
      </c>
      <c r="V919" s="1310" t="s">
        <v>1538</v>
      </c>
      <c r="W919" s="1310" t="s">
        <v>1548</v>
      </c>
      <c r="X919" s="1310" t="s">
        <v>264</v>
      </c>
      <c r="Y919" s="1310" t="s">
        <v>1558</v>
      </c>
      <c r="Z919" s="1310" t="s">
        <v>1596</v>
      </c>
      <c r="AA919" s="1310" t="s">
        <v>1564</v>
      </c>
      <c r="AB919" s="1310" t="s">
        <v>1591</v>
      </c>
      <c r="AC919" s="1310" t="s">
        <v>1484</v>
      </c>
      <c r="AD919" s="1310" t="s">
        <v>1511</v>
      </c>
      <c r="AE919" s="1310" t="s">
        <v>1523</v>
      </c>
      <c r="AF919" s="1310" t="s">
        <v>270</v>
      </c>
    </row>
    <row r="920" spans="1:32" x14ac:dyDescent="0.3">
      <c r="A920" s="1310" t="s">
        <v>269</v>
      </c>
      <c r="B920" s="1310" t="s">
        <v>1597</v>
      </c>
      <c r="C920" s="1310" t="s">
        <v>1545</v>
      </c>
      <c r="D920" s="1310" t="s">
        <v>1660</v>
      </c>
      <c r="E920" s="1310" t="s">
        <v>1499</v>
      </c>
      <c r="F920" s="1310" t="s">
        <v>130</v>
      </c>
      <c r="G920" s="1310" t="s">
        <v>1559</v>
      </c>
      <c r="H920" s="1310" t="s">
        <v>1616</v>
      </c>
      <c r="I920" s="1310" t="s">
        <v>1471</v>
      </c>
      <c r="J920" s="1310" t="s">
        <v>1500</v>
      </c>
      <c r="K920" s="1310" t="s">
        <v>119</v>
      </c>
      <c r="L920" s="1310" t="s">
        <v>1594</v>
      </c>
      <c r="M920" s="1310" t="s">
        <v>1586</v>
      </c>
      <c r="N920" s="1310" t="s">
        <v>1484</v>
      </c>
      <c r="O920" s="1310" t="s">
        <v>1507</v>
      </c>
      <c r="P920" s="1310" t="s">
        <v>1619</v>
      </c>
      <c r="Q920" s="1310" t="s">
        <v>268</v>
      </c>
      <c r="R920" s="1310" t="s">
        <v>1532</v>
      </c>
      <c r="S920" s="1310" t="s">
        <v>1652</v>
      </c>
      <c r="T920" s="1310" t="s">
        <v>1483</v>
      </c>
      <c r="U920" s="1310" t="s">
        <v>1469</v>
      </c>
      <c r="V920" s="1310" t="s">
        <v>1485</v>
      </c>
      <c r="W920" s="1310" t="s">
        <v>1546</v>
      </c>
      <c r="X920" s="1310" t="s">
        <v>1453</v>
      </c>
      <c r="Y920" s="1310" t="s">
        <v>1643</v>
      </c>
      <c r="Z920" s="1310" t="s">
        <v>1617</v>
      </c>
      <c r="AA920" s="1310" t="s">
        <v>1462</v>
      </c>
      <c r="AB920" s="1310" t="s">
        <v>1611</v>
      </c>
      <c r="AC920" s="1310" t="s">
        <v>1484</v>
      </c>
      <c r="AD920" s="1310" t="s">
        <v>1606</v>
      </c>
      <c r="AE920" s="1310" t="s">
        <v>1545</v>
      </c>
      <c r="AF920" s="1310" t="s">
        <v>1652</v>
      </c>
    </row>
    <row r="921" spans="1:32" x14ac:dyDescent="0.3">
      <c r="A921" s="1310" t="s">
        <v>1542</v>
      </c>
      <c r="B921" s="1310" t="s">
        <v>1504</v>
      </c>
      <c r="C921" s="1310" t="s">
        <v>1464</v>
      </c>
      <c r="D921" s="1310" t="s">
        <v>1494</v>
      </c>
      <c r="E921" s="1310" t="s">
        <v>1481</v>
      </c>
      <c r="F921" s="1310" t="s">
        <v>1548</v>
      </c>
      <c r="G921" s="1310" t="s">
        <v>1556</v>
      </c>
      <c r="H921" s="1310" t="s">
        <v>1508</v>
      </c>
      <c r="I921" s="1310" t="s">
        <v>1583</v>
      </c>
      <c r="J921" s="1310" t="s">
        <v>1623</v>
      </c>
      <c r="K921" s="1310" t="s">
        <v>1556</v>
      </c>
      <c r="L921" s="1310" t="s">
        <v>1601</v>
      </c>
      <c r="M921" s="1310" t="s">
        <v>1537</v>
      </c>
      <c r="N921" s="1310" t="s">
        <v>1498</v>
      </c>
      <c r="O921" s="1310" t="s">
        <v>127</v>
      </c>
      <c r="P921" s="1310" t="s">
        <v>1643</v>
      </c>
      <c r="Q921" s="1310" t="s">
        <v>127</v>
      </c>
      <c r="R921" s="1310" t="s">
        <v>1636</v>
      </c>
      <c r="S921" s="1310" t="s">
        <v>1448</v>
      </c>
      <c r="T921" s="1310" t="s">
        <v>1659</v>
      </c>
      <c r="U921" s="1310" t="s">
        <v>1464</v>
      </c>
      <c r="V921" s="1310" t="s">
        <v>1601</v>
      </c>
      <c r="W921" s="1310" t="s">
        <v>1626</v>
      </c>
      <c r="X921" s="1310" t="s">
        <v>116</v>
      </c>
      <c r="Y921" s="1310" t="s">
        <v>1577</v>
      </c>
      <c r="Z921" s="1310" t="s">
        <v>1574</v>
      </c>
      <c r="AA921" s="1310" t="s">
        <v>1599</v>
      </c>
      <c r="AB921" s="1310" t="s">
        <v>1613</v>
      </c>
      <c r="AC921" s="1310" t="s">
        <v>1585</v>
      </c>
      <c r="AD921" s="1310" t="s">
        <v>1443</v>
      </c>
      <c r="AE921" s="1310" t="s">
        <v>1450</v>
      </c>
      <c r="AF921" s="1310" t="s">
        <v>1574</v>
      </c>
    </row>
    <row r="922" spans="1:32" x14ac:dyDescent="0.3">
      <c r="A922" s="1310" t="s">
        <v>120</v>
      </c>
      <c r="B922" s="1310" t="s">
        <v>1551</v>
      </c>
      <c r="C922" s="1310" t="s">
        <v>1579</v>
      </c>
      <c r="D922" s="1310" t="s">
        <v>1660</v>
      </c>
      <c r="E922" s="1310" t="s">
        <v>1641</v>
      </c>
      <c r="F922" s="1310" t="s">
        <v>1622</v>
      </c>
      <c r="G922" s="1310" t="s">
        <v>1579</v>
      </c>
      <c r="H922" s="1310" t="s">
        <v>1620</v>
      </c>
      <c r="I922" s="1310" t="s">
        <v>1570</v>
      </c>
      <c r="J922" s="1310" t="s">
        <v>1477</v>
      </c>
      <c r="K922" s="1310" t="s">
        <v>1548</v>
      </c>
      <c r="L922" s="1310" t="s">
        <v>121</v>
      </c>
      <c r="M922" s="1310" t="s">
        <v>1660</v>
      </c>
      <c r="N922" s="1310" t="s">
        <v>116</v>
      </c>
      <c r="O922" s="1310" t="s">
        <v>1658</v>
      </c>
      <c r="P922" s="1310" t="s">
        <v>1565</v>
      </c>
      <c r="Q922" s="1310" t="s">
        <v>1657</v>
      </c>
      <c r="R922" s="1310" t="s">
        <v>1518</v>
      </c>
      <c r="S922" s="1310" t="s">
        <v>1642</v>
      </c>
      <c r="T922" s="1310" t="s">
        <v>1660</v>
      </c>
      <c r="U922" s="1310" t="s">
        <v>1474</v>
      </c>
      <c r="V922" s="1310" t="s">
        <v>1493</v>
      </c>
      <c r="W922" s="1310" t="s">
        <v>130</v>
      </c>
      <c r="X922" s="1310" t="s">
        <v>1548</v>
      </c>
      <c r="Y922" s="1310" t="s">
        <v>1547</v>
      </c>
      <c r="Z922" s="1310" t="s">
        <v>111</v>
      </c>
      <c r="AA922" s="1310" t="s">
        <v>1471</v>
      </c>
      <c r="AB922" s="1310" t="s">
        <v>128</v>
      </c>
      <c r="AC922" s="1310" t="s">
        <v>1462</v>
      </c>
      <c r="AD922" s="1310" t="s">
        <v>1455</v>
      </c>
      <c r="AE922" s="1310" t="s">
        <v>471</v>
      </c>
      <c r="AF922" s="1310" t="s">
        <v>113</v>
      </c>
    </row>
    <row r="923" spans="1:32" x14ac:dyDescent="0.3">
      <c r="A923" s="1310" t="s">
        <v>1638</v>
      </c>
      <c r="B923" s="1310" t="s">
        <v>1466</v>
      </c>
      <c r="C923" s="1310" t="s">
        <v>1451</v>
      </c>
      <c r="D923" s="1310" t="s">
        <v>1454</v>
      </c>
      <c r="E923" s="1310" t="s">
        <v>1603</v>
      </c>
      <c r="F923" s="1310" t="s">
        <v>1617</v>
      </c>
      <c r="G923" s="1310" t="s">
        <v>1611</v>
      </c>
      <c r="H923" s="1310" t="s">
        <v>1480</v>
      </c>
      <c r="I923" s="1310" t="s">
        <v>1591</v>
      </c>
      <c r="J923" s="1310" t="s">
        <v>1562</v>
      </c>
      <c r="K923" s="1310" t="s">
        <v>1570</v>
      </c>
      <c r="L923" s="1310" t="s">
        <v>1588</v>
      </c>
      <c r="M923" s="1310" t="s">
        <v>1618</v>
      </c>
      <c r="N923" s="1310" t="s">
        <v>1517</v>
      </c>
      <c r="O923" s="1310" t="s">
        <v>114</v>
      </c>
      <c r="P923" s="1310" t="s">
        <v>1532</v>
      </c>
      <c r="Q923" s="1310" t="s">
        <v>1547</v>
      </c>
      <c r="R923" s="1310" t="s">
        <v>1636</v>
      </c>
      <c r="S923" s="1310" t="s">
        <v>1660</v>
      </c>
      <c r="T923" s="1310" t="s">
        <v>128</v>
      </c>
      <c r="U923" s="1310" t="s">
        <v>1563</v>
      </c>
      <c r="V923" s="1310" t="s">
        <v>1594</v>
      </c>
      <c r="W923" s="1310" t="s">
        <v>126</v>
      </c>
      <c r="X923" s="1310" t="s">
        <v>1459</v>
      </c>
      <c r="Y923" s="1310" t="s">
        <v>1608</v>
      </c>
      <c r="Z923" s="1310" t="s">
        <v>1535</v>
      </c>
      <c r="AA923" s="1310" t="s">
        <v>1530</v>
      </c>
      <c r="AB923" s="1310" t="s">
        <v>1567</v>
      </c>
      <c r="AC923" s="1310" t="s">
        <v>124</v>
      </c>
      <c r="AD923" s="1310" t="s">
        <v>1645</v>
      </c>
      <c r="AE923" s="1310" t="s">
        <v>1464</v>
      </c>
      <c r="AF923" s="1310" t="s">
        <v>1603</v>
      </c>
    </row>
    <row r="924" spans="1:32" x14ac:dyDescent="0.3">
      <c r="A924" s="1310" t="s">
        <v>1600</v>
      </c>
      <c r="B924" s="1310" t="s">
        <v>1525</v>
      </c>
      <c r="C924" s="1310" t="s">
        <v>1595</v>
      </c>
      <c r="D924" s="1310" t="s">
        <v>111</v>
      </c>
      <c r="E924" s="1310" t="s">
        <v>1464</v>
      </c>
      <c r="F924" s="1310" t="s">
        <v>1609</v>
      </c>
      <c r="G924" s="1310" t="s">
        <v>1646</v>
      </c>
      <c r="H924" s="1310" t="s">
        <v>1584</v>
      </c>
      <c r="I924" s="1310" t="s">
        <v>113</v>
      </c>
      <c r="J924" s="1310" t="s">
        <v>1599</v>
      </c>
      <c r="K924" s="1310" t="s">
        <v>1030</v>
      </c>
      <c r="L924" s="1310" t="s">
        <v>1468</v>
      </c>
      <c r="M924" s="1310" t="s">
        <v>1570</v>
      </c>
      <c r="N924" s="1310" t="s">
        <v>1474</v>
      </c>
      <c r="O924" s="1310" t="s">
        <v>1468</v>
      </c>
      <c r="P924" s="1310" t="s">
        <v>1521</v>
      </c>
      <c r="Q924" s="1310" t="s">
        <v>1660</v>
      </c>
      <c r="R924" s="1310" t="s">
        <v>1556</v>
      </c>
      <c r="S924" s="1310" t="s">
        <v>1517</v>
      </c>
      <c r="T924" s="1310" t="s">
        <v>1551</v>
      </c>
      <c r="U924" s="1310" t="s">
        <v>1638</v>
      </c>
      <c r="V924" s="1310" t="s">
        <v>1641</v>
      </c>
      <c r="W924" s="1310" t="s">
        <v>1636</v>
      </c>
      <c r="X924" s="1310" t="s">
        <v>1451</v>
      </c>
      <c r="Y924" s="1310" t="s">
        <v>120</v>
      </c>
      <c r="Z924" s="1310" t="s">
        <v>1629</v>
      </c>
      <c r="AA924" s="1310" t="s">
        <v>1569</v>
      </c>
      <c r="AB924" s="1310" t="s">
        <v>1468</v>
      </c>
      <c r="AC924" s="1310" t="s">
        <v>1467</v>
      </c>
      <c r="AD924" s="1310" t="s">
        <v>1580</v>
      </c>
      <c r="AE924" s="1310" t="s">
        <v>471</v>
      </c>
      <c r="AF924" s="1310" t="s">
        <v>124</v>
      </c>
    </row>
    <row r="925" spans="1:32" x14ac:dyDescent="0.3">
      <c r="A925" s="1310" t="s">
        <v>1580</v>
      </c>
      <c r="B925" s="1310" t="s">
        <v>1553</v>
      </c>
      <c r="C925" s="1310" t="s">
        <v>1603</v>
      </c>
      <c r="D925" s="1310" t="s">
        <v>1605</v>
      </c>
      <c r="E925" s="1310" t="s">
        <v>1629</v>
      </c>
      <c r="F925" s="1310" t="s">
        <v>1592</v>
      </c>
      <c r="G925" s="1310" t="s">
        <v>124</v>
      </c>
      <c r="H925" s="1310" t="s">
        <v>1551</v>
      </c>
      <c r="I925" s="1310" t="s">
        <v>1603</v>
      </c>
      <c r="J925" s="1310" t="s">
        <v>1584</v>
      </c>
      <c r="K925" s="1310" t="s">
        <v>1551</v>
      </c>
      <c r="L925" s="1310" t="s">
        <v>1575</v>
      </c>
      <c r="M925" s="1310" t="s">
        <v>1637</v>
      </c>
      <c r="N925" s="1310" t="s">
        <v>1030</v>
      </c>
      <c r="O925" s="1310" t="s">
        <v>1640</v>
      </c>
      <c r="P925" s="1310" t="s">
        <v>1501</v>
      </c>
      <c r="Q925" s="1310" t="s">
        <v>1631</v>
      </c>
      <c r="R925" s="1310" t="s">
        <v>1647</v>
      </c>
      <c r="S925" s="1310" t="s">
        <v>1553</v>
      </c>
      <c r="T925" s="1310" t="s">
        <v>1640</v>
      </c>
      <c r="U925" s="1310" t="s">
        <v>1580</v>
      </c>
      <c r="V925" s="1310" t="s">
        <v>1480</v>
      </c>
      <c r="W925" s="1310" t="s">
        <v>128</v>
      </c>
      <c r="X925" s="1310" t="s">
        <v>1617</v>
      </c>
      <c r="Y925" s="1310" t="s">
        <v>1499</v>
      </c>
      <c r="Z925" s="1310" t="s">
        <v>1654</v>
      </c>
      <c r="AA925" s="1310" t="s">
        <v>1474</v>
      </c>
      <c r="AB925" s="1310" t="s">
        <v>1492</v>
      </c>
      <c r="AC925" s="1310" t="s">
        <v>1509</v>
      </c>
      <c r="AD925" s="1310" t="s">
        <v>1469</v>
      </c>
      <c r="AE925" s="1310" t="s">
        <v>1653</v>
      </c>
      <c r="AF925" s="1310" t="s">
        <v>1542</v>
      </c>
    </row>
    <row r="926" spans="1:32" x14ac:dyDescent="0.3">
      <c r="A926" s="1310" t="s">
        <v>1480</v>
      </c>
      <c r="B926" s="1310" t="s">
        <v>1520</v>
      </c>
      <c r="C926" s="1310" t="s">
        <v>1564</v>
      </c>
      <c r="D926" s="1310" t="s">
        <v>1580</v>
      </c>
      <c r="E926" s="1310" t="s">
        <v>1625</v>
      </c>
      <c r="F926" s="1310" t="s">
        <v>1483</v>
      </c>
      <c r="G926" s="1310" t="s">
        <v>1596</v>
      </c>
      <c r="H926" s="1310" t="s">
        <v>1470</v>
      </c>
      <c r="I926" s="1310" t="s">
        <v>465</v>
      </c>
      <c r="J926" s="1310" t="s">
        <v>1512</v>
      </c>
      <c r="K926" s="1310" t="s">
        <v>1524</v>
      </c>
      <c r="L926" s="1310" t="s">
        <v>1569</v>
      </c>
      <c r="M926" s="1310" t="s">
        <v>1519</v>
      </c>
      <c r="N926" s="1310" t="s">
        <v>1653</v>
      </c>
      <c r="O926" s="1310" t="s">
        <v>1579</v>
      </c>
      <c r="P926" s="1310" t="s">
        <v>1578</v>
      </c>
      <c r="Q926" s="1310" t="s">
        <v>1443</v>
      </c>
      <c r="R926" s="1310" t="s">
        <v>1450</v>
      </c>
      <c r="S926" s="1310" t="s">
        <v>1540</v>
      </c>
      <c r="T926" s="1310" t="s">
        <v>120</v>
      </c>
      <c r="U926" s="1310" t="s">
        <v>116</v>
      </c>
      <c r="V926" s="1310" t="s">
        <v>1487</v>
      </c>
      <c r="W926" s="1310" t="s">
        <v>1543</v>
      </c>
      <c r="X926" s="1310" t="s">
        <v>1582</v>
      </c>
      <c r="Y926" s="1310" t="s">
        <v>1659</v>
      </c>
      <c r="Z926" s="1310" t="s">
        <v>1574</v>
      </c>
      <c r="AA926" s="1310" t="s">
        <v>1615</v>
      </c>
      <c r="AB926" s="1310" t="s">
        <v>1639</v>
      </c>
      <c r="AC926" s="1310" t="s">
        <v>268</v>
      </c>
      <c r="AD926" s="1310" t="s">
        <v>1496</v>
      </c>
      <c r="AE926" s="1310" t="s">
        <v>1588</v>
      </c>
      <c r="AF926" s="1310" t="s">
        <v>1546</v>
      </c>
    </row>
    <row r="927" spans="1:32" x14ac:dyDescent="0.3">
      <c r="A927" s="1310" t="s">
        <v>1552</v>
      </c>
      <c r="B927" s="1310" t="s">
        <v>1552</v>
      </c>
      <c r="C927" s="1310" t="s">
        <v>1503</v>
      </c>
      <c r="D927" s="1310" t="s">
        <v>1566</v>
      </c>
      <c r="E927" s="1310" t="s">
        <v>1620</v>
      </c>
      <c r="F927" s="1310" t="s">
        <v>1480</v>
      </c>
      <c r="G927" s="1310" t="s">
        <v>1591</v>
      </c>
      <c r="H927" s="1310" t="s">
        <v>1457</v>
      </c>
      <c r="I927" s="1310" t="s">
        <v>1488</v>
      </c>
      <c r="J927" s="1310" t="s">
        <v>1461</v>
      </c>
      <c r="K927" s="1310" t="s">
        <v>6</v>
      </c>
      <c r="L927" s="1310" t="s">
        <v>1457</v>
      </c>
      <c r="M927" s="1310" t="s">
        <v>1485</v>
      </c>
      <c r="N927" s="1310" t="s">
        <v>1529</v>
      </c>
      <c r="O927" s="1310" t="s">
        <v>1587</v>
      </c>
      <c r="P927" s="1310" t="s">
        <v>1549</v>
      </c>
      <c r="Q927" s="1310" t="s">
        <v>1516</v>
      </c>
      <c r="R927" s="1310" t="s">
        <v>1516</v>
      </c>
      <c r="S927" s="1310" t="s">
        <v>120</v>
      </c>
      <c r="T927" s="1310" t="s">
        <v>117</v>
      </c>
      <c r="U927" s="1310" t="s">
        <v>116</v>
      </c>
      <c r="V927" s="1310" t="s">
        <v>1451</v>
      </c>
      <c r="W927" s="1310" t="s">
        <v>1493</v>
      </c>
      <c r="X927" s="1310" t="s">
        <v>1027</v>
      </c>
      <c r="Y927" s="1310" t="s">
        <v>1644</v>
      </c>
      <c r="Z927" s="1310" t="s">
        <v>128</v>
      </c>
      <c r="AA927" s="1310" t="s">
        <v>1523</v>
      </c>
      <c r="AB927" s="1310" t="s">
        <v>1466</v>
      </c>
      <c r="AC927" s="1310" t="s">
        <v>1556</v>
      </c>
      <c r="AD927" s="1310" t="s">
        <v>1449</v>
      </c>
      <c r="AE927" s="1310" t="s">
        <v>1449</v>
      </c>
      <c r="AF927" s="1310" t="s">
        <v>1528</v>
      </c>
    </row>
    <row r="928" spans="1:32" x14ac:dyDescent="0.3">
      <c r="A928" s="1310" t="s">
        <v>1649</v>
      </c>
      <c r="B928" s="1310" t="s">
        <v>1606</v>
      </c>
      <c r="C928" s="1310" t="s">
        <v>1550</v>
      </c>
      <c r="D928" s="1310" t="s">
        <v>1592</v>
      </c>
      <c r="E928" s="1310" t="s">
        <v>1452</v>
      </c>
      <c r="F928" s="1310" t="s">
        <v>1641</v>
      </c>
      <c r="G928" s="1310" t="s">
        <v>1603</v>
      </c>
      <c r="H928" s="1310" t="s">
        <v>131</v>
      </c>
      <c r="I928" s="1310" t="s">
        <v>1566</v>
      </c>
      <c r="J928" s="1310" t="s">
        <v>131</v>
      </c>
      <c r="K928" s="1310" t="s">
        <v>1464</v>
      </c>
      <c r="L928" s="1310" t="s">
        <v>1644</v>
      </c>
      <c r="M928" s="1310" t="s">
        <v>1468</v>
      </c>
      <c r="N928" s="1310" t="s">
        <v>1650</v>
      </c>
      <c r="O928" s="1310" t="s">
        <v>1468</v>
      </c>
      <c r="P928" s="1310" t="s">
        <v>1465</v>
      </c>
      <c r="Q928" s="1310" t="s">
        <v>1468</v>
      </c>
      <c r="R928" s="1310" t="s">
        <v>471</v>
      </c>
      <c r="S928" s="1310" t="s">
        <v>124</v>
      </c>
      <c r="T928" s="1310" t="s">
        <v>1656</v>
      </c>
      <c r="U928" s="1310" t="s">
        <v>124</v>
      </c>
      <c r="V928" s="1310" t="s">
        <v>1027</v>
      </c>
      <c r="W928" s="1310" t="s">
        <v>1482</v>
      </c>
      <c r="X928" s="1310" t="s">
        <v>1493</v>
      </c>
      <c r="Y928" s="1310" t="s">
        <v>1620</v>
      </c>
      <c r="Z928" s="1310" t="s">
        <v>1653</v>
      </c>
      <c r="AA928" s="1310" t="s">
        <v>1508</v>
      </c>
      <c r="AB928" s="1310" t="s">
        <v>1637</v>
      </c>
      <c r="AC928" s="1310" t="s">
        <v>1490</v>
      </c>
      <c r="AD928" s="1310" t="s">
        <v>6</v>
      </c>
      <c r="AE928" s="1310" t="s">
        <v>1519</v>
      </c>
      <c r="AF928" s="1310" t="s">
        <v>1618</v>
      </c>
    </row>
    <row r="929" spans="1:32" x14ac:dyDescent="0.3">
      <c r="A929" s="1310" t="s">
        <v>1466</v>
      </c>
      <c r="B929" s="1310" t="s">
        <v>1628</v>
      </c>
      <c r="C929" s="1310" t="s">
        <v>1451</v>
      </c>
      <c r="D929" s="1310" t="s">
        <v>1489</v>
      </c>
      <c r="E929" s="1310" t="s">
        <v>1519</v>
      </c>
      <c r="F929" s="1310" t="s">
        <v>1546</v>
      </c>
      <c r="G929" s="1310" t="s">
        <v>1612</v>
      </c>
      <c r="H929" s="1310" t="s">
        <v>1559</v>
      </c>
      <c r="I929" s="1310" t="s">
        <v>1591</v>
      </c>
      <c r="J929" s="1310" t="s">
        <v>1549</v>
      </c>
      <c r="K929" s="1310" t="s">
        <v>1572</v>
      </c>
      <c r="L929" s="1310" t="s">
        <v>1537</v>
      </c>
      <c r="M929" s="1310" t="s">
        <v>1541</v>
      </c>
      <c r="N929" s="1310" t="s">
        <v>262</v>
      </c>
      <c r="O929" s="1310" t="s">
        <v>1529</v>
      </c>
      <c r="P929" s="1310" t="s">
        <v>1492</v>
      </c>
      <c r="Q929" s="1310" t="s">
        <v>1517</v>
      </c>
      <c r="R929" s="1310" t="s">
        <v>1475</v>
      </c>
      <c r="S929" s="1310" t="s">
        <v>1630</v>
      </c>
      <c r="T929" s="1310" t="s">
        <v>1608</v>
      </c>
      <c r="U929" s="1310" t="s">
        <v>1560</v>
      </c>
      <c r="V929" s="1310" t="s">
        <v>1521</v>
      </c>
      <c r="W929" s="1310" t="s">
        <v>1598</v>
      </c>
      <c r="X929" s="1310" t="s">
        <v>1583</v>
      </c>
      <c r="Y929" s="1310" t="s">
        <v>1499</v>
      </c>
      <c r="Z929" s="1310" t="s">
        <v>1489</v>
      </c>
      <c r="AA929" s="1310" t="s">
        <v>1449</v>
      </c>
      <c r="AB929" s="1310" t="s">
        <v>1478</v>
      </c>
      <c r="AC929" s="1310" t="s">
        <v>1461</v>
      </c>
      <c r="AD929" s="1310" t="s">
        <v>1607</v>
      </c>
      <c r="AE929" s="1310" t="s">
        <v>1533</v>
      </c>
      <c r="AF929" s="1310" t="s">
        <v>1482</v>
      </c>
    </row>
    <row r="930" spans="1:32" x14ac:dyDescent="0.3">
      <c r="A930" s="1310" t="s">
        <v>1464</v>
      </c>
      <c r="B930" s="1310" t="s">
        <v>129</v>
      </c>
      <c r="C930" s="1310" t="s">
        <v>1559</v>
      </c>
      <c r="D930" s="1310" t="s">
        <v>1485</v>
      </c>
      <c r="E930" s="1310" t="s">
        <v>1568</v>
      </c>
      <c r="F930" s="1310" t="s">
        <v>1511</v>
      </c>
      <c r="G930" s="1310" t="s">
        <v>1651</v>
      </c>
      <c r="H930" s="1310" t="s">
        <v>1637</v>
      </c>
      <c r="I930" s="1310" t="s">
        <v>1447</v>
      </c>
      <c r="J930" s="1310" t="s">
        <v>130</v>
      </c>
      <c r="K930" s="1310" t="s">
        <v>1559</v>
      </c>
      <c r="L930" s="1310" t="s">
        <v>1459</v>
      </c>
      <c r="M930" s="1310" t="s">
        <v>1565</v>
      </c>
      <c r="N930" s="1310" t="s">
        <v>1510</v>
      </c>
      <c r="O930" s="1310" t="s">
        <v>1464</v>
      </c>
      <c r="P930" s="1310" t="s">
        <v>1460</v>
      </c>
      <c r="Q930" s="1310" t="s">
        <v>1642</v>
      </c>
      <c r="R930" s="1310" t="s">
        <v>1464</v>
      </c>
      <c r="S930" s="1310" t="s">
        <v>1631</v>
      </c>
      <c r="T930" s="1310" t="s">
        <v>1593</v>
      </c>
      <c r="U930" s="1310" t="s">
        <v>1443</v>
      </c>
      <c r="V930" s="1310" t="s">
        <v>1450</v>
      </c>
      <c r="W930" s="1310" t="s">
        <v>1574</v>
      </c>
      <c r="X930" s="1310" t="s">
        <v>1549</v>
      </c>
      <c r="Y930" s="1310" t="s">
        <v>1570</v>
      </c>
      <c r="Z930" s="1310" t="s">
        <v>1620</v>
      </c>
      <c r="AA930" s="1310" t="s">
        <v>1563</v>
      </c>
      <c r="AB930" s="1310" t="s">
        <v>1617</v>
      </c>
      <c r="AC930" s="1310" t="s">
        <v>1640</v>
      </c>
      <c r="AD930" s="1310" t="s">
        <v>1488</v>
      </c>
      <c r="AE930" s="1310" t="s">
        <v>1478</v>
      </c>
      <c r="AF930" s="1310" t="s">
        <v>1564</v>
      </c>
    </row>
    <row r="931" spans="1:32" x14ac:dyDescent="0.3">
      <c r="A931" s="1310" t="s">
        <v>1592</v>
      </c>
      <c r="B931" s="1310" t="s">
        <v>1498</v>
      </c>
      <c r="C931" s="1310" t="s">
        <v>1481</v>
      </c>
      <c r="D931" s="1310" t="s">
        <v>1593</v>
      </c>
      <c r="E931" s="1310" t="s">
        <v>1477</v>
      </c>
      <c r="F931" s="1310" t="s">
        <v>1590</v>
      </c>
      <c r="G931" s="1310" t="s">
        <v>1507</v>
      </c>
      <c r="H931" s="1310" t="s">
        <v>1517</v>
      </c>
      <c r="I931" s="1310" t="s">
        <v>122</v>
      </c>
      <c r="J931" s="1310" t="s">
        <v>1485</v>
      </c>
      <c r="K931" s="1310" t="s">
        <v>1579</v>
      </c>
      <c r="L931" s="1310" t="s">
        <v>1623</v>
      </c>
      <c r="M931" s="1310" t="s">
        <v>1456</v>
      </c>
      <c r="N931" s="1310" t="s">
        <v>128</v>
      </c>
      <c r="O931" s="1310" t="s">
        <v>1580</v>
      </c>
      <c r="P931" s="1310" t="s">
        <v>1615</v>
      </c>
      <c r="Q931" s="1310" t="s">
        <v>1590</v>
      </c>
      <c r="R931" s="1310" t="s">
        <v>1470</v>
      </c>
      <c r="S931" s="1310" t="s">
        <v>1585</v>
      </c>
      <c r="T931" s="1310" t="s">
        <v>1500</v>
      </c>
      <c r="U931" s="1310" t="s">
        <v>1502</v>
      </c>
      <c r="V931" s="1310" t="s">
        <v>1480</v>
      </c>
      <c r="W931" s="1310" t="s">
        <v>1566</v>
      </c>
      <c r="X931" s="1310" t="s">
        <v>1659</v>
      </c>
      <c r="Y931" s="1310" t="s">
        <v>1639</v>
      </c>
      <c r="Z931" s="1310" t="s">
        <v>1620</v>
      </c>
      <c r="AA931" s="1310" t="s">
        <v>1644</v>
      </c>
      <c r="AB931" s="1310" t="s">
        <v>1642</v>
      </c>
      <c r="AC931" s="1310" t="s">
        <v>263</v>
      </c>
      <c r="AD931" s="1310" t="s">
        <v>1572</v>
      </c>
      <c r="AE931" s="1310" t="s">
        <v>1550</v>
      </c>
      <c r="AF931" s="1310" t="s">
        <v>1496</v>
      </c>
    </row>
    <row r="932" spans="1:32" x14ac:dyDescent="0.3">
      <c r="A932" s="1310" t="s">
        <v>1510</v>
      </c>
      <c r="B932" s="1310" t="s">
        <v>1574</v>
      </c>
      <c r="C932" s="1310" t="s">
        <v>1578</v>
      </c>
      <c r="D932" s="1310" t="s">
        <v>266</v>
      </c>
      <c r="E932" s="1310" t="s">
        <v>465</v>
      </c>
      <c r="F932" s="1310" t="s">
        <v>1497</v>
      </c>
      <c r="G932" s="1310" t="s">
        <v>1646</v>
      </c>
      <c r="H932" s="1310" t="s">
        <v>113</v>
      </c>
      <c r="I932" s="1310" t="s">
        <v>264</v>
      </c>
      <c r="J932" s="1310" t="s">
        <v>1578</v>
      </c>
      <c r="K932" s="1310" t="s">
        <v>1528</v>
      </c>
      <c r="L932" s="1310" t="s">
        <v>1447</v>
      </c>
      <c r="M932" s="1310" t="s">
        <v>1553</v>
      </c>
      <c r="N932" s="1310" t="s">
        <v>1541</v>
      </c>
      <c r="O932" s="1310" t="s">
        <v>1513</v>
      </c>
      <c r="P932" s="1310" t="s">
        <v>118</v>
      </c>
      <c r="Q932" s="1310" t="s">
        <v>1557</v>
      </c>
      <c r="R932" s="1310" t="s">
        <v>1578</v>
      </c>
      <c r="S932" s="1310" t="s">
        <v>1564</v>
      </c>
      <c r="T932" s="1310" t="s">
        <v>1609</v>
      </c>
      <c r="U932" s="1310" t="s">
        <v>1562</v>
      </c>
      <c r="V932" s="1310" t="s">
        <v>1570</v>
      </c>
      <c r="W932" s="1310" t="s">
        <v>1468</v>
      </c>
      <c r="X932" s="1310" t="s">
        <v>1471</v>
      </c>
      <c r="Y932" s="1310" t="s">
        <v>1542</v>
      </c>
      <c r="Z932" s="1310" t="s">
        <v>1581</v>
      </c>
      <c r="AA932" s="1310" t="s">
        <v>119</v>
      </c>
      <c r="AB932" s="1310" t="s">
        <v>1520</v>
      </c>
      <c r="AC932" s="1310" t="s">
        <v>1557</v>
      </c>
      <c r="AD932" s="1310" t="s">
        <v>1639</v>
      </c>
      <c r="AE932" s="1310" t="s">
        <v>1559</v>
      </c>
      <c r="AF932" s="1310" t="s">
        <v>1608</v>
      </c>
    </row>
    <row r="933" spans="1:32" x14ac:dyDescent="0.3">
      <c r="A933" s="1310" t="s">
        <v>1612</v>
      </c>
      <c r="B933" s="1310" t="s">
        <v>1443</v>
      </c>
      <c r="C933" s="1310" t="s">
        <v>1450</v>
      </c>
      <c r="D933" s="1310" t="s">
        <v>1623</v>
      </c>
      <c r="E933" s="1310" t="s">
        <v>1645</v>
      </c>
      <c r="F933" s="1310" t="s">
        <v>1647</v>
      </c>
      <c r="G933" s="1310" t="s">
        <v>1633</v>
      </c>
      <c r="H933" s="1310" t="s">
        <v>1656</v>
      </c>
      <c r="I933" s="1310" t="s">
        <v>1571</v>
      </c>
      <c r="J933" s="1310" t="s">
        <v>1532</v>
      </c>
      <c r="K933" s="1310" t="s">
        <v>1583</v>
      </c>
      <c r="L933" s="1310" t="s">
        <v>1561</v>
      </c>
      <c r="M933" s="1310" t="s">
        <v>1649</v>
      </c>
      <c r="N933" s="1310" t="s">
        <v>1648</v>
      </c>
      <c r="O933" s="1310" t="s">
        <v>1627</v>
      </c>
      <c r="P933" s="1310" t="s">
        <v>1564</v>
      </c>
      <c r="Q933" s="1310" t="s">
        <v>1475</v>
      </c>
      <c r="R933" s="1310" t="s">
        <v>1620</v>
      </c>
      <c r="S933" s="1310" t="s">
        <v>1645</v>
      </c>
      <c r="T933" s="1310" t="s">
        <v>113</v>
      </c>
      <c r="U933" s="1310" t="s">
        <v>121</v>
      </c>
      <c r="V933" s="1310" t="s">
        <v>1538</v>
      </c>
      <c r="W933" s="1310" t="s">
        <v>1593</v>
      </c>
      <c r="X933" s="1310" t="s">
        <v>130</v>
      </c>
      <c r="Y933" s="1310" t="s">
        <v>1461</v>
      </c>
      <c r="Z933" s="1310" t="s">
        <v>1580</v>
      </c>
      <c r="AA933" s="1310" t="s">
        <v>1491</v>
      </c>
      <c r="AB933" s="1310" t="s">
        <v>1501</v>
      </c>
      <c r="AC933" s="1310" t="s">
        <v>1614</v>
      </c>
      <c r="AD933" s="1310" t="s">
        <v>1532</v>
      </c>
      <c r="AE933" s="1310" t="s">
        <v>123</v>
      </c>
      <c r="AF933" s="1310" t="s">
        <v>1614</v>
      </c>
    </row>
    <row r="934" spans="1:32" x14ac:dyDescent="0.3">
      <c r="A934" s="1310" t="s">
        <v>1605</v>
      </c>
      <c r="B934" s="1310" t="s">
        <v>1494</v>
      </c>
      <c r="C934" s="1310" t="s">
        <v>1443</v>
      </c>
      <c r="D934" s="1310" t="s">
        <v>1450</v>
      </c>
      <c r="E934" s="1310" t="s">
        <v>1631</v>
      </c>
      <c r="F934" s="1310" t="s">
        <v>1603</v>
      </c>
      <c r="G934" s="1310" t="s">
        <v>111</v>
      </c>
      <c r="H934" s="1310" t="s">
        <v>1638</v>
      </c>
      <c r="I934" s="1310" t="s">
        <v>1608</v>
      </c>
      <c r="J934" s="1310" t="s">
        <v>1473</v>
      </c>
      <c r="K934" s="1310" t="s">
        <v>1443</v>
      </c>
      <c r="L934" s="1310" t="s">
        <v>1450</v>
      </c>
      <c r="M934" s="1310" t="s">
        <v>1629</v>
      </c>
      <c r="N934" s="1310" t="s">
        <v>1546</v>
      </c>
      <c r="O934" s="1310" t="s">
        <v>1569</v>
      </c>
      <c r="P934" s="1310" t="s">
        <v>133</v>
      </c>
      <c r="Q934" s="1310" t="s">
        <v>1598</v>
      </c>
      <c r="R934" s="1310" t="s">
        <v>1452</v>
      </c>
      <c r="S934" s="1310" t="s">
        <v>1459</v>
      </c>
      <c r="T934" s="1310" t="s">
        <v>1539</v>
      </c>
      <c r="U934" s="1310" t="s">
        <v>1566</v>
      </c>
      <c r="V934" s="1310" t="s">
        <v>1591</v>
      </c>
      <c r="W934" s="1310" t="s">
        <v>1633</v>
      </c>
      <c r="X934" s="1310" t="s">
        <v>1547</v>
      </c>
      <c r="Y934" s="1310" t="s">
        <v>1586</v>
      </c>
      <c r="Z934" s="1310" t="s">
        <v>1586</v>
      </c>
      <c r="AA934" s="1310" t="s">
        <v>1657</v>
      </c>
      <c r="AB934" s="1310" t="s">
        <v>1581</v>
      </c>
      <c r="AC934" s="1310" t="s">
        <v>1559</v>
      </c>
      <c r="AD934" s="1310" t="s">
        <v>1594</v>
      </c>
      <c r="AE934" s="1310" t="s">
        <v>113</v>
      </c>
      <c r="AF934" s="1310" t="s">
        <v>1581</v>
      </c>
    </row>
    <row r="935" spans="1:32" x14ac:dyDescent="0.3">
      <c r="A935" s="1310" t="s">
        <v>1542</v>
      </c>
      <c r="B935" s="1310" t="s">
        <v>111</v>
      </c>
      <c r="C935" s="1310" t="s">
        <v>1445</v>
      </c>
      <c r="D935" s="1310" t="s">
        <v>1503</v>
      </c>
      <c r="E935" s="1310" t="s">
        <v>128</v>
      </c>
      <c r="F935" s="1310" t="s">
        <v>1452</v>
      </c>
      <c r="G935" s="1310" t="s">
        <v>1458</v>
      </c>
      <c r="H935" s="1310" t="s">
        <v>1611</v>
      </c>
      <c r="I935" s="1310" t="s">
        <v>1644</v>
      </c>
      <c r="J935" s="1310" t="s">
        <v>1444</v>
      </c>
      <c r="K935" s="1310" t="s">
        <v>1545</v>
      </c>
      <c r="L935" s="1310" t="s">
        <v>1446</v>
      </c>
      <c r="M935" s="1310" t="s">
        <v>465</v>
      </c>
      <c r="N935" s="1310" t="s">
        <v>1459</v>
      </c>
      <c r="O935" s="1310" t="s">
        <v>1467</v>
      </c>
      <c r="P935" s="1310" t="s">
        <v>1494</v>
      </c>
      <c r="Q935" s="1310" t="s">
        <v>1617</v>
      </c>
      <c r="R935" s="1310" t="s">
        <v>1639</v>
      </c>
      <c r="S935" s="1310" t="s">
        <v>1445</v>
      </c>
      <c r="T935" s="1310" t="s">
        <v>1526</v>
      </c>
      <c r="U935" s="1310" t="s">
        <v>1562</v>
      </c>
      <c r="V935" s="1310" t="s">
        <v>1535</v>
      </c>
      <c r="W935" s="1310" t="s">
        <v>263</v>
      </c>
      <c r="X935" s="1310" t="s">
        <v>1580</v>
      </c>
      <c r="Y935" s="1310" t="s">
        <v>1505</v>
      </c>
      <c r="Z935" s="1310" t="s">
        <v>1517</v>
      </c>
      <c r="AA935" s="1310" t="s">
        <v>1579</v>
      </c>
      <c r="AB935" s="1310" t="s">
        <v>1558</v>
      </c>
      <c r="AC935" s="1310" t="s">
        <v>1543</v>
      </c>
      <c r="AD935" s="1310" t="s">
        <v>1610</v>
      </c>
      <c r="AE935" s="1310" t="s">
        <v>131</v>
      </c>
      <c r="AF935" s="1310" t="s">
        <v>268</v>
      </c>
    </row>
    <row r="936" spans="1:32" x14ac:dyDescent="0.3">
      <c r="A936" s="1310" t="s">
        <v>1448</v>
      </c>
      <c r="B936" s="1310" t="s">
        <v>1512</v>
      </c>
      <c r="C936" s="1310" t="s">
        <v>1637</v>
      </c>
      <c r="D936" s="1310" t="s">
        <v>1474</v>
      </c>
      <c r="E936" s="1310" t="s">
        <v>1589</v>
      </c>
      <c r="F936" s="1310" t="s">
        <v>1494</v>
      </c>
      <c r="G936" s="1310" t="s">
        <v>1587</v>
      </c>
      <c r="H936" s="1310" t="s">
        <v>1533</v>
      </c>
      <c r="I936" s="1310" t="s">
        <v>1474</v>
      </c>
      <c r="J936" s="1310" t="s">
        <v>1452</v>
      </c>
      <c r="K936" s="1310" t="s">
        <v>1617</v>
      </c>
      <c r="L936" s="1310" t="s">
        <v>1585</v>
      </c>
      <c r="M936" s="1310" t="s">
        <v>1602</v>
      </c>
      <c r="N936" s="1310" t="s">
        <v>1563</v>
      </c>
      <c r="O936" s="1310" t="s">
        <v>114</v>
      </c>
      <c r="P936" s="1310" t="s">
        <v>1594</v>
      </c>
      <c r="Q936" s="1310" t="s">
        <v>1496</v>
      </c>
      <c r="R936" s="1310" t="s">
        <v>1510</v>
      </c>
      <c r="S936" s="1310" t="s">
        <v>1528</v>
      </c>
      <c r="T936" s="1310" t="s">
        <v>1622</v>
      </c>
      <c r="U936" s="1310" t="s">
        <v>1619</v>
      </c>
      <c r="V936" s="1310" t="s">
        <v>1510</v>
      </c>
      <c r="W936" s="1310" t="s">
        <v>465</v>
      </c>
      <c r="X936" s="1310" t="s">
        <v>1448</v>
      </c>
      <c r="Y936" s="1310" t="s">
        <v>122</v>
      </c>
      <c r="Z936" s="1310" t="s">
        <v>1637</v>
      </c>
      <c r="AA936" s="1310" t="s">
        <v>1449</v>
      </c>
      <c r="AB936" s="1310" t="s">
        <v>1571</v>
      </c>
      <c r="AC936" s="1310" t="s">
        <v>1521</v>
      </c>
      <c r="AD936" s="1310" t="s">
        <v>1466</v>
      </c>
      <c r="AE936" s="1310" t="s">
        <v>1635</v>
      </c>
      <c r="AF936" s="1310" t="s">
        <v>1602</v>
      </c>
    </row>
    <row r="937" spans="1:32" x14ac:dyDescent="0.3">
      <c r="A937" s="1310" t="s">
        <v>1658</v>
      </c>
      <c r="B937" s="1310" t="s">
        <v>1537</v>
      </c>
      <c r="C937" s="1310" t="s">
        <v>112</v>
      </c>
      <c r="D937" s="1310" t="s">
        <v>1627</v>
      </c>
      <c r="E937" s="1310" t="s">
        <v>1537</v>
      </c>
      <c r="F937" s="1310" t="s">
        <v>1615</v>
      </c>
      <c r="G937" s="1310" t="s">
        <v>1555</v>
      </c>
      <c r="H937" s="1310" t="s">
        <v>1565</v>
      </c>
      <c r="I937" s="1310" t="s">
        <v>1571</v>
      </c>
      <c r="J937" s="1310" t="s">
        <v>1576</v>
      </c>
      <c r="K937" s="1310" t="s">
        <v>1547</v>
      </c>
      <c r="L937" s="1310" t="s">
        <v>1463</v>
      </c>
      <c r="M937" s="1310" t="s">
        <v>264</v>
      </c>
      <c r="N937" s="1310" t="s">
        <v>1461</v>
      </c>
      <c r="O937" s="1310" t="s">
        <v>1452</v>
      </c>
      <c r="P937" s="1310" t="s">
        <v>1548</v>
      </c>
      <c r="Q937" s="1310" t="s">
        <v>124</v>
      </c>
      <c r="R937" s="1310" t="s">
        <v>1584</v>
      </c>
      <c r="S937" s="1310" t="s">
        <v>1638</v>
      </c>
      <c r="T937" s="1310" t="s">
        <v>1559</v>
      </c>
      <c r="U937" s="1310" t="s">
        <v>1534</v>
      </c>
      <c r="V937" s="1310" t="s">
        <v>1463</v>
      </c>
      <c r="W937" s="1310" t="s">
        <v>1562</v>
      </c>
      <c r="X937" s="1310" t="s">
        <v>1543</v>
      </c>
      <c r="Y937" s="1310" t="s">
        <v>1497</v>
      </c>
      <c r="Z937" s="1310" t="s">
        <v>1615</v>
      </c>
      <c r="AA937" s="1310" t="s">
        <v>1637</v>
      </c>
      <c r="AB937" s="1310" t="s">
        <v>127</v>
      </c>
      <c r="AC937" s="1310" t="s">
        <v>1617</v>
      </c>
      <c r="AD937" s="1310" t="s">
        <v>1552</v>
      </c>
      <c r="AE937" s="1310" t="s">
        <v>1589</v>
      </c>
      <c r="AF937" s="1310" t="s">
        <v>1552</v>
      </c>
    </row>
    <row r="938" spans="1:32" x14ac:dyDescent="0.3">
      <c r="A938" s="1310" t="s">
        <v>1454</v>
      </c>
      <c r="B938" s="1310" t="s">
        <v>1030</v>
      </c>
      <c r="C938" s="1310" t="s">
        <v>1540</v>
      </c>
      <c r="D938" s="1310" t="s">
        <v>1470</v>
      </c>
      <c r="E938" s="1310" t="s">
        <v>1571</v>
      </c>
      <c r="F938" s="1310" t="s">
        <v>1582</v>
      </c>
      <c r="G938" s="1310" t="s">
        <v>1571</v>
      </c>
      <c r="H938" s="1310" t="s">
        <v>1501</v>
      </c>
      <c r="I938" s="1310" t="s">
        <v>1557</v>
      </c>
      <c r="J938" s="1310" t="s">
        <v>1603</v>
      </c>
      <c r="K938" s="1310" t="s">
        <v>1651</v>
      </c>
      <c r="L938" s="1310" t="s">
        <v>1596</v>
      </c>
      <c r="M938" s="1310" t="s">
        <v>1577</v>
      </c>
      <c r="N938" s="1310" t="s">
        <v>1564</v>
      </c>
      <c r="O938" s="1310" t="s">
        <v>1639</v>
      </c>
      <c r="P938" s="1310" t="s">
        <v>122</v>
      </c>
      <c r="Q938" s="1310" t="s">
        <v>1499</v>
      </c>
      <c r="R938" s="1310" t="s">
        <v>1540</v>
      </c>
      <c r="S938" s="1310" t="s">
        <v>1633</v>
      </c>
      <c r="T938" s="1310" t="s">
        <v>1464</v>
      </c>
      <c r="U938" s="1310" t="s">
        <v>1640</v>
      </c>
      <c r="V938" s="1310" t="s">
        <v>1581</v>
      </c>
      <c r="W938" s="1310" t="s">
        <v>1558</v>
      </c>
      <c r="X938" s="1310" t="s">
        <v>1602</v>
      </c>
      <c r="Y938" s="1310" t="s">
        <v>1547</v>
      </c>
      <c r="Z938" s="1310" t="s">
        <v>1653</v>
      </c>
      <c r="AA938" s="1310" t="s">
        <v>1479</v>
      </c>
      <c r="AB938" s="1310" t="s">
        <v>1479</v>
      </c>
      <c r="AC938" s="1310" t="s">
        <v>1633</v>
      </c>
      <c r="AD938" s="1310" t="s">
        <v>1490</v>
      </c>
      <c r="AE938" s="1310" t="s">
        <v>1598</v>
      </c>
      <c r="AF938" s="1310" t="s">
        <v>1543</v>
      </c>
    </row>
    <row r="939" spans="1:32" x14ac:dyDescent="0.3">
      <c r="A939" s="1310" t="s">
        <v>1456</v>
      </c>
      <c r="B939" s="1310" t="s">
        <v>1449</v>
      </c>
      <c r="C939" s="1310" t="s">
        <v>1655</v>
      </c>
      <c r="D939" s="1310" t="s">
        <v>1655</v>
      </c>
      <c r="E939" s="1310" t="s">
        <v>1523</v>
      </c>
      <c r="F939" s="1310" t="s">
        <v>1635</v>
      </c>
      <c r="G939" s="1310" t="s">
        <v>1561</v>
      </c>
      <c r="H939" s="1310" t="s">
        <v>1623</v>
      </c>
      <c r="I939" s="1310" t="s">
        <v>1502</v>
      </c>
      <c r="J939" s="1310" t="s">
        <v>1588</v>
      </c>
      <c r="K939" s="1310" t="s">
        <v>1606</v>
      </c>
      <c r="L939" s="1310" t="s">
        <v>1470</v>
      </c>
      <c r="M939" s="1310" t="s">
        <v>1591</v>
      </c>
      <c r="N939" s="1310" t="s">
        <v>1493</v>
      </c>
      <c r="O939" s="1310" t="s">
        <v>113</v>
      </c>
      <c r="P939" s="1310" t="s">
        <v>1657</v>
      </c>
      <c r="Q939" s="1310" t="s">
        <v>6</v>
      </c>
      <c r="R939" s="1310" t="s">
        <v>1457</v>
      </c>
      <c r="S939" s="1310" t="s">
        <v>1488</v>
      </c>
      <c r="T939" s="1310" t="s">
        <v>1635</v>
      </c>
      <c r="U939" s="1310" t="s">
        <v>1655</v>
      </c>
      <c r="V939" s="1310" t="s">
        <v>1630</v>
      </c>
      <c r="W939" s="1310" t="s">
        <v>1612</v>
      </c>
      <c r="X939" s="1310" t="s">
        <v>1591</v>
      </c>
      <c r="Y939" s="1310" t="s">
        <v>1521</v>
      </c>
      <c r="Z939" s="1310" t="s">
        <v>1597</v>
      </c>
      <c r="AA939" s="1310" t="s">
        <v>1484</v>
      </c>
      <c r="AB939" s="1310" t="s">
        <v>1539</v>
      </c>
      <c r="AC939" s="1310" t="s">
        <v>1572</v>
      </c>
      <c r="AD939" s="1310" t="s">
        <v>1623</v>
      </c>
      <c r="AE939" s="1310" t="s">
        <v>1547</v>
      </c>
      <c r="AF939" s="1310" t="s">
        <v>1654</v>
      </c>
    </row>
    <row r="940" spans="1:32" x14ac:dyDescent="0.3">
      <c r="A940" s="1310" t="s">
        <v>1521</v>
      </c>
      <c r="B940" s="1310" t="s">
        <v>1492</v>
      </c>
      <c r="C940" s="1310" t="s">
        <v>1581</v>
      </c>
      <c r="D940" s="1310" t="s">
        <v>110</v>
      </c>
      <c r="E940" s="1310" t="s">
        <v>1534</v>
      </c>
      <c r="F940" s="1310" t="s">
        <v>1504</v>
      </c>
      <c r="G940" s="1310" t="s">
        <v>1651</v>
      </c>
      <c r="H940" s="1310" t="s">
        <v>132</v>
      </c>
      <c r="I940" s="1310" t="s">
        <v>267</v>
      </c>
      <c r="J940" s="1310" t="s">
        <v>1464</v>
      </c>
      <c r="K940" s="1310" t="s">
        <v>1658</v>
      </c>
      <c r="L940" s="1310" t="s">
        <v>1475</v>
      </c>
      <c r="M940" s="1310" t="s">
        <v>1529</v>
      </c>
      <c r="N940" s="1310" t="s">
        <v>1541</v>
      </c>
      <c r="O940" s="1310" t="s">
        <v>1607</v>
      </c>
      <c r="P940" s="1310" t="s">
        <v>1555</v>
      </c>
      <c r="Q940" s="1310" t="s">
        <v>264</v>
      </c>
      <c r="R940" s="1310" t="s">
        <v>1593</v>
      </c>
      <c r="S940" s="1310" t="s">
        <v>1569</v>
      </c>
      <c r="T940" s="1310" t="s">
        <v>1645</v>
      </c>
      <c r="U940" s="1310" t="s">
        <v>1553</v>
      </c>
      <c r="V940" s="1310" t="s">
        <v>1601</v>
      </c>
      <c r="W940" s="1310" t="s">
        <v>1624</v>
      </c>
      <c r="X940" s="1310" t="s">
        <v>1574</v>
      </c>
      <c r="Y940" s="1310" t="s">
        <v>1638</v>
      </c>
      <c r="Z940" s="1310" t="s">
        <v>1618</v>
      </c>
      <c r="AA940" s="1310" t="s">
        <v>1596</v>
      </c>
      <c r="AB940" s="1310" t="s">
        <v>1538</v>
      </c>
      <c r="AC940" s="1310" t="s">
        <v>267</v>
      </c>
      <c r="AD940" s="1310" t="s">
        <v>1458</v>
      </c>
      <c r="AE940" s="1310" t="s">
        <v>1030</v>
      </c>
      <c r="AF940" s="1310" t="s">
        <v>1622</v>
      </c>
    </row>
    <row r="941" spans="1:32" x14ac:dyDescent="0.3">
      <c r="A941" s="1310" t="s">
        <v>1589</v>
      </c>
      <c r="B941" s="1310" t="s">
        <v>126</v>
      </c>
      <c r="C941" s="1310" t="s">
        <v>1647</v>
      </c>
      <c r="D941" s="1310" t="s">
        <v>1622</v>
      </c>
      <c r="E941" s="1310" t="s">
        <v>1653</v>
      </c>
      <c r="F941" s="1310" t="s">
        <v>1639</v>
      </c>
      <c r="G941" s="1310" t="s">
        <v>1565</v>
      </c>
      <c r="H941" s="1310" t="s">
        <v>1544</v>
      </c>
      <c r="I941" s="1310" t="s">
        <v>1532</v>
      </c>
      <c r="J941" s="1310" t="s">
        <v>1579</v>
      </c>
      <c r="K941" s="1310" t="s">
        <v>1499</v>
      </c>
      <c r="L941" s="1310" t="s">
        <v>1501</v>
      </c>
      <c r="M941" s="1310" t="s">
        <v>1630</v>
      </c>
      <c r="N941" s="1310" t="s">
        <v>471</v>
      </c>
      <c r="O941" s="1310" t="s">
        <v>1596</v>
      </c>
      <c r="P941" s="1310" t="s">
        <v>122</v>
      </c>
      <c r="Q941" s="1310" t="s">
        <v>1605</v>
      </c>
      <c r="R941" s="1310" t="s">
        <v>1595</v>
      </c>
      <c r="S941" s="1310" t="s">
        <v>128</v>
      </c>
      <c r="T941" s="1310" t="s">
        <v>1641</v>
      </c>
      <c r="U941" s="1310" t="s">
        <v>1633</v>
      </c>
      <c r="V941" s="1310" t="s">
        <v>1615</v>
      </c>
      <c r="W941" s="1310" t="s">
        <v>1030</v>
      </c>
      <c r="X941" s="1310" t="s">
        <v>1490</v>
      </c>
      <c r="Y941" s="1310" t="s">
        <v>1545</v>
      </c>
      <c r="Z941" s="1310" t="s">
        <v>1558</v>
      </c>
      <c r="AA941" s="1310" t="s">
        <v>1529</v>
      </c>
      <c r="AB941" s="1310" t="s">
        <v>1561</v>
      </c>
      <c r="AC941" s="1310" t="s">
        <v>1450</v>
      </c>
      <c r="AD941" s="1310" t="s">
        <v>1565</v>
      </c>
      <c r="AE941" s="1310" t="s">
        <v>1519</v>
      </c>
      <c r="AF941" s="1310" t="s">
        <v>1543</v>
      </c>
    </row>
    <row r="942" spans="1:32" x14ac:dyDescent="0.3">
      <c r="A942" s="1310" t="s">
        <v>1570</v>
      </c>
      <c r="B942" s="1310" t="s">
        <v>1550</v>
      </c>
      <c r="C942" s="1310" t="s">
        <v>1548</v>
      </c>
      <c r="D942" s="1310" t="s">
        <v>123</v>
      </c>
      <c r="E942" s="1310" t="s">
        <v>1622</v>
      </c>
      <c r="F942" s="1310" t="s">
        <v>267</v>
      </c>
      <c r="G942" s="1310" t="s">
        <v>112</v>
      </c>
      <c r="H942" s="1310" t="s">
        <v>115</v>
      </c>
      <c r="I942" s="1310" t="s">
        <v>1522</v>
      </c>
      <c r="J942" s="1310" t="s">
        <v>1599</v>
      </c>
      <c r="K942" s="1310" t="s">
        <v>1484</v>
      </c>
      <c r="L942" s="1310" t="s">
        <v>1463</v>
      </c>
      <c r="M942" s="1310" t="s">
        <v>1557</v>
      </c>
      <c r="N942" s="1310" t="s">
        <v>1524</v>
      </c>
      <c r="O942" s="1310" t="s">
        <v>1451</v>
      </c>
      <c r="P942" s="1310" t="s">
        <v>1651</v>
      </c>
      <c r="Q942" s="1310" t="s">
        <v>1576</v>
      </c>
      <c r="R942" s="1310" t="s">
        <v>1622</v>
      </c>
      <c r="S942" s="1310" t="s">
        <v>1563</v>
      </c>
      <c r="T942" s="1310" t="s">
        <v>1579</v>
      </c>
      <c r="U942" s="1310" t="s">
        <v>1466</v>
      </c>
      <c r="V942" s="1310" t="s">
        <v>1543</v>
      </c>
      <c r="W942" s="1310" t="s">
        <v>1480</v>
      </c>
      <c r="X942" s="1310" t="s">
        <v>1607</v>
      </c>
      <c r="Y942" s="1310" t="s">
        <v>1587</v>
      </c>
      <c r="Z942" s="1310" t="s">
        <v>1606</v>
      </c>
      <c r="AA942" s="1310" t="s">
        <v>1549</v>
      </c>
      <c r="AB942" s="1310" t="s">
        <v>1628</v>
      </c>
      <c r="AC942" s="1310" t="s">
        <v>1499</v>
      </c>
      <c r="AD942" s="1310" t="s">
        <v>1658</v>
      </c>
      <c r="AE942" s="1310" t="s">
        <v>131</v>
      </c>
      <c r="AF942" s="1310" t="s">
        <v>1499</v>
      </c>
    </row>
    <row r="943" spans="1:32" x14ac:dyDescent="0.3">
      <c r="A943" s="1310" t="s">
        <v>1644</v>
      </c>
      <c r="B943" s="1310" t="s">
        <v>1477</v>
      </c>
      <c r="C943" s="1310" t="s">
        <v>125</v>
      </c>
      <c r="D943" s="1310" t="s">
        <v>1461</v>
      </c>
      <c r="E943" s="1310" t="s">
        <v>268</v>
      </c>
      <c r="F943" s="1310" t="s">
        <v>1454</v>
      </c>
      <c r="G943" s="1310" t="s">
        <v>1576</v>
      </c>
      <c r="H943" s="1310" t="s">
        <v>1620</v>
      </c>
      <c r="I943" s="1310" t="s">
        <v>1553</v>
      </c>
      <c r="J943" s="1310" t="s">
        <v>1625</v>
      </c>
      <c r="K943" s="1310" t="s">
        <v>1627</v>
      </c>
      <c r="L943" s="1310" t="s">
        <v>1449</v>
      </c>
      <c r="M943" s="1310" t="s">
        <v>1491</v>
      </c>
      <c r="N943" s="1310" t="s">
        <v>130</v>
      </c>
      <c r="O943" s="1310" t="s">
        <v>1633</v>
      </c>
      <c r="P943" s="1310" t="s">
        <v>1579</v>
      </c>
      <c r="Q943" s="1310" t="s">
        <v>127</v>
      </c>
      <c r="R943" s="1310" t="s">
        <v>133</v>
      </c>
      <c r="S943" s="1310" t="s">
        <v>1652</v>
      </c>
      <c r="T943" s="1310" t="s">
        <v>1519</v>
      </c>
      <c r="U943" s="1310" t="s">
        <v>127</v>
      </c>
      <c r="V943" s="1310" t="s">
        <v>1492</v>
      </c>
      <c r="W943" s="1310" t="s">
        <v>125</v>
      </c>
      <c r="X943" s="1310" t="s">
        <v>128</v>
      </c>
      <c r="Y943" s="1310" t="s">
        <v>1534</v>
      </c>
      <c r="Z943" s="1310" t="s">
        <v>122</v>
      </c>
      <c r="AA943" s="1310" t="s">
        <v>1641</v>
      </c>
      <c r="AB943" s="1310" t="s">
        <v>1573</v>
      </c>
      <c r="AC943" s="1310" t="s">
        <v>465</v>
      </c>
      <c r="AD943" s="1310" t="s">
        <v>1549</v>
      </c>
      <c r="AE943" s="1310" t="s">
        <v>110</v>
      </c>
      <c r="AF943" s="1310" t="s">
        <v>123</v>
      </c>
    </row>
    <row r="944" spans="1:32" x14ac:dyDescent="0.3">
      <c r="A944" s="1310" t="s">
        <v>1568</v>
      </c>
      <c r="B944" s="1310" t="s">
        <v>116</v>
      </c>
      <c r="C944" s="1310" t="s">
        <v>133</v>
      </c>
      <c r="D944" s="1310" t="s">
        <v>1443</v>
      </c>
      <c r="E944" s="1310" t="s">
        <v>1450</v>
      </c>
      <c r="F944" s="1310" t="s">
        <v>131</v>
      </c>
      <c r="G944" s="1310" t="s">
        <v>1530</v>
      </c>
      <c r="H944" s="1310" t="s">
        <v>1575</v>
      </c>
      <c r="I944" s="1310" t="s">
        <v>1466</v>
      </c>
      <c r="J944" s="1310" t="s">
        <v>1580</v>
      </c>
      <c r="K944" s="1310" t="s">
        <v>1583</v>
      </c>
      <c r="L944" s="1310" t="s">
        <v>1648</v>
      </c>
      <c r="M944" s="1310" t="s">
        <v>1636</v>
      </c>
      <c r="N944" s="1310" t="s">
        <v>1560</v>
      </c>
      <c r="O944" s="1310" t="s">
        <v>1485</v>
      </c>
      <c r="P944" s="1310" t="s">
        <v>1551</v>
      </c>
      <c r="Q944" s="1310" t="s">
        <v>1510</v>
      </c>
      <c r="R944" s="1310" t="s">
        <v>1535</v>
      </c>
      <c r="S944" s="1310" t="s">
        <v>1585</v>
      </c>
      <c r="T944" s="1310" t="s">
        <v>1620</v>
      </c>
      <c r="U944" s="1310" t="s">
        <v>1615</v>
      </c>
      <c r="V944" s="1310" t="s">
        <v>1030</v>
      </c>
      <c r="W944" s="1310" t="s">
        <v>1544</v>
      </c>
      <c r="X944" s="1310" t="s">
        <v>6</v>
      </c>
      <c r="Y944" s="1310" t="s">
        <v>1582</v>
      </c>
      <c r="Z944" s="1310" t="s">
        <v>132</v>
      </c>
      <c r="AA944" s="1310" t="s">
        <v>1517</v>
      </c>
      <c r="AB944" s="1310" t="s">
        <v>1594</v>
      </c>
      <c r="AC944" s="1310" t="s">
        <v>1614</v>
      </c>
      <c r="AD944" s="1310" t="s">
        <v>1504</v>
      </c>
      <c r="AE944" s="1310" t="s">
        <v>1649</v>
      </c>
      <c r="AF944" s="1310" t="s">
        <v>1480</v>
      </c>
    </row>
    <row r="945" spans="1:32" x14ac:dyDescent="0.3">
      <c r="A945" s="1310" t="s">
        <v>1570</v>
      </c>
      <c r="B945" s="1310" t="s">
        <v>1451</v>
      </c>
      <c r="C945" s="1310" t="s">
        <v>1486</v>
      </c>
      <c r="D945" s="1310" t="s">
        <v>1614</v>
      </c>
      <c r="E945" s="1310" t="s">
        <v>1573</v>
      </c>
      <c r="F945" s="1310" t="s">
        <v>121</v>
      </c>
      <c r="G945" s="1310" t="s">
        <v>1514</v>
      </c>
      <c r="H945" s="1310" t="s">
        <v>1584</v>
      </c>
      <c r="I945" s="1310" t="s">
        <v>124</v>
      </c>
      <c r="J945" s="1310" t="s">
        <v>1587</v>
      </c>
      <c r="K945" s="1310" t="s">
        <v>1592</v>
      </c>
      <c r="L945" s="1310" t="s">
        <v>1615</v>
      </c>
      <c r="M945" s="1310" t="s">
        <v>1638</v>
      </c>
      <c r="N945" s="1310" t="s">
        <v>1533</v>
      </c>
      <c r="O945" s="1310" t="s">
        <v>1595</v>
      </c>
      <c r="P945" s="1310" t="s">
        <v>1463</v>
      </c>
      <c r="Q945" s="1310" t="s">
        <v>269</v>
      </c>
      <c r="R945" s="1310" t="s">
        <v>1598</v>
      </c>
      <c r="S945" s="1310" t="s">
        <v>1537</v>
      </c>
      <c r="T945" s="1310" t="s">
        <v>1629</v>
      </c>
      <c r="U945" s="1310" t="s">
        <v>1537</v>
      </c>
      <c r="V945" s="1310" t="s">
        <v>1460</v>
      </c>
      <c r="W945" s="1310" t="s">
        <v>1573</v>
      </c>
      <c r="X945" s="1310" t="s">
        <v>267</v>
      </c>
      <c r="Y945" s="1310" t="s">
        <v>1444</v>
      </c>
      <c r="Z945" s="1310" t="s">
        <v>1541</v>
      </c>
      <c r="AA945" s="1310" t="s">
        <v>1469</v>
      </c>
      <c r="AB945" s="1310" t="s">
        <v>1543</v>
      </c>
      <c r="AC945" s="1310" t="s">
        <v>6</v>
      </c>
      <c r="AD945" s="1310" t="s">
        <v>1465</v>
      </c>
      <c r="AE945" s="1310" t="s">
        <v>1592</v>
      </c>
      <c r="AF945" s="1310" t="s">
        <v>128</v>
      </c>
    </row>
    <row r="946" spans="1:32" x14ac:dyDescent="0.3">
      <c r="A946" s="1310" t="s">
        <v>1561</v>
      </c>
      <c r="B946" s="1310" t="s">
        <v>1641</v>
      </c>
      <c r="C946" s="1310" t="s">
        <v>117</v>
      </c>
      <c r="D946" s="1310" t="s">
        <v>1551</v>
      </c>
      <c r="E946" s="1310" t="s">
        <v>1591</v>
      </c>
      <c r="F946" s="1310" t="s">
        <v>1550</v>
      </c>
      <c r="G946" s="1310" t="s">
        <v>1457</v>
      </c>
      <c r="H946" s="1310" t="s">
        <v>1521</v>
      </c>
      <c r="I946" s="1310" t="s">
        <v>1448</v>
      </c>
      <c r="J946" s="1310" t="s">
        <v>133</v>
      </c>
      <c r="K946" s="1310" t="s">
        <v>1641</v>
      </c>
      <c r="L946" s="1310" t="s">
        <v>1502</v>
      </c>
      <c r="M946" s="1310" t="s">
        <v>1613</v>
      </c>
      <c r="N946" s="1310" t="s">
        <v>1651</v>
      </c>
      <c r="O946" s="1310" t="s">
        <v>1585</v>
      </c>
      <c r="P946" s="1310" t="s">
        <v>1542</v>
      </c>
      <c r="Q946" s="1310" t="s">
        <v>1631</v>
      </c>
      <c r="R946" s="1310" t="s">
        <v>1539</v>
      </c>
      <c r="S946" s="1310" t="s">
        <v>125</v>
      </c>
      <c r="T946" s="1310" t="s">
        <v>125</v>
      </c>
      <c r="U946" s="1310" t="s">
        <v>1568</v>
      </c>
      <c r="V946" s="1310" t="s">
        <v>1518</v>
      </c>
      <c r="W946" s="1310" t="s">
        <v>1556</v>
      </c>
      <c r="X946" s="1310" t="s">
        <v>1454</v>
      </c>
      <c r="Y946" s="1310" t="s">
        <v>1521</v>
      </c>
      <c r="Z946" s="1310" t="s">
        <v>1468</v>
      </c>
      <c r="AA946" s="1310" t="s">
        <v>1619</v>
      </c>
      <c r="AB946" s="1310" t="s">
        <v>1486</v>
      </c>
      <c r="AC946" s="1310" t="s">
        <v>1652</v>
      </c>
      <c r="AD946" s="1310" t="s">
        <v>1592</v>
      </c>
      <c r="AE946" s="1310" t="s">
        <v>1573</v>
      </c>
      <c r="AF946" s="1310" t="s">
        <v>1623</v>
      </c>
    </row>
    <row r="947" spans="1:32" x14ac:dyDescent="0.3">
      <c r="A947" s="1310" t="s">
        <v>1660</v>
      </c>
      <c r="B947" s="1310" t="s">
        <v>1511</v>
      </c>
      <c r="C947" s="1310" t="s">
        <v>1468</v>
      </c>
      <c r="D947" s="1310" t="s">
        <v>1608</v>
      </c>
      <c r="E947" s="1310" t="s">
        <v>1645</v>
      </c>
      <c r="F947" s="1310" t="s">
        <v>1543</v>
      </c>
      <c r="G947" s="1310" t="s">
        <v>1564</v>
      </c>
      <c r="H947" s="1310" t="s">
        <v>1508</v>
      </c>
      <c r="I947" s="1310" t="s">
        <v>114</v>
      </c>
      <c r="J947" s="1310" t="s">
        <v>1459</v>
      </c>
      <c r="K947" s="1310" t="s">
        <v>1656</v>
      </c>
      <c r="L947" s="1310" t="s">
        <v>1621</v>
      </c>
      <c r="M947" s="1310" t="s">
        <v>1499</v>
      </c>
      <c r="N947" s="1310" t="s">
        <v>1660</v>
      </c>
      <c r="O947" s="1310" t="s">
        <v>1548</v>
      </c>
      <c r="P947" s="1310" t="s">
        <v>1610</v>
      </c>
      <c r="Q947" s="1310" t="s">
        <v>1590</v>
      </c>
      <c r="R947" s="1310" t="s">
        <v>1616</v>
      </c>
      <c r="S947" s="1310" t="s">
        <v>1582</v>
      </c>
      <c r="T947" s="1310" t="s">
        <v>1568</v>
      </c>
      <c r="U947" s="1310" t="s">
        <v>1500</v>
      </c>
      <c r="V947" s="1310" t="s">
        <v>1517</v>
      </c>
      <c r="W947" s="1310" t="s">
        <v>1592</v>
      </c>
      <c r="X947" s="1310" t="s">
        <v>1581</v>
      </c>
      <c r="Y947" s="1310" t="s">
        <v>1648</v>
      </c>
      <c r="Z947" s="1310" t="s">
        <v>1580</v>
      </c>
      <c r="AA947" s="1310" t="s">
        <v>1586</v>
      </c>
      <c r="AB947" s="1310" t="s">
        <v>1503</v>
      </c>
      <c r="AC947" s="1310" t="s">
        <v>1636</v>
      </c>
      <c r="AD947" s="1310" t="s">
        <v>1535</v>
      </c>
      <c r="AE947" s="1310" t="s">
        <v>264</v>
      </c>
      <c r="AF947" s="1310" t="s">
        <v>112</v>
      </c>
    </row>
    <row r="948" spans="1:32" x14ac:dyDescent="0.3">
      <c r="A948" s="1310" t="s">
        <v>1622</v>
      </c>
      <c r="B948" s="1310" t="s">
        <v>1631</v>
      </c>
      <c r="C948" s="1310" t="s">
        <v>1474</v>
      </c>
      <c r="D948" s="1310" t="s">
        <v>1655</v>
      </c>
      <c r="E948" s="1310" t="s">
        <v>1611</v>
      </c>
      <c r="F948" s="1310" t="s">
        <v>1539</v>
      </c>
      <c r="G948" s="1310" t="s">
        <v>113</v>
      </c>
      <c r="H948" s="1310" t="s">
        <v>1450</v>
      </c>
      <c r="I948" s="1310" t="s">
        <v>131</v>
      </c>
      <c r="J948" s="1310" t="s">
        <v>1566</v>
      </c>
      <c r="K948" s="1310" t="s">
        <v>1551</v>
      </c>
      <c r="L948" s="1310" t="s">
        <v>1647</v>
      </c>
      <c r="M948" s="1310" t="s">
        <v>1445</v>
      </c>
      <c r="N948" s="1310" t="s">
        <v>115</v>
      </c>
      <c r="O948" s="1310" t="s">
        <v>1513</v>
      </c>
      <c r="P948" s="1310" t="s">
        <v>1631</v>
      </c>
      <c r="Q948" s="1310" t="s">
        <v>1475</v>
      </c>
      <c r="R948" s="1310" t="s">
        <v>1608</v>
      </c>
      <c r="S948" s="1310" t="s">
        <v>1655</v>
      </c>
      <c r="T948" s="1310" t="s">
        <v>1567</v>
      </c>
      <c r="U948" s="1310" t="s">
        <v>1489</v>
      </c>
      <c r="V948" s="1310" t="s">
        <v>132</v>
      </c>
      <c r="W948" s="1310" t="s">
        <v>1490</v>
      </c>
      <c r="X948" s="1310" t="s">
        <v>1541</v>
      </c>
      <c r="Y948" s="1310" t="s">
        <v>1498</v>
      </c>
      <c r="Z948" s="1310" t="s">
        <v>1568</v>
      </c>
      <c r="AA948" s="1310" t="s">
        <v>1503</v>
      </c>
      <c r="AB948" s="1310" t="s">
        <v>1595</v>
      </c>
      <c r="AC948" s="1310" t="s">
        <v>1516</v>
      </c>
      <c r="AD948" s="1310" t="s">
        <v>1551</v>
      </c>
      <c r="AE948" s="1310" t="s">
        <v>120</v>
      </c>
      <c r="AF948" s="1310" t="s">
        <v>1536</v>
      </c>
    </row>
    <row r="949" spans="1:32" x14ac:dyDescent="0.3">
      <c r="A949" s="1310" t="s">
        <v>1608</v>
      </c>
      <c r="B949" s="1310" t="s">
        <v>114</v>
      </c>
      <c r="C949" s="1310" t="s">
        <v>1521</v>
      </c>
      <c r="D949" s="1310" t="s">
        <v>1536</v>
      </c>
      <c r="E949" s="1310" t="s">
        <v>1498</v>
      </c>
      <c r="F949" s="1310" t="s">
        <v>127</v>
      </c>
      <c r="G949" s="1310" t="s">
        <v>1590</v>
      </c>
      <c r="H949" s="1310" t="s">
        <v>1520</v>
      </c>
      <c r="I949" s="1310" t="s">
        <v>1513</v>
      </c>
      <c r="J949" s="1310" t="s">
        <v>1548</v>
      </c>
      <c r="K949" s="1310" t="s">
        <v>117</v>
      </c>
      <c r="L949" s="1310" t="s">
        <v>1533</v>
      </c>
      <c r="M949" s="1310" t="s">
        <v>121</v>
      </c>
      <c r="N949" s="1310" t="s">
        <v>1552</v>
      </c>
      <c r="O949" s="1310" t="s">
        <v>1559</v>
      </c>
      <c r="P949" s="1310" t="s">
        <v>1551</v>
      </c>
      <c r="Q949" s="1310" t="s">
        <v>1604</v>
      </c>
      <c r="R949" s="1310" t="s">
        <v>128</v>
      </c>
      <c r="S949" s="1310" t="s">
        <v>1496</v>
      </c>
      <c r="T949" s="1310" t="s">
        <v>1492</v>
      </c>
      <c r="U949" s="1310" t="s">
        <v>1599</v>
      </c>
      <c r="V949" s="1310" t="s">
        <v>1494</v>
      </c>
      <c r="W949" s="1310" t="s">
        <v>1596</v>
      </c>
      <c r="X949" s="1310" t="s">
        <v>1583</v>
      </c>
      <c r="Y949" s="1310" t="s">
        <v>1608</v>
      </c>
      <c r="Z949" s="1310" t="s">
        <v>1530</v>
      </c>
      <c r="AA949" s="1310" t="s">
        <v>118</v>
      </c>
      <c r="AB949" s="1310" t="s">
        <v>1592</v>
      </c>
      <c r="AC949" s="1310" t="s">
        <v>1517</v>
      </c>
      <c r="AD949" s="1310" t="s">
        <v>1633</v>
      </c>
      <c r="AE949" s="1310" t="s">
        <v>1575</v>
      </c>
      <c r="AF949" s="1310" t="s">
        <v>113</v>
      </c>
    </row>
    <row r="950" spans="1:32" x14ac:dyDescent="0.3">
      <c r="A950" s="1310" t="s">
        <v>1518</v>
      </c>
      <c r="B950" s="1310" t="s">
        <v>1468</v>
      </c>
      <c r="C950" s="1310" t="s">
        <v>1622</v>
      </c>
      <c r="D950" s="1310" t="s">
        <v>1637</v>
      </c>
      <c r="E950" s="1310" t="s">
        <v>1612</v>
      </c>
      <c r="F950" s="1310" t="s">
        <v>1547</v>
      </c>
      <c r="G950" s="1310" t="s">
        <v>130</v>
      </c>
      <c r="H950" s="1310" t="s">
        <v>1551</v>
      </c>
      <c r="I950" s="1310" t="s">
        <v>1507</v>
      </c>
      <c r="J950" s="1310" t="s">
        <v>1533</v>
      </c>
      <c r="K950" s="1310" t="s">
        <v>1470</v>
      </c>
      <c r="L950" s="1310" t="s">
        <v>1566</v>
      </c>
      <c r="M950" s="1310" t="s">
        <v>1444</v>
      </c>
      <c r="N950" s="1310" t="s">
        <v>1623</v>
      </c>
      <c r="O950" s="1310" t="s">
        <v>1542</v>
      </c>
      <c r="P950" s="1310" t="s">
        <v>1561</v>
      </c>
      <c r="Q950" s="1310" t="s">
        <v>1529</v>
      </c>
      <c r="R950" s="1310" t="s">
        <v>1448</v>
      </c>
      <c r="S950" s="1310" t="s">
        <v>127</v>
      </c>
      <c r="T950" s="1310" t="s">
        <v>115</v>
      </c>
      <c r="U950" s="1310" t="s">
        <v>123</v>
      </c>
      <c r="V950" s="1310" t="s">
        <v>1482</v>
      </c>
      <c r="W950" s="1310" t="s">
        <v>111</v>
      </c>
      <c r="X950" s="1310" t="s">
        <v>1485</v>
      </c>
      <c r="Y950" s="1310" t="s">
        <v>1659</v>
      </c>
      <c r="Z950" s="1310" t="s">
        <v>1594</v>
      </c>
      <c r="AA950" s="1310" t="s">
        <v>1547</v>
      </c>
      <c r="AB950" s="1310" t="s">
        <v>1460</v>
      </c>
      <c r="AC950" s="1310" t="s">
        <v>1588</v>
      </c>
      <c r="AD950" s="1310" t="s">
        <v>1586</v>
      </c>
      <c r="AE950" s="1310" t="s">
        <v>1659</v>
      </c>
      <c r="AF950" s="1310" t="s">
        <v>1659</v>
      </c>
    </row>
    <row r="951" spans="1:32" x14ac:dyDescent="0.3">
      <c r="A951" s="1310" t="s">
        <v>112</v>
      </c>
      <c r="B951" s="1310" t="s">
        <v>1452</v>
      </c>
      <c r="C951" s="1310" t="s">
        <v>117</v>
      </c>
      <c r="D951" s="1310" t="s">
        <v>122</v>
      </c>
      <c r="E951" s="1310" t="s">
        <v>1546</v>
      </c>
      <c r="F951" s="1310" t="s">
        <v>1500</v>
      </c>
      <c r="G951" s="1310" t="s">
        <v>124</v>
      </c>
      <c r="H951" s="1310" t="s">
        <v>465</v>
      </c>
      <c r="I951" s="1310" t="s">
        <v>1452</v>
      </c>
      <c r="J951" s="1310" t="s">
        <v>1515</v>
      </c>
      <c r="K951" s="1310" t="s">
        <v>1515</v>
      </c>
      <c r="L951" s="1310" t="s">
        <v>117</v>
      </c>
      <c r="M951" s="1310" t="s">
        <v>1529</v>
      </c>
      <c r="N951" s="1310" t="s">
        <v>1615</v>
      </c>
      <c r="O951" s="1310" t="s">
        <v>130</v>
      </c>
      <c r="P951" s="1310" t="s">
        <v>120</v>
      </c>
      <c r="Q951" s="1310" t="s">
        <v>1467</v>
      </c>
      <c r="R951" s="1310" t="s">
        <v>1573</v>
      </c>
      <c r="S951" s="1310" t="s">
        <v>1493</v>
      </c>
      <c r="T951" s="1310" t="s">
        <v>1523</v>
      </c>
      <c r="U951" s="1310" t="s">
        <v>1559</v>
      </c>
      <c r="V951" s="1310" t="s">
        <v>1634</v>
      </c>
      <c r="W951" s="1310" t="s">
        <v>263</v>
      </c>
      <c r="X951" s="1310" t="s">
        <v>1637</v>
      </c>
      <c r="Y951" s="1310" t="s">
        <v>1591</v>
      </c>
      <c r="Z951" s="1310" t="s">
        <v>122</v>
      </c>
      <c r="AA951" s="1310" t="s">
        <v>1448</v>
      </c>
      <c r="AB951" s="1310" t="s">
        <v>1461</v>
      </c>
      <c r="AC951" s="1310" t="s">
        <v>1457</v>
      </c>
      <c r="AD951" s="1310" t="s">
        <v>1460</v>
      </c>
      <c r="AE951" s="1310" t="s">
        <v>1500</v>
      </c>
      <c r="AF951" s="1310" t="s">
        <v>1481</v>
      </c>
    </row>
    <row r="952" spans="1:32" x14ac:dyDescent="0.3">
      <c r="A952" s="1310" t="s">
        <v>1456</v>
      </c>
      <c r="B952" s="1310" t="s">
        <v>1602</v>
      </c>
      <c r="C952" s="1310" t="s">
        <v>1562</v>
      </c>
      <c r="D952" s="1310" t="s">
        <v>1525</v>
      </c>
      <c r="E952" s="1310" t="s">
        <v>1622</v>
      </c>
      <c r="F952" s="1310" t="s">
        <v>1568</v>
      </c>
      <c r="G952" s="1310" t="s">
        <v>1637</v>
      </c>
      <c r="H952" s="1310" t="s">
        <v>130</v>
      </c>
      <c r="I952" s="1310" t="s">
        <v>1640</v>
      </c>
      <c r="J952" s="1310" t="s">
        <v>1594</v>
      </c>
      <c r="K952" s="1310" t="s">
        <v>1580</v>
      </c>
      <c r="L952" s="1310" t="s">
        <v>1601</v>
      </c>
      <c r="M952" s="1310" t="s">
        <v>1461</v>
      </c>
      <c r="N952" s="1310" t="s">
        <v>1622</v>
      </c>
      <c r="O952" s="1310" t="s">
        <v>1516</v>
      </c>
      <c r="P952" s="1310" t="s">
        <v>1660</v>
      </c>
      <c r="Q952" s="1310" t="s">
        <v>1030</v>
      </c>
      <c r="R952" s="1310" t="s">
        <v>1622</v>
      </c>
      <c r="S952" s="1310" t="s">
        <v>1505</v>
      </c>
      <c r="T952" s="1310" t="s">
        <v>1616</v>
      </c>
      <c r="U952" s="1310" t="s">
        <v>118</v>
      </c>
      <c r="V952" s="1310" t="s">
        <v>113</v>
      </c>
      <c r="W952" s="1310" t="s">
        <v>113</v>
      </c>
      <c r="X952" s="1310" t="s">
        <v>1558</v>
      </c>
      <c r="Y952" s="1310" t="s">
        <v>1594</v>
      </c>
      <c r="Z952" s="1310" t="s">
        <v>1633</v>
      </c>
      <c r="AA952" s="1310" t="s">
        <v>122</v>
      </c>
      <c r="AB952" s="1310" t="s">
        <v>1655</v>
      </c>
      <c r="AC952" s="1310" t="s">
        <v>1587</v>
      </c>
      <c r="AD952" s="1310" t="s">
        <v>1585</v>
      </c>
      <c r="AE952" s="1310" t="s">
        <v>1504</v>
      </c>
      <c r="AF952" s="1310" t="s">
        <v>1534</v>
      </c>
    </row>
    <row r="953" spans="1:32" x14ac:dyDescent="0.3">
      <c r="A953" s="1310" t="s">
        <v>1566</v>
      </c>
      <c r="B953" s="1310" t="s">
        <v>1640</v>
      </c>
      <c r="C953" s="1310" t="s">
        <v>1549</v>
      </c>
      <c r="D953" s="1310" t="s">
        <v>1576</v>
      </c>
      <c r="E953" s="1310" t="s">
        <v>1525</v>
      </c>
      <c r="F953" s="1310" t="s">
        <v>1030</v>
      </c>
      <c r="G953" s="1310" t="s">
        <v>1588</v>
      </c>
      <c r="H953" s="1310" t="s">
        <v>270</v>
      </c>
      <c r="I953" s="1310" t="s">
        <v>1484</v>
      </c>
      <c r="J953" s="1310" t="s">
        <v>1564</v>
      </c>
      <c r="K953" s="1310" t="s">
        <v>1538</v>
      </c>
      <c r="L953" s="1310" t="s">
        <v>1625</v>
      </c>
      <c r="M953" s="1310" t="s">
        <v>1557</v>
      </c>
      <c r="N953" s="1310" t="s">
        <v>1561</v>
      </c>
      <c r="O953" s="1310" t="s">
        <v>1656</v>
      </c>
      <c r="P953" s="1310" t="s">
        <v>111</v>
      </c>
      <c r="Q953" s="1310" t="s">
        <v>1655</v>
      </c>
      <c r="R953" s="1310" t="s">
        <v>1640</v>
      </c>
      <c r="S953" s="1310" t="s">
        <v>1643</v>
      </c>
      <c r="T953" s="1310" t="s">
        <v>1612</v>
      </c>
      <c r="U953" s="1310" t="s">
        <v>1545</v>
      </c>
      <c r="V953" s="1310" t="s">
        <v>1592</v>
      </c>
      <c r="W953" s="1310" t="s">
        <v>1516</v>
      </c>
      <c r="X953" s="1310" t="s">
        <v>1603</v>
      </c>
      <c r="Y953" s="1310" t="s">
        <v>1634</v>
      </c>
      <c r="Z953" s="1310" t="s">
        <v>1567</v>
      </c>
      <c r="AA953" s="1310" t="s">
        <v>1522</v>
      </c>
      <c r="AB953" s="1310" t="s">
        <v>1530</v>
      </c>
      <c r="AC953" s="1310" t="s">
        <v>1648</v>
      </c>
      <c r="AD953" s="1310" t="s">
        <v>1517</v>
      </c>
      <c r="AE953" s="1310" t="s">
        <v>1656</v>
      </c>
      <c r="AF953" s="1310" t="s">
        <v>1495</v>
      </c>
    </row>
    <row r="954" spans="1:32" x14ac:dyDescent="0.3">
      <c r="A954" s="1310" t="s">
        <v>1657</v>
      </c>
      <c r="B954" s="1310" t="s">
        <v>115</v>
      </c>
      <c r="C954" s="1310" t="s">
        <v>130</v>
      </c>
      <c r="D954" s="1310" t="s">
        <v>1443</v>
      </c>
      <c r="E954" s="1310" t="s">
        <v>1450</v>
      </c>
      <c r="F954" s="1310" t="s">
        <v>120</v>
      </c>
      <c r="G954" s="1310" t="s">
        <v>112</v>
      </c>
      <c r="H954" s="1310" t="s">
        <v>1443</v>
      </c>
      <c r="I954" s="1310" t="s">
        <v>1450</v>
      </c>
      <c r="J954" s="1310" t="s">
        <v>1651</v>
      </c>
      <c r="K954" s="1310" t="s">
        <v>131</v>
      </c>
      <c r="L954" s="1310" t="s">
        <v>471</v>
      </c>
      <c r="M954" s="1310" t="s">
        <v>127</v>
      </c>
      <c r="N954" s="1310" t="s">
        <v>1444</v>
      </c>
      <c r="O954" s="1310" t="s">
        <v>1491</v>
      </c>
      <c r="P954" s="1310" t="s">
        <v>1498</v>
      </c>
      <c r="Q954" s="1310" t="s">
        <v>1448</v>
      </c>
      <c r="R954" s="1310" t="s">
        <v>1575</v>
      </c>
      <c r="S954" s="1310" t="s">
        <v>1489</v>
      </c>
      <c r="T954" s="1310" t="s">
        <v>262</v>
      </c>
      <c r="U954" s="1310" t="s">
        <v>1465</v>
      </c>
      <c r="V954" s="1310" t="s">
        <v>1603</v>
      </c>
      <c r="W954" s="1310" t="s">
        <v>1579</v>
      </c>
      <c r="X954" s="1310" t="s">
        <v>1592</v>
      </c>
      <c r="Y954" s="1310" t="s">
        <v>6</v>
      </c>
      <c r="Z954" s="1310" t="s">
        <v>112</v>
      </c>
      <c r="AA954" s="1310" t="s">
        <v>1612</v>
      </c>
      <c r="AB954" s="1310" t="s">
        <v>131</v>
      </c>
      <c r="AC954" s="1310" t="s">
        <v>1651</v>
      </c>
      <c r="AD954" s="1310" t="s">
        <v>1517</v>
      </c>
      <c r="AE954" s="1310" t="s">
        <v>1570</v>
      </c>
      <c r="AF954" s="1310" t="s">
        <v>1539</v>
      </c>
    </row>
    <row r="955" spans="1:32" x14ac:dyDescent="0.3">
      <c r="A955" s="1310" t="s">
        <v>1468</v>
      </c>
      <c r="B955" s="1310" t="s">
        <v>1591</v>
      </c>
      <c r="C955" s="1310" t="s">
        <v>1521</v>
      </c>
      <c r="D955" s="1310" t="s">
        <v>265</v>
      </c>
      <c r="E955" s="1310" t="s">
        <v>1613</v>
      </c>
      <c r="F955" s="1310" t="s">
        <v>1541</v>
      </c>
      <c r="G955" s="1310" t="s">
        <v>1468</v>
      </c>
      <c r="H955" s="1310" t="s">
        <v>1640</v>
      </c>
      <c r="I955" s="1310" t="s">
        <v>122</v>
      </c>
      <c r="J955" s="1310" t="s">
        <v>1550</v>
      </c>
      <c r="K955" s="1310" t="s">
        <v>1455</v>
      </c>
      <c r="L955" s="1310" t="s">
        <v>1587</v>
      </c>
      <c r="M955" s="1310" t="s">
        <v>123</v>
      </c>
      <c r="N955" s="1310" t="s">
        <v>1470</v>
      </c>
      <c r="O955" s="1310" t="s">
        <v>1491</v>
      </c>
      <c r="P955" s="1310" t="s">
        <v>1475</v>
      </c>
      <c r="Q955" s="1310" t="s">
        <v>1551</v>
      </c>
      <c r="R955" s="1310" t="s">
        <v>1615</v>
      </c>
      <c r="S955" s="1310" t="s">
        <v>131</v>
      </c>
      <c r="T955" s="1310" t="s">
        <v>1494</v>
      </c>
      <c r="U955" s="1310" t="s">
        <v>1450</v>
      </c>
      <c r="V955" s="1310" t="s">
        <v>129</v>
      </c>
      <c r="W955" s="1310" t="s">
        <v>1466</v>
      </c>
      <c r="X955" s="1310" t="s">
        <v>1572</v>
      </c>
      <c r="Y955" s="1310" t="s">
        <v>1492</v>
      </c>
      <c r="Z955" s="1310" t="s">
        <v>1458</v>
      </c>
      <c r="AA955" s="1310" t="s">
        <v>1538</v>
      </c>
      <c r="AB955" s="1310" t="s">
        <v>1526</v>
      </c>
      <c r="AC955" s="1310" t="s">
        <v>1484</v>
      </c>
      <c r="AD955" s="1310" t="s">
        <v>1537</v>
      </c>
      <c r="AE955" s="1310" t="s">
        <v>1538</v>
      </c>
      <c r="AF955" s="1310" t="s">
        <v>1602</v>
      </c>
    </row>
    <row r="956" spans="1:32" x14ac:dyDescent="0.3">
      <c r="A956" s="1310" t="s">
        <v>1505</v>
      </c>
      <c r="B956" s="1310" t="s">
        <v>1546</v>
      </c>
      <c r="C956" s="1310" t="s">
        <v>267</v>
      </c>
      <c r="D956" s="1310" t="s">
        <v>1549</v>
      </c>
      <c r="E956" s="1310" t="s">
        <v>1505</v>
      </c>
      <c r="F956" s="1310" t="s">
        <v>1463</v>
      </c>
      <c r="G956" s="1310" t="s">
        <v>1443</v>
      </c>
      <c r="H956" s="1310" t="s">
        <v>1450</v>
      </c>
      <c r="I956" s="1310" t="s">
        <v>1522</v>
      </c>
      <c r="J956" s="1310" t="s">
        <v>1489</v>
      </c>
      <c r="K956" s="1310" t="s">
        <v>1478</v>
      </c>
      <c r="L956" s="1310" t="s">
        <v>1592</v>
      </c>
      <c r="M956" s="1310" t="s">
        <v>1660</v>
      </c>
      <c r="N956" s="1310" t="s">
        <v>1572</v>
      </c>
      <c r="O956" s="1310" t="s">
        <v>1490</v>
      </c>
      <c r="P956" s="1310" t="s">
        <v>1630</v>
      </c>
      <c r="Q956" s="1310" t="s">
        <v>113</v>
      </c>
      <c r="R956" s="1310" t="s">
        <v>1660</v>
      </c>
      <c r="S956" s="1310" t="s">
        <v>1588</v>
      </c>
      <c r="T956" s="1310" t="s">
        <v>1504</v>
      </c>
      <c r="U956" s="1310" t="s">
        <v>1646</v>
      </c>
      <c r="V956" s="1310" t="s">
        <v>1610</v>
      </c>
      <c r="W956" s="1310" t="s">
        <v>1461</v>
      </c>
      <c r="X956" s="1310" t="s">
        <v>1622</v>
      </c>
      <c r="Y956" s="1310" t="s">
        <v>130</v>
      </c>
      <c r="Z956" s="1310" t="s">
        <v>1652</v>
      </c>
      <c r="AA956" s="1310" t="s">
        <v>1470</v>
      </c>
      <c r="AB956" s="1310" t="s">
        <v>1603</v>
      </c>
      <c r="AC956" s="1310" t="s">
        <v>119</v>
      </c>
      <c r="AD956" s="1310" t="s">
        <v>1453</v>
      </c>
      <c r="AE956" s="1310" t="s">
        <v>1554</v>
      </c>
      <c r="AF956" s="1310" t="s">
        <v>1630</v>
      </c>
    </row>
    <row r="957" spans="1:32" x14ac:dyDescent="0.3">
      <c r="A957" s="1310" t="s">
        <v>1591</v>
      </c>
      <c r="B957" s="1310" t="s">
        <v>1632</v>
      </c>
      <c r="C957" s="1310" t="s">
        <v>1514</v>
      </c>
      <c r="D957" s="1310" t="s">
        <v>1565</v>
      </c>
      <c r="E957" s="1310" t="s">
        <v>1622</v>
      </c>
      <c r="F957" s="1310" t="s">
        <v>1547</v>
      </c>
      <c r="G957" s="1310" t="s">
        <v>6</v>
      </c>
      <c r="H957" s="1310" t="s">
        <v>1477</v>
      </c>
      <c r="I957" s="1310" t="s">
        <v>1569</v>
      </c>
      <c r="J957" s="1310" t="s">
        <v>1499</v>
      </c>
      <c r="K957" s="1310" t="s">
        <v>1552</v>
      </c>
      <c r="L957" s="1310" t="s">
        <v>1587</v>
      </c>
      <c r="M957" s="1310" t="s">
        <v>1452</v>
      </c>
      <c r="N957" s="1310" t="s">
        <v>1568</v>
      </c>
      <c r="O957" s="1310" t="s">
        <v>1488</v>
      </c>
      <c r="P957" s="1310" t="s">
        <v>1548</v>
      </c>
      <c r="Q957" s="1310" t="s">
        <v>1525</v>
      </c>
      <c r="R957" s="1310" t="s">
        <v>121</v>
      </c>
      <c r="S957" s="1310" t="s">
        <v>1655</v>
      </c>
      <c r="T957" s="1310" t="s">
        <v>1609</v>
      </c>
      <c r="U957" s="1310" t="s">
        <v>1528</v>
      </c>
      <c r="V957" s="1310" t="s">
        <v>1467</v>
      </c>
      <c r="W957" s="1310" t="s">
        <v>1511</v>
      </c>
      <c r="X957" s="1310" t="s">
        <v>1517</v>
      </c>
      <c r="Y957" s="1310" t="s">
        <v>268</v>
      </c>
      <c r="Z957" s="1310" t="s">
        <v>1520</v>
      </c>
      <c r="AA957" s="1310" t="s">
        <v>130</v>
      </c>
      <c r="AB957" s="1310" t="s">
        <v>1518</v>
      </c>
      <c r="AC957" s="1310" t="s">
        <v>1525</v>
      </c>
      <c r="AD957" s="1310" t="s">
        <v>1457</v>
      </c>
      <c r="AE957" s="1310" t="s">
        <v>465</v>
      </c>
      <c r="AF957" s="1310" t="s">
        <v>1541</v>
      </c>
    </row>
    <row r="958" spans="1:32" x14ac:dyDescent="0.3">
      <c r="A958" s="1310" t="s">
        <v>1586</v>
      </c>
      <c r="B958" s="1310" t="s">
        <v>1466</v>
      </c>
      <c r="C958" s="1310" t="s">
        <v>1564</v>
      </c>
      <c r="D958" s="1310" t="s">
        <v>1585</v>
      </c>
      <c r="E958" s="1310" t="s">
        <v>1635</v>
      </c>
      <c r="F958" s="1310" t="s">
        <v>129</v>
      </c>
      <c r="G958" s="1310" t="s">
        <v>1520</v>
      </c>
      <c r="H958" s="1310" t="s">
        <v>1525</v>
      </c>
      <c r="I958" s="1310" t="s">
        <v>1512</v>
      </c>
      <c r="J958" s="1310" t="s">
        <v>121</v>
      </c>
      <c r="K958" s="1310" t="s">
        <v>1570</v>
      </c>
      <c r="L958" s="1310" t="s">
        <v>1459</v>
      </c>
      <c r="M958" s="1310" t="s">
        <v>119</v>
      </c>
      <c r="N958" s="1310" t="s">
        <v>1594</v>
      </c>
      <c r="O958" s="1310" t="s">
        <v>1595</v>
      </c>
      <c r="P958" s="1310" t="s">
        <v>1566</v>
      </c>
      <c r="Q958" s="1310" t="s">
        <v>1619</v>
      </c>
      <c r="R958" s="1310" t="s">
        <v>1519</v>
      </c>
      <c r="S958" s="1310" t="s">
        <v>1543</v>
      </c>
      <c r="T958" s="1310" t="s">
        <v>1622</v>
      </c>
      <c r="U958" s="1310" t="s">
        <v>1637</v>
      </c>
      <c r="V958" s="1310" t="s">
        <v>1449</v>
      </c>
      <c r="W958" s="1310" t="s">
        <v>1568</v>
      </c>
      <c r="X958" s="1310" t="s">
        <v>1475</v>
      </c>
      <c r="Y958" s="1310" t="s">
        <v>1640</v>
      </c>
      <c r="Z958" s="1310" t="s">
        <v>268</v>
      </c>
      <c r="AA958" s="1310" t="s">
        <v>1537</v>
      </c>
      <c r="AB958" s="1310" t="s">
        <v>1580</v>
      </c>
      <c r="AC958" s="1310" t="s">
        <v>1583</v>
      </c>
      <c r="AD958" s="1310" t="s">
        <v>1469</v>
      </c>
      <c r="AE958" s="1310" t="s">
        <v>1587</v>
      </c>
      <c r="AF958" s="1310" t="s">
        <v>1460</v>
      </c>
    </row>
    <row r="959" spans="1:32" x14ac:dyDescent="0.3">
      <c r="A959" s="1310" t="s">
        <v>1593</v>
      </c>
      <c r="B959" s="1310" t="s">
        <v>125</v>
      </c>
      <c r="C959" s="1310" t="s">
        <v>1516</v>
      </c>
      <c r="D959" s="1310" t="s">
        <v>1559</v>
      </c>
      <c r="E959" s="1310" t="s">
        <v>1643</v>
      </c>
      <c r="F959" s="1310" t="s">
        <v>1529</v>
      </c>
      <c r="G959" s="1310" t="s">
        <v>1529</v>
      </c>
      <c r="H959" s="1310" t="s">
        <v>1630</v>
      </c>
      <c r="I959" s="1310" t="s">
        <v>1502</v>
      </c>
      <c r="J959" s="1310" t="s">
        <v>1519</v>
      </c>
      <c r="K959" s="1310" t="s">
        <v>1612</v>
      </c>
      <c r="L959" s="1310" t="s">
        <v>1624</v>
      </c>
      <c r="M959" s="1310" t="s">
        <v>1622</v>
      </c>
      <c r="N959" s="1310" t="s">
        <v>1567</v>
      </c>
      <c r="O959" s="1310" t="s">
        <v>123</v>
      </c>
      <c r="P959" s="1310" t="s">
        <v>1656</v>
      </c>
      <c r="Q959" s="1310" t="s">
        <v>1479</v>
      </c>
      <c r="R959" s="1310" t="s">
        <v>1610</v>
      </c>
      <c r="S959" s="1310" t="s">
        <v>1642</v>
      </c>
      <c r="T959" s="1310" t="s">
        <v>1648</v>
      </c>
      <c r="U959" s="1310" t="s">
        <v>1525</v>
      </c>
      <c r="V959" s="1310" t="s">
        <v>1588</v>
      </c>
      <c r="W959" s="1310" t="s">
        <v>124</v>
      </c>
      <c r="X959" s="1310" t="s">
        <v>1452</v>
      </c>
      <c r="Y959" s="1310" t="s">
        <v>1586</v>
      </c>
      <c r="Z959" s="1310" t="s">
        <v>1605</v>
      </c>
      <c r="AA959" s="1310" t="s">
        <v>1579</v>
      </c>
      <c r="AB959" s="1310" t="s">
        <v>1479</v>
      </c>
      <c r="AC959" s="1310" t="s">
        <v>1612</v>
      </c>
      <c r="AD959" s="1310" t="s">
        <v>1594</v>
      </c>
      <c r="AE959" s="1310" t="s">
        <v>1480</v>
      </c>
      <c r="AF959" s="1310" t="s">
        <v>1519</v>
      </c>
    </row>
    <row r="960" spans="1:32" x14ac:dyDescent="0.3">
      <c r="A960" s="1310" t="s">
        <v>1546</v>
      </c>
      <c r="B960" s="1310" t="s">
        <v>1555</v>
      </c>
      <c r="C960" s="1310" t="s">
        <v>1501</v>
      </c>
      <c r="D960" s="1310" t="s">
        <v>1576</v>
      </c>
      <c r="E960" s="1310" t="s">
        <v>1556</v>
      </c>
      <c r="F960" s="1310" t="s">
        <v>1532</v>
      </c>
      <c r="G960" s="1310" t="s">
        <v>471</v>
      </c>
      <c r="H960" s="1310" t="s">
        <v>1474</v>
      </c>
      <c r="I960" s="1310" t="s">
        <v>1459</v>
      </c>
      <c r="J960" s="1310" t="s">
        <v>119</v>
      </c>
      <c r="K960" s="1310" t="s">
        <v>1630</v>
      </c>
      <c r="L960" s="1310" t="s">
        <v>1486</v>
      </c>
      <c r="M960" s="1310" t="s">
        <v>1573</v>
      </c>
      <c r="N960" s="1310" t="s">
        <v>1572</v>
      </c>
      <c r="O960" s="1310" t="s">
        <v>1599</v>
      </c>
      <c r="P960" s="1310" t="s">
        <v>1600</v>
      </c>
      <c r="Q960" s="1310" t="s">
        <v>1558</v>
      </c>
      <c r="R960" s="1310" t="s">
        <v>1449</v>
      </c>
      <c r="S960" s="1310" t="s">
        <v>1450</v>
      </c>
      <c r="T960" s="1310" t="s">
        <v>126</v>
      </c>
      <c r="U960" s="1310" t="s">
        <v>1480</v>
      </c>
      <c r="V960" s="1310" t="s">
        <v>1451</v>
      </c>
      <c r="W960" s="1310" t="s">
        <v>1625</v>
      </c>
      <c r="X960" s="1310" t="s">
        <v>1483</v>
      </c>
      <c r="Y960" s="1310" t="s">
        <v>1622</v>
      </c>
      <c r="Z960" s="1310" t="s">
        <v>1507</v>
      </c>
      <c r="AA960" s="1310" t="s">
        <v>1558</v>
      </c>
      <c r="AB960" s="1310" t="s">
        <v>263</v>
      </c>
      <c r="AC960" s="1310" t="s">
        <v>1030</v>
      </c>
      <c r="AD960" s="1310" t="s">
        <v>269</v>
      </c>
      <c r="AE960" s="1310" t="s">
        <v>115</v>
      </c>
      <c r="AF960" s="1310" t="s">
        <v>1499</v>
      </c>
    </row>
    <row r="961" spans="1:32" x14ac:dyDescent="0.3">
      <c r="A961" s="1310" t="s">
        <v>1461</v>
      </c>
      <c r="B961" s="1310" t="s">
        <v>124</v>
      </c>
      <c r="C961" s="1310" t="s">
        <v>1467</v>
      </c>
      <c r="D961" s="1310" t="s">
        <v>1483</v>
      </c>
      <c r="E961" s="1310" t="s">
        <v>1606</v>
      </c>
      <c r="F961" s="1310" t="s">
        <v>116</v>
      </c>
      <c r="G961" s="1310" t="s">
        <v>1554</v>
      </c>
      <c r="H961" s="1310" t="s">
        <v>1447</v>
      </c>
      <c r="I961" s="1310" t="s">
        <v>111</v>
      </c>
      <c r="J961" s="1310" t="s">
        <v>1637</v>
      </c>
      <c r="K961" s="1310" t="s">
        <v>1625</v>
      </c>
      <c r="L961" s="1310" t="s">
        <v>1578</v>
      </c>
      <c r="M961" s="1310" t="s">
        <v>1476</v>
      </c>
      <c r="N961" s="1310" t="s">
        <v>1597</v>
      </c>
      <c r="O961" s="1310" t="s">
        <v>1522</v>
      </c>
      <c r="P961" s="1310" t="s">
        <v>1487</v>
      </c>
      <c r="Q961" s="1310" t="s">
        <v>1499</v>
      </c>
      <c r="R961" s="1310" t="s">
        <v>1521</v>
      </c>
      <c r="S961" s="1310" t="s">
        <v>1621</v>
      </c>
      <c r="T961" s="1310" t="s">
        <v>1649</v>
      </c>
      <c r="U961" s="1310" t="s">
        <v>1610</v>
      </c>
      <c r="V961" s="1310" t="s">
        <v>125</v>
      </c>
      <c r="W961" s="1310" t="s">
        <v>1540</v>
      </c>
      <c r="X961" s="1310" t="s">
        <v>1635</v>
      </c>
      <c r="Y961" s="1310" t="s">
        <v>1520</v>
      </c>
      <c r="Z961" s="1310" t="s">
        <v>1637</v>
      </c>
      <c r="AA961" s="1310" t="s">
        <v>1456</v>
      </c>
      <c r="AB961" s="1310" t="s">
        <v>1544</v>
      </c>
      <c r="AC961" s="1310" t="s">
        <v>1470</v>
      </c>
      <c r="AD961" s="1310" t="s">
        <v>1573</v>
      </c>
      <c r="AE961" s="1310" t="s">
        <v>1623</v>
      </c>
      <c r="AF961" s="1310" t="s">
        <v>6</v>
      </c>
    </row>
    <row r="962" spans="1:32" x14ac:dyDescent="0.3">
      <c r="A962" s="1310" t="s">
        <v>1495</v>
      </c>
      <c r="B962" s="1310" t="s">
        <v>1450</v>
      </c>
      <c r="C962" s="1310" t="s">
        <v>1618</v>
      </c>
      <c r="D962" s="1310" t="s">
        <v>1656</v>
      </c>
      <c r="E962" s="1310" t="s">
        <v>1511</v>
      </c>
      <c r="F962" s="1310" t="s">
        <v>1463</v>
      </c>
      <c r="G962" s="1310" t="s">
        <v>1566</v>
      </c>
      <c r="H962" s="1310" t="s">
        <v>1546</v>
      </c>
      <c r="I962" s="1310" t="s">
        <v>1595</v>
      </c>
      <c r="J962" s="1310" t="s">
        <v>1030</v>
      </c>
      <c r="K962" s="1310" t="s">
        <v>1638</v>
      </c>
      <c r="L962" s="1310" t="s">
        <v>1492</v>
      </c>
      <c r="M962" s="1310" t="s">
        <v>1635</v>
      </c>
      <c r="N962" s="1310" t="s">
        <v>1622</v>
      </c>
      <c r="O962" s="1310" t="s">
        <v>1565</v>
      </c>
      <c r="P962" s="1310" t="s">
        <v>1500</v>
      </c>
      <c r="Q962" s="1310" t="s">
        <v>1624</v>
      </c>
      <c r="R962" s="1310" t="s">
        <v>268</v>
      </c>
      <c r="S962" s="1310" t="s">
        <v>1651</v>
      </c>
      <c r="T962" s="1310" t="s">
        <v>1027</v>
      </c>
      <c r="U962" s="1310" t="s">
        <v>1554</v>
      </c>
      <c r="V962" s="1310" t="s">
        <v>1638</v>
      </c>
      <c r="W962" s="1310" t="s">
        <v>1621</v>
      </c>
      <c r="X962" s="1310" t="s">
        <v>114</v>
      </c>
      <c r="Y962" s="1310" t="s">
        <v>1618</v>
      </c>
      <c r="Z962" s="1310" t="s">
        <v>1561</v>
      </c>
      <c r="AA962" s="1310" t="s">
        <v>1605</v>
      </c>
      <c r="AB962" s="1310" t="s">
        <v>1459</v>
      </c>
      <c r="AC962" s="1310" t="s">
        <v>1589</v>
      </c>
      <c r="AD962" s="1310" t="s">
        <v>1461</v>
      </c>
      <c r="AE962" s="1310" t="s">
        <v>1630</v>
      </c>
      <c r="AF962" s="1310" t="s">
        <v>1495</v>
      </c>
    </row>
    <row r="963" spans="1:32" x14ac:dyDescent="0.3">
      <c r="A963" s="1310" t="s">
        <v>1585</v>
      </c>
      <c r="B963" s="1310" t="s">
        <v>1533</v>
      </c>
      <c r="C963" s="1310" t="s">
        <v>1631</v>
      </c>
      <c r="D963" s="1310" t="s">
        <v>1649</v>
      </c>
      <c r="E963" s="1310" t="s">
        <v>1511</v>
      </c>
      <c r="F963" s="1310" t="s">
        <v>1548</v>
      </c>
      <c r="G963" s="1310" t="s">
        <v>1550</v>
      </c>
      <c r="H963" s="1310" t="s">
        <v>111</v>
      </c>
      <c r="I963" s="1310" t="s">
        <v>1495</v>
      </c>
      <c r="J963" s="1310" t="s">
        <v>1592</v>
      </c>
      <c r="K963" s="1310" t="s">
        <v>1566</v>
      </c>
      <c r="L963" s="1310" t="s">
        <v>1645</v>
      </c>
      <c r="M963" s="1310" t="s">
        <v>262</v>
      </c>
      <c r="N963" s="1310" t="s">
        <v>1581</v>
      </c>
      <c r="O963" s="1310" t="s">
        <v>1487</v>
      </c>
      <c r="P963" s="1310" t="s">
        <v>1451</v>
      </c>
      <c r="Q963" s="1310" t="s">
        <v>1483</v>
      </c>
      <c r="R963" s="1310" t="s">
        <v>127</v>
      </c>
      <c r="S963" s="1310" t="s">
        <v>1450</v>
      </c>
      <c r="T963" s="1310" t="s">
        <v>1500</v>
      </c>
      <c r="U963" s="1310" t="s">
        <v>1537</v>
      </c>
      <c r="V963" s="1310" t="s">
        <v>1578</v>
      </c>
      <c r="W963" s="1310" t="s">
        <v>1476</v>
      </c>
      <c r="X963" s="1310" t="s">
        <v>1595</v>
      </c>
      <c r="Y963" s="1310" t="s">
        <v>265</v>
      </c>
      <c r="Z963" s="1310" t="s">
        <v>1458</v>
      </c>
      <c r="AA963" s="1310" t="s">
        <v>119</v>
      </c>
      <c r="AB963" s="1310" t="s">
        <v>1529</v>
      </c>
      <c r="AC963" s="1310" t="s">
        <v>1471</v>
      </c>
      <c r="AD963" s="1310" t="s">
        <v>1567</v>
      </c>
      <c r="AE963" s="1310" t="s">
        <v>1512</v>
      </c>
      <c r="AF963" s="1310" t="s">
        <v>1469</v>
      </c>
    </row>
    <row r="964" spans="1:32" x14ac:dyDescent="0.3">
      <c r="A964" s="1310" t="s">
        <v>1504</v>
      </c>
      <c r="B964" s="1310" t="s">
        <v>267</v>
      </c>
      <c r="C964" s="1310" t="s">
        <v>1454</v>
      </c>
      <c r="D964" s="1310" t="s">
        <v>1475</v>
      </c>
      <c r="E964" s="1310" t="s">
        <v>1518</v>
      </c>
      <c r="F964" s="1310" t="s">
        <v>1587</v>
      </c>
      <c r="G964" s="1310" t="s">
        <v>1604</v>
      </c>
      <c r="H964" s="1310" t="s">
        <v>1456</v>
      </c>
      <c r="I964" s="1310" t="s">
        <v>1614</v>
      </c>
      <c r="J964" s="1310" t="s">
        <v>1523</v>
      </c>
      <c r="K964" s="1310" t="s">
        <v>1481</v>
      </c>
      <c r="L964" s="1310" t="s">
        <v>1566</v>
      </c>
      <c r="M964" s="1310" t="s">
        <v>1535</v>
      </c>
      <c r="N964" s="1310" t="s">
        <v>1517</v>
      </c>
      <c r="O964" s="1310" t="s">
        <v>1542</v>
      </c>
      <c r="P964" s="1310" t="s">
        <v>1492</v>
      </c>
      <c r="Q964" s="1310" t="s">
        <v>1573</v>
      </c>
      <c r="R964" s="1310" t="s">
        <v>1650</v>
      </c>
      <c r="S964" s="1310" t="s">
        <v>1589</v>
      </c>
      <c r="T964" s="1310" t="s">
        <v>1527</v>
      </c>
      <c r="U964" s="1310" t="s">
        <v>1490</v>
      </c>
      <c r="V964" s="1310" t="s">
        <v>1480</v>
      </c>
      <c r="W964" s="1310" t="s">
        <v>1463</v>
      </c>
      <c r="X964" s="1310" t="s">
        <v>1629</v>
      </c>
      <c r="Y964" s="1310" t="s">
        <v>1659</v>
      </c>
      <c r="Z964" s="1310" t="s">
        <v>1646</v>
      </c>
      <c r="AA964" s="1310" t="s">
        <v>1536</v>
      </c>
      <c r="AB964" s="1310" t="s">
        <v>1635</v>
      </c>
      <c r="AC964" s="1310" t="s">
        <v>1654</v>
      </c>
      <c r="AD964" s="1310" t="s">
        <v>114</v>
      </c>
      <c r="AE964" s="1310" t="s">
        <v>1632</v>
      </c>
      <c r="AF964" s="1310" t="s">
        <v>1518</v>
      </c>
    </row>
    <row r="965" spans="1:32" x14ac:dyDescent="0.3">
      <c r="A965" s="1310" t="s">
        <v>1446</v>
      </c>
      <c r="B965" s="1310" t="s">
        <v>268</v>
      </c>
      <c r="C965" s="1310" t="s">
        <v>1498</v>
      </c>
      <c r="D965" s="1310" t="s">
        <v>267</v>
      </c>
      <c r="E965" s="1310" t="s">
        <v>1520</v>
      </c>
      <c r="F965" s="1310" t="s">
        <v>1584</v>
      </c>
      <c r="G965" s="1310" t="s">
        <v>1454</v>
      </c>
      <c r="H965" s="1310" t="s">
        <v>1629</v>
      </c>
      <c r="I965" s="1310" t="s">
        <v>115</v>
      </c>
      <c r="J965" s="1310" t="s">
        <v>266</v>
      </c>
      <c r="K965" s="1310" t="s">
        <v>1597</v>
      </c>
      <c r="L965" s="1310" t="s">
        <v>1487</v>
      </c>
      <c r="M965" s="1310" t="s">
        <v>1598</v>
      </c>
      <c r="N965" s="1310" t="s">
        <v>471</v>
      </c>
      <c r="O965" s="1310" t="s">
        <v>1658</v>
      </c>
      <c r="P965" s="1310" t="s">
        <v>1573</v>
      </c>
      <c r="Q965" s="1310" t="s">
        <v>1627</v>
      </c>
      <c r="R965" s="1310" t="s">
        <v>1499</v>
      </c>
      <c r="S965" s="1310" t="s">
        <v>1444</v>
      </c>
      <c r="T965" s="1310" t="s">
        <v>1477</v>
      </c>
      <c r="U965" s="1310" t="s">
        <v>1489</v>
      </c>
      <c r="V965" s="1310" t="s">
        <v>1643</v>
      </c>
      <c r="W965" s="1310" t="s">
        <v>1469</v>
      </c>
      <c r="X965" s="1310" t="s">
        <v>1503</v>
      </c>
      <c r="Y965" s="1310" t="s">
        <v>1459</v>
      </c>
      <c r="Z965" s="1310" t="s">
        <v>1532</v>
      </c>
      <c r="AA965" s="1310" t="s">
        <v>1455</v>
      </c>
      <c r="AB965" s="1310" t="s">
        <v>1577</v>
      </c>
      <c r="AC965" s="1310" t="s">
        <v>1595</v>
      </c>
      <c r="AD965" s="1310" t="s">
        <v>1571</v>
      </c>
      <c r="AE965" s="1310" t="s">
        <v>1644</v>
      </c>
      <c r="AF965" s="1310" t="s">
        <v>131</v>
      </c>
    </row>
    <row r="966" spans="1:32" x14ac:dyDescent="0.3">
      <c r="A966" s="1310" t="s">
        <v>1484</v>
      </c>
      <c r="B966" s="1310" t="s">
        <v>1569</v>
      </c>
      <c r="C966" s="1310" t="s">
        <v>1658</v>
      </c>
      <c r="D966" s="1310" t="s">
        <v>1511</v>
      </c>
      <c r="E966" s="1310" t="s">
        <v>1587</v>
      </c>
      <c r="F966" s="1310" t="s">
        <v>1551</v>
      </c>
      <c r="G966" s="1310" t="s">
        <v>1551</v>
      </c>
      <c r="H966" s="1310" t="s">
        <v>1588</v>
      </c>
      <c r="I966" s="1310" t="s">
        <v>1614</v>
      </c>
      <c r="J966" s="1310" t="s">
        <v>1609</v>
      </c>
      <c r="K966" s="1310" t="s">
        <v>1480</v>
      </c>
      <c r="L966" s="1310" t="s">
        <v>1525</v>
      </c>
      <c r="M966" s="1310" t="s">
        <v>1509</v>
      </c>
      <c r="N966" s="1310" t="s">
        <v>1456</v>
      </c>
      <c r="O966" s="1310" t="s">
        <v>1585</v>
      </c>
      <c r="P966" s="1310" t="s">
        <v>1643</v>
      </c>
      <c r="Q966" s="1310" t="s">
        <v>1520</v>
      </c>
      <c r="R966" s="1310" t="s">
        <v>471</v>
      </c>
      <c r="S966" s="1310" t="s">
        <v>1582</v>
      </c>
      <c r="T966" s="1310" t="s">
        <v>1561</v>
      </c>
      <c r="U966" s="1310" t="s">
        <v>1460</v>
      </c>
      <c r="V966" s="1310" t="s">
        <v>1455</v>
      </c>
      <c r="W966" s="1310" t="s">
        <v>1597</v>
      </c>
      <c r="X966" s="1310" t="s">
        <v>1555</v>
      </c>
      <c r="Y966" s="1310" t="s">
        <v>1555</v>
      </c>
      <c r="Z966" s="1310" t="s">
        <v>1552</v>
      </c>
      <c r="AA966" s="1310" t="s">
        <v>1475</v>
      </c>
      <c r="AB966" s="1310" t="s">
        <v>1601</v>
      </c>
      <c r="AC966" s="1310" t="s">
        <v>1596</v>
      </c>
      <c r="AD966" s="1310" t="s">
        <v>1553</v>
      </c>
      <c r="AE966" s="1310" t="s">
        <v>1551</v>
      </c>
      <c r="AF966" s="1310" t="s">
        <v>1472</v>
      </c>
    </row>
    <row r="967" spans="1:32" x14ac:dyDescent="0.3">
      <c r="A967" s="1310" t="s">
        <v>1621</v>
      </c>
      <c r="B967" s="1310" t="s">
        <v>1613</v>
      </c>
      <c r="C967" s="1310" t="s">
        <v>1538</v>
      </c>
      <c r="D967" s="1310" t="s">
        <v>1618</v>
      </c>
      <c r="E967" s="1310" t="s">
        <v>1557</v>
      </c>
      <c r="F967" s="1310" t="s">
        <v>1481</v>
      </c>
      <c r="G967" s="1310" t="s">
        <v>1630</v>
      </c>
      <c r="H967" s="1310" t="s">
        <v>1495</v>
      </c>
      <c r="I967" s="1310" t="s">
        <v>1570</v>
      </c>
      <c r="J967" s="1310" t="s">
        <v>1532</v>
      </c>
      <c r="K967" s="1310" t="s">
        <v>1620</v>
      </c>
      <c r="L967" s="1310" t="s">
        <v>1488</v>
      </c>
      <c r="M967" s="1310" t="s">
        <v>1565</v>
      </c>
      <c r="N967" s="1310" t="s">
        <v>1608</v>
      </c>
      <c r="O967" s="1310" t="s">
        <v>1615</v>
      </c>
      <c r="P967" s="1310" t="s">
        <v>1623</v>
      </c>
      <c r="Q967" s="1310" t="s">
        <v>1597</v>
      </c>
      <c r="R967" s="1310" t="s">
        <v>1570</v>
      </c>
      <c r="S967" s="1310" t="s">
        <v>1577</v>
      </c>
      <c r="T967" s="1310" t="s">
        <v>1569</v>
      </c>
      <c r="U967" s="1310" t="s">
        <v>1491</v>
      </c>
      <c r="V967" s="1310" t="s">
        <v>1510</v>
      </c>
      <c r="W967" s="1310" t="s">
        <v>1563</v>
      </c>
      <c r="X967" s="1310" t="s">
        <v>122</v>
      </c>
      <c r="Y967" s="1310" t="s">
        <v>1607</v>
      </c>
      <c r="Z967" s="1310" t="s">
        <v>119</v>
      </c>
      <c r="AA967" s="1310" t="s">
        <v>1604</v>
      </c>
      <c r="AB967" s="1310" t="s">
        <v>1643</v>
      </c>
      <c r="AC967" s="1310" t="s">
        <v>1570</v>
      </c>
      <c r="AD967" s="1310" t="s">
        <v>1460</v>
      </c>
      <c r="AE967" s="1310" t="s">
        <v>126</v>
      </c>
      <c r="AF967" s="1310" t="s">
        <v>1650</v>
      </c>
    </row>
    <row r="968" spans="1:32" x14ac:dyDescent="0.3">
      <c r="A968" s="1310" t="s">
        <v>1455</v>
      </c>
      <c r="B968" s="1310" t="s">
        <v>1641</v>
      </c>
      <c r="C968" s="1310" t="s">
        <v>1525</v>
      </c>
      <c r="D968" s="1310" t="s">
        <v>1492</v>
      </c>
      <c r="E968" s="1310" t="s">
        <v>1529</v>
      </c>
      <c r="F968" s="1310" t="s">
        <v>1482</v>
      </c>
      <c r="G968" s="1310" t="s">
        <v>1530</v>
      </c>
      <c r="H968" s="1310" t="s">
        <v>1630</v>
      </c>
      <c r="I968" s="1310" t="s">
        <v>1452</v>
      </c>
      <c r="J968" s="1310" t="s">
        <v>1504</v>
      </c>
      <c r="K968" s="1310" t="s">
        <v>1652</v>
      </c>
      <c r="L968" s="1310" t="s">
        <v>1528</v>
      </c>
      <c r="M968" s="1310" t="s">
        <v>266</v>
      </c>
      <c r="N968" s="1310" t="s">
        <v>1592</v>
      </c>
      <c r="O968" s="1310" t="s">
        <v>1457</v>
      </c>
      <c r="P968" s="1310" t="s">
        <v>1556</v>
      </c>
      <c r="Q968" s="1310" t="s">
        <v>1468</v>
      </c>
      <c r="R968" s="1310" t="s">
        <v>1544</v>
      </c>
      <c r="S968" s="1310" t="s">
        <v>1499</v>
      </c>
      <c r="T968" s="1310" t="s">
        <v>1646</v>
      </c>
      <c r="U968" s="1310" t="s">
        <v>1651</v>
      </c>
      <c r="V968" s="1310" t="s">
        <v>1512</v>
      </c>
      <c r="W968" s="1310" t="s">
        <v>1596</v>
      </c>
      <c r="X968" s="1310" t="s">
        <v>1578</v>
      </c>
      <c r="Y968" s="1310" t="s">
        <v>1585</v>
      </c>
      <c r="Z968" s="1310" t="s">
        <v>1568</v>
      </c>
      <c r="AA968" s="1310" t="s">
        <v>1606</v>
      </c>
      <c r="AB968" s="1310" t="s">
        <v>1027</v>
      </c>
      <c r="AC968" s="1310" t="s">
        <v>1616</v>
      </c>
      <c r="AD968" s="1310" t="s">
        <v>1583</v>
      </c>
      <c r="AE968" s="1310" t="s">
        <v>1558</v>
      </c>
      <c r="AF968" s="1310" t="s">
        <v>1542</v>
      </c>
    </row>
    <row r="969" spans="1:32" x14ac:dyDescent="0.3">
      <c r="A969" s="1310" t="s">
        <v>1610</v>
      </c>
      <c r="B969" s="1310" t="s">
        <v>1660</v>
      </c>
      <c r="C969" s="1310" t="s">
        <v>1635</v>
      </c>
      <c r="D969" s="1310" t="s">
        <v>1625</v>
      </c>
      <c r="E969" s="1310" t="s">
        <v>120</v>
      </c>
      <c r="F969" s="1310" t="s">
        <v>1559</v>
      </c>
      <c r="G969" s="1310" t="s">
        <v>1468</v>
      </c>
      <c r="H969" s="1310" t="s">
        <v>121</v>
      </c>
      <c r="I969" s="1310" t="s">
        <v>1566</v>
      </c>
      <c r="J969" s="1310" t="s">
        <v>1639</v>
      </c>
      <c r="K969" s="1310" t="s">
        <v>1587</v>
      </c>
      <c r="L969" s="1310" t="s">
        <v>1655</v>
      </c>
      <c r="M969" s="1310" t="s">
        <v>1480</v>
      </c>
      <c r="N969" s="1310" t="s">
        <v>1655</v>
      </c>
      <c r="O969" s="1310" t="s">
        <v>1634</v>
      </c>
      <c r="P969" s="1310" t="s">
        <v>1561</v>
      </c>
      <c r="Q969" s="1310" t="s">
        <v>1481</v>
      </c>
      <c r="R969" s="1310" t="s">
        <v>1449</v>
      </c>
      <c r="S969" s="1310" t="s">
        <v>1613</v>
      </c>
      <c r="T969" s="1310" t="s">
        <v>1517</v>
      </c>
      <c r="U969" s="1310" t="s">
        <v>1561</v>
      </c>
      <c r="V969" s="1310" t="s">
        <v>1508</v>
      </c>
      <c r="W969" s="1310" t="s">
        <v>1452</v>
      </c>
      <c r="X969" s="1310" t="s">
        <v>1494</v>
      </c>
      <c r="Y969" s="1310" t="s">
        <v>1483</v>
      </c>
      <c r="Z969" s="1310" t="s">
        <v>1630</v>
      </c>
      <c r="AA969" s="1310" t="s">
        <v>1601</v>
      </c>
      <c r="AB969" s="1310" t="s">
        <v>1537</v>
      </c>
      <c r="AC969" s="1310" t="s">
        <v>1657</v>
      </c>
      <c r="AD969" s="1310" t="s">
        <v>1545</v>
      </c>
      <c r="AE969" s="1310" t="s">
        <v>1487</v>
      </c>
      <c r="AF969" s="1310" t="s">
        <v>132</v>
      </c>
    </row>
    <row r="970" spans="1:32" x14ac:dyDescent="0.3">
      <c r="A970" s="1310" t="s">
        <v>1516</v>
      </c>
      <c r="B970" s="1310" t="s">
        <v>1652</v>
      </c>
      <c r="C970" s="1310" t="s">
        <v>6</v>
      </c>
      <c r="D970" s="1310" t="s">
        <v>1642</v>
      </c>
      <c r="E970" s="1310" t="s">
        <v>1554</v>
      </c>
      <c r="F970" s="1310" t="s">
        <v>1601</v>
      </c>
      <c r="G970" s="1310" t="s">
        <v>1646</v>
      </c>
      <c r="H970" s="1310" t="s">
        <v>1500</v>
      </c>
      <c r="I970" s="1310" t="s">
        <v>1466</v>
      </c>
      <c r="J970" s="1310" t="s">
        <v>1455</v>
      </c>
      <c r="K970" s="1310" t="s">
        <v>1613</v>
      </c>
      <c r="L970" s="1310" t="s">
        <v>132</v>
      </c>
      <c r="M970" s="1310" t="s">
        <v>1443</v>
      </c>
      <c r="N970" s="1310" t="s">
        <v>1450</v>
      </c>
      <c r="O970" s="1310" t="s">
        <v>1574</v>
      </c>
      <c r="P970" s="1310" t="s">
        <v>1599</v>
      </c>
      <c r="Q970" s="1310" t="s">
        <v>1622</v>
      </c>
      <c r="R970" s="1310" t="s">
        <v>1594</v>
      </c>
      <c r="S970" s="1310" t="s">
        <v>471</v>
      </c>
      <c r="T970" s="1310" t="s">
        <v>1472</v>
      </c>
      <c r="U970" s="1310" t="s">
        <v>1468</v>
      </c>
      <c r="V970" s="1310" t="s">
        <v>124</v>
      </c>
      <c r="W970" s="1310" t="s">
        <v>1644</v>
      </c>
      <c r="X970" s="1310" t="s">
        <v>1512</v>
      </c>
      <c r="Y970" s="1310" t="s">
        <v>1527</v>
      </c>
      <c r="Z970" s="1310" t="s">
        <v>1602</v>
      </c>
      <c r="AA970" s="1310" t="s">
        <v>122</v>
      </c>
      <c r="AB970" s="1310" t="s">
        <v>121</v>
      </c>
      <c r="AC970" s="1310" t="s">
        <v>1660</v>
      </c>
      <c r="AD970" s="1310" t="s">
        <v>1650</v>
      </c>
      <c r="AE970" s="1310" t="s">
        <v>1584</v>
      </c>
      <c r="AF970" s="1310" t="s">
        <v>1564</v>
      </c>
    </row>
    <row r="971" spans="1:32" x14ac:dyDescent="0.3">
      <c r="A971" s="1310" t="s">
        <v>1470</v>
      </c>
      <c r="B971" s="1310" t="s">
        <v>1525</v>
      </c>
      <c r="C971" s="1310" t="s">
        <v>1465</v>
      </c>
      <c r="D971" s="1310" t="s">
        <v>1589</v>
      </c>
      <c r="E971" s="1310" t="s">
        <v>1658</v>
      </c>
      <c r="F971" s="1310" t="s">
        <v>1506</v>
      </c>
      <c r="G971" s="1310" t="s">
        <v>1493</v>
      </c>
      <c r="H971" s="1310" t="s">
        <v>267</v>
      </c>
      <c r="I971" s="1310" t="s">
        <v>1474</v>
      </c>
      <c r="J971" s="1310" t="s">
        <v>1609</v>
      </c>
      <c r="K971" s="1310" t="s">
        <v>1444</v>
      </c>
      <c r="L971" s="1310" t="s">
        <v>264</v>
      </c>
      <c r="M971" s="1310" t="s">
        <v>1646</v>
      </c>
      <c r="N971" s="1310" t="s">
        <v>1511</v>
      </c>
      <c r="O971" s="1310" t="s">
        <v>1556</v>
      </c>
      <c r="P971" s="1310" t="s">
        <v>1510</v>
      </c>
      <c r="Q971" s="1310" t="s">
        <v>124</v>
      </c>
      <c r="R971" s="1310" t="s">
        <v>1531</v>
      </c>
      <c r="S971" s="1310" t="s">
        <v>1472</v>
      </c>
      <c r="T971" s="1310" t="s">
        <v>1509</v>
      </c>
      <c r="U971" s="1310" t="s">
        <v>1598</v>
      </c>
      <c r="V971" s="1310" t="s">
        <v>1504</v>
      </c>
      <c r="W971" s="1310" t="s">
        <v>1451</v>
      </c>
      <c r="X971" s="1310" t="s">
        <v>1504</v>
      </c>
      <c r="Y971" s="1310" t="s">
        <v>1549</v>
      </c>
      <c r="Z971" s="1310" t="s">
        <v>1644</v>
      </c>
      <c r="AA971" s="1310" t="s">
        <v>1632</v>
      </c>
      <c r="AB971" s="1310" t="s">
        <v>1600</v>
      </c>
      <c r="AC971" s="1310" t="s">
        <v>1509</v>
      </c>
      <c r="AD971" s="1310" t="s">
        <v>1554</v>
      </c>
      <c r="AE971" s="1310" t="s">
        <v>1452</v>
      </c>
      <c r="AF971" s="1310" t="s">
        <v>1621</v>
      </c>
    </row>
    <row r="972" spans="1:32" x14ac:dyDescent="0.3">
      <c r="A972" s="1310" t="s">
        <v>1541</v>
      </c>
      <c r="B972" s="1310" t="s">
        <v>1444</v>
      </c>
      <c r="C972" s="1310" t="s">
        <v>465</v>
      </c>
      <c r="D972" s="1310" t="s">
        <v>114</v>
      </c>
      <c r="E972" s="1310" t="s">
        <v>1488</v>
      </c>
      <c r="F972" s="1310" t="s">
        <v>1455</v>
      </c>
      <c r="G972" s="1310" t="s">
        <v>1635</v>
      </c>
      <c r="H972" s="1310" t="s">
        <v>1549</v>
      </c>
      <c r="I972" s="1310" t="s">
        <v>1644</v>
      </c>
      <c r="J972" s="1310" t="s">
        <v>1632</v>
      </c>
      <c r="K972" s="1310" t="s">
        <v>1600</v>
      </c>
      <c r="L972" s="1310" t="s">
        <v>1509</v>
      </c>
      <c r="M972" s="1310" t="s">
        <v>1554</v>
      </c>
      <c r="N972" s="1310" t="s">
        <v>1452</v>
      </c>
      <c r="O972" s="1310" t="s">
        <v>1621</v>
      </c>
      <c r="P972" s="1310" t="s">
        <v>1541</v>
      </c>
      <c r="Q972" s="1310" t="s">
        <v>1443</v>
      </c>
      <c r="R972" s="1310" t="s">
        <v>121</v>
      </c>
      <c r="S972" s="1310" t="s">
        <v>1571</v>
      </c>
      <c r="T972" s="1310" t="s">
        <v>1562</v>
      </c>
      <c r="U972" s="1310" t="s">
        <v>1452</v>
      </c>
      <c r="V972" s="1310" t="s">
        <v>1621</v>
      </c>
      <c r="W972" s="1310" t="s">
        <v>1541</v>
      </c>
      <c r="X972" s="1310" t="s">
        <v>1444</v>
      </c>
      <c r="Y972" s="1310" t="s">
        <v>465</v>
      </c>
      <c r="Z972" s="1310" t="s">
        <v>114</v>
      </c>
      <c r="AA972" s="1310" t="s">
        <v>1488</v>
      </c>
      <c r="AB972" s="1310" t="s">
        <v>1455</v>
      </c>
      <c r="AC972" s="1310" t="s">
        <v>1635</v>
      </c>
      <c r="AD972" s="1310" t="s">
        <v>1549</v>
      </c>
      <c r="AE972" s="1310" t="s">
        <v>1644</v>
      </c>
      <c r="AF972" s="1310" t="s">
        <v>1632</v>
      </c>
    </row>
    <row r="973" spans="1:32" x14ac:dyDescent="0.3">
      <c r="A973" s="1310" t="s">
        <v>1600</v>
      </c>
      <c r="B973" s="1310" t="s">
        <v>1509</v>
      </c>
      <c r="C973" s="1310" t="s">
        <v>1554</v>
      </c>
      <c r="D973" s="1310" t="s">
        <v>1452</v>
      </c>
      <c r="E973" s="1310" t="s">
        <v>1621</v>
      </c>
      <c r="F973" s="1310" t="s">
        <v>1541</v>
      </c>
      <c r="G973" s="1310" t="s">
        <v>1444</v>
      </c>
      <c r="H973" s="1310" t="s">
        <v>465</v>
      </c>
      <c r="I973" s="1310" t="s">
        <v>114</v>
      </c>
      <c r="J973" s="1310" t="s">
        <v>1488</v>
      </c>
      <c r="K973" s="1310" t="s">
        <v>1455</v>
      </c>
      <c r="L973" s="1310" t="s">
        <v>1635</v>
      </c>
      <c r="M973" s="1310" t="s">
        <v>1549</v>
      </c>
      <c r="N973" s="1310" t="s">
        <v>1527</v>
      </c>
      <c r="O973" s="1310" t="s">
        <v>1510</v>
      </c>
      <c r="P973" s="1310" t="s">
        <v>1618</v>
      </c>
      <c r="Q973" s="1310" t="s">
        <v>1585</v>
      </c>
      <c r="R973" s="1310" t="s">
        <v>1583</v>
      </c>
      <c r="S973" s="1310" t="s">
        <v>1451</v>
      </c>
      <c r="T973" s="1310" t="s">
        <v>131</v>
      </c>
      <c r="U973" s="1310" t="s">
        <v>1563</v>
      </c>
      <c r="V973" s="1310" t="s">
        <v>1546</v>
      </c>
      <c r="W973" s="1310" t="s">
        <v>1542</v>
      </c>
      <c r="X973" s="1310" t="s">
        <v>1501</v>
      </c>
      <c r="Y973" s="1310" t="s">
        <v>1493</v>
      </c>
      <c r="Z973" s="1310" t="s">
        <v>1638</v>
      </c>
      <c r="AA973" s="1310" t="s">
        <v>122</v>
      </c>
      <c r="AB973" s="1310" t="s">
        <v>269</v>
      </c>
      <c r="AC973" s="1310" t="s">
        <v>1621</v>
      </c>
      <c r="AD973" s="1310" t="s">
        <v>1479</v>
      </c>
      <c r="AE973" s="1310" t="s">
        <v>1650</v>
      </c>
      <c r="AF973" s="1310" t="s">
        <v>1613</v>
      </c>
    </row>
    <row r="974" spans="1:32" x14ac:dyDescent="0.3">
      <c r="A974" s="1310" t="s">
        <v>1585</v>
      </c>
      <c r="B974" s="1310" t="s">
        <v>270</v>
      </c>
      <c r="C974" s="1310" t="s">
        <v>1493</v>
      </c>
      <c r="D974" s="1310" t="s">
        <v>1470</v>
      </c>
      <c r="E974" s="1310" t="s">
        <v>1593</v>
      </c>
      <c r="F974" s="1310" t="s">
        <v>1444</v>
      </c>
      <c r="G974" s="1310" t="s">
        <v>1510</v>
      </c>
      <c r="H974" s="1310" t="s">
        <v>1605</v>
      </c>
      <c r="I974" s="1310" t="s">
        <v>1541</v>
      </c>
      <c r="J974" s="1310" t="s">
        <v>1612</v>
      </c>
      <c r="K974" s="1310" t="s">
        <v>1568</v>
      </c>
      <c r="L974" s="1310" t="s">
        <v>1570</v>
      </c>
      <c r="M974" s="1310" t="s">
        <v>1583</v>
      </c>
      <c r="N974" s="1310" t="s">
        <v>1485</v>
      </c>
      <c r="O974" s="1310" t="s">
        <v>1457</v>
      </c>
      <c r="P974" s="1310" t="s">
        <v>1517</v>
      </c>
      <c r="Q974" s="1310" t="s">
        <v>1606</v>
      </c>
      <c r="R974" s="1310" t="s">
        <v>1608</v>
      </c>
      <c r="S974" s="1310" t="s">
        <v>1479</v>
      </c>
      <c r="T974" s="1310" t="s">
        <v>1550</v>
      </c>
      <c r="U974" s="1310" t="s">
        <v>1468</v>
      </c>
      <c r="V974" s="1310" t="s">
        <v>1505</v>
      </c>
      <c r="W974" s="1310" t="s">
        <v>1616</v>
      </c>
      <c r="X974" s="1310" t="s">
        <v>1459</v>
      </c>
      <c r="Y974" s="1310" t="s">
        <v>1596</v>
      </c>
      <c r="Z974" s="1310" t="s">
        <v>1611</v>
      </c>
      <c r="AA974" s="1310" t="s">
        <v>1624</v>
      </c>
      <c r="AB974" s="1310" t="s">
        <v>125</v>
      </c>
      <c r="AC974" s="1310" t="s">
        <v>1561</v>
      </c>
      <c r="AD974" s="1310" t="s">
        <v>1525</v>
      </c>
      <c r="AE974" s="1310" t="s">
        <v>1628</v>
      </c>
      <c r="AF974" s="1310" t="s">
        <v>1541</v>
      </c>
    </row>
    <row r="975" spans="1:32" x14ac:dyDescent="0.3">
      <c r="A975" s="1310" t="s">
        <v>1470</v>
      </c>
      <c r="B975" s="1310" t="s">
        <v>1582</v>
      </c>
      <c r="C975" s="1310" t="s">
        <v>1627</v>
      </c>
      <c r="D975" s="1310" t="s">
        <v>115</v>
      </c>
      <c r="E975" s="1310" t="s">
        <v>1649</v>
      </c>
      <c r="F975" s="1310" t="s">
        <v>1556</v>
      </c>
      <c r="G975" s="1310" t="s">
        <v>1472</v>
      </c>
      <c r="H975" s="1310" t="s">
        <v>1587</v>
      </c>
      <c r="I975" s="1310" t="s">
        <v>1535</v>
      </c>
      <c r="J975" s="1310" t="s">
        <v>1569</v>
      </c>
      <c r="K975" s="1310" t="s">
        <v>1537</v>
      </c>
      <c r="L975" s="1310" t="s">
        <v>1486</v>
      </c>
      <c r="M975" s="1310" t="s">
        <v>1617</v>
      </c>
      <c r="N975" s="1310" t="s">
        <v>1616</v>
      </c>
      <c r="O975" s="1310" t="s">
        <v>1607</v>
      </c>
      <c r="P975" s="1310" t="s">
        <v>1491</v>
      </c>
      <c r="Q975" s="1310" t="s">
        <v>1482</v>
      </c>
      <c r="R975" s="1310" t="s">
        <v>1593</v>
      </c>
      <c r="S975" s="1310" t="s">
        <v>1610</v>
      </c>
      <c r="T975" s="1310" t="s">
        <v>1633</v>
      </c>
      <c r="U975" s="1310" t="s">
        <v>1565</v>
      </c>
      <c r="V975" s="1310" t="s">
        <v>1482</v>
      </c>
      <c r="W975" s="1310" t="s">
        <v>1452</v>
      </c>
      <c r="X975" s="1310" t="s">
        <v>1530</v>
      </c>
      <c r="Y975" s="1310" t="s">
        <v>1482</v>
      </c>
      <c r="Z975" s="1310" t="s">
        <v>1551</v>
      </c>
      <c r="AA975" s="1310" t="s">
        <v>1492</v>
      </c>
      <c r="AB975" s="1310" t="s">
        <v>1649</v>
      </c>
      <c r="AC975" s="1310" t="s">
        <v>1629</v>
      </c>
      <c r="AD975" s="1310" t="s">
        <v>1628</v>
      </c>
      <c r="AE975" s="1310" t="s">
        <v>267</v>
      </c>
      <c r="AF975" s="1310" t="s">
        <v>114</v>
      </c>
    </row>
    <row r="976" spans="1:32" x14ac:dyDescent="0.3">
      <c r="A976" s="1310" t="s">
        <v>1622</v>
      </c>
      <c r="B976" s="1310" t="s">
        <v>1532</v>
      </c>
      <c r="C976" s="1310" t="s">
        <v>1451</v>
      </c>
      <c r="D976" s="1310" t="s">
        <v>1641</v>
      </c>
      <c r="E976" s="1310" t="s">
        <v>1456</v>
      </c>
      <c r="F976" s="1310" t="s">
        <v>1564</v>
      </c>
      <c r="G976" s="1310" t="s">
        <v>270</v>
      </c>
      <c r="H976" s="1310" t="s">
        <v>1635</v>
      </c>
      <c r="I976" s="1310" t="s">
        <v>1648</v>
      </c>
      <c r="J976" s="1310" t="s">
        <v>1570</v>
      </c>
      <c r="K976" s="1310" t="s">
        <v>1497</v>
      </c>
      <c r="L976" s="1310" t="s">
        <v>1627</v>
      </c>
      <c r="M976" s="1310" t="s">
        <v>1580</v>
      </c>
      <c r="N976" s="1310" t="s">
        <v>1497</v>
      </c>
      <c r="O976" s="1310" t="s">
        <v>115</v>
      </c>
      <c r="P976" s="1310" t="s">
        <v>126</v>
      </c>
      <c r="Q976" s="1310" t="s">
        <v>465</v>
      </c>
      <c r="R976" s="1310" t="s">
        <v>1558</v>
      </c>
      <c r="S976" s="1310" t="s">
        <v>1481</v>
      </c>
      <c r="T976" s="1310" t="s">
        <v>1572</v>
      </c>
      <c r="U976" s="1310" t="s">
        <v>1655</v>
      </c>
      <c r="V976" s="1310" t="s">
        <v>1635</v>
      </c>
      <c r="W976" s="1310" t="s">
        <v>1482</v>
      </c>
      <c r="X976" s="1310" t="s">
        <v>264</v>
      </c>
      <c r="Y976" s="1310" t="s">
        <v>1608</v>
      </c>
      <c r="Z976" s="1310" t="s">
        <v>123</v>
      </c>
      <c r="AA976" s="1310" t="s">
        <v>1495</v>
      </c>
      <c r="AB976" s="1310" t="s">
        <v>126</v>
      </c>
      <c r="AC976" s="1310" t="s">
        <v>112</v>
      </c>
      <c r="AD976" s="1310" t="s">
        <v>1482</v>
      </c>
      <c r="AE976" s="1310" t="s">
        <v>1561</v>
      </c>
      <c r="AF976" s="1310" t="s">
        <v>1480</v>
      </c>
    </row>
    <row r="977" spans="1:32" x14ac:dyDescent="0.3">
      <c r="A977" s="1310" t="s">
        <v>1451</v>
      </c>
      <c r="B977" s="1310" t="s">
        <v>1650</v>
      </c>
      <c r="C977" s="1310" t="s">
        <v>262</v>
      </c>
      <c r="D977" s="1310" t="s">
        <v>1660</v>
      </c>
      <c r="E977" s="1310" t="s">
        <v>1609</v>
      </c>
      <c r="F977" s="1310" t="s">
        <v>1478</v>
      </c>
      <c r="G977" s="1310" t="s">
        <v>1494</v>
      </c>
      <c r="H977" s="1310" t="s">
        <v>1501</v>
      </c>
      <c r="I977" s="1310" t="s">
        <v>1515</v>
      </c>
      <c r="J977" s="1310" t="s">
        <v>1444</v>
      </c>
      <c r="K977" s="1310" t="s">
        <v>1466</v>
      </c>
      <c r="L977" s="1310" t="s">
        <v>1575</v>
      </c>
      <c r="M977" s="1310" t="s">
        <v>1473</v>
      </c>
      <c r="N977" s="1310" t="s">
        <v>127</v>
      </c>
      <c r="O977" s="1310" t="s">
        <v>1509</v>
      </c>
      <c r="P977" s="1310" t="s">
        <v>1532</v>
      </c>
      <c r="Q977" s="1310" t="s">
        <v>1581</v>
      </c>
      <c r="R977" s="1310" t="s">
        <v>1566</v>
      </c>
      <c r="S977" s="1310" t="s">
        <v>1617</v>
      </c>
      <c r="T977" s="1310" t="s">
        <v>1482</v>
      </c>
      <c r="U977" s="1310" t="s">
        <v>1572</v>
      </c>
      <c r="V977" s="1310" t="s">
        <v>1582</v>
      </c>
      <c r="W977" s="1310" t="s">
        <v>1457</v>
      </c>
      <c r="X977" s="1310" t="s">
        <v>1537</v>
      </c>
      <c r="Y977" s="1310" t="s">
        <v>1640</v>
      </c>
      <c r="Z977" s="1310" t="s">
        <v>1655</v>
      </c>
      <c r="AA977" s="1310" t="s">
        <v>1568</v>
      </c>
      <c r="AB977" s="1310" t="s">
        <v>121</v>
      </c>
      <c r="AC977" s="1310" t="s">
        <v>132</v>
      </c>
      <c r="AD977" s="1310" t="s">
        <v>1027</v>
      </c>
      <c r="AE977" s="1310" t="s">
        <v>121</v>
      </c>
      <c r="AF977" s="1310" t="s">
        <v>1574</v>
      </c>
    </row>
    <row r="978" spans="1:32" x14ac:dyDescent="0.3">
      <c r="A978" s="1310" t="s">
        <v>116</v>
      </c>
      <c r="B978" s="1310" t="s">
        <v>1447</v>
      </c>
      <c r="C978" s="1310" t="s">
        <v>1566</v>
      </c>
      <c r="D978" s="1310" t="s">
        <v>1646</v>
      </c>
      <c r="E978" s="1310" t="s">
        <v>1491</v>
      </c>
      <c r="F978" s="1310" t="s">
        <v>1575</v>
      </c>
      <c r="G978" s="1310" t="s">
        <v>123</v>
      </c>
      <c r="H978" s="1310" t="s">
        <v>1594</v>
      </c>
      <c r="I978" s="1310" t="s">
        <v>1522</v>
      </c>
      <c r="J978" s="1310" t="s">
        <v>1617</v>
      </c>
      <c r="K978" s="1310" t="s">
        <v>1503</v>
      </c>
      <c r="L978" s="1310" t="s">
        <v>1504</v>
      </c>
      <c r="M978" s="1310" t="s">
        <v>1563</v>
      </c>
      <c r="N978" s="1310" t="s">
        <v>1592</v>
      </c>
      <c r="O978" s="1310" t="s">
        <v>1626</v>
      </c>
      <c r="P978" s="1310" t="s">
        <v>1030</v>
      </c>
      <c r="Q978" s="1310" t="s">
        <v>1448</v>
      </c>
      <c r="R978" s="1310" t="s">
        <v>116</v>
      </c>
      <c r="S978" s="1310" t="s">
        <v>1655</v>
      </c>
      <c r="T978" s="1310" t="s">
        <v>122</v>
      </c>
      <c r="U978" s="1310" t="s">
        <v>1574</v>
      </c>
      <c r="V978" s="1310" t="s">
        <v>1461</v>
      </c>
      <c r="W978" s="1310" t="s">
        <v>1582</v>
      </c>
      <c r="X978" s="1310" t="s">
        <v>1659</v>
      </c>
      <c r="Y978" s="1310" t="s">
        <v>1464</v>
      </c>
      <c r="Z978" s="1310" t="s">
        <v>1530</v>
      </c>
      <c r="AA978" s="1310" t="s">
        <v>1630</v>
      </c>
      <c r="AB978" s="1310" t="s">
        <v>1535</v>
      </c>
      <c r="AC978" s="1310" t="s">
        <v>1540</v>
      </c>
      <c r="AD978" s="1310" t="s">
        <v>1511</v>
      </c>
      <c r="AE978" s="1310" t="s">
        <v>1547</v>
      </c>
      <c r="AF978" s="1310" t="s">
        <v>267</v>
      </c>
    </row>
    <row r="979" spans="1:32" x14ac:dyDescent="0.3">
      <c r="A979" s="1310" t="s">
        <v>1591</v>
      </c>
      <c r="B979" s="1310" t="s">
        <v>1648</v>
      </c>
      <c r="C979" s="1310" t="s">
        <v>1656</v>
      </c>
      <c r="D979" s="1310" t="s">
        <v>118</v>
      </c>
      <c r="E979" s="1310" t="s">
        <v>1610</v>
      </c>
      <c r="F979" s="1310" t="s">
        <v>1654</v>
      </c>
      <c r="G979" s="1310" t="s">
        <v>1481</v>
      </c>
      <c r="H979" s="1310" t="s">
        <v>1616</v>
      </c>
      <c r="I979" s="1310" t="s">
        <v>1461</v>
      </c>
      <c r="J979" s="1310" t="s">
        <v>269</v>
      </c>
      <c r="K979" s="1310" t="s">
        <v>1508</v>
      </c>
      <c r="L979" s="1310" t="s">
        <v>1507</v>
      </c>
      <c r="M979" s="1310" t="s">
        <v>1558</v>
      </c>
      <c r="N979" s="1310" t="s">
        <v>1452</v>
      </c>
      <c r="O979" s="1310" t="s">
        <v>1629</v>
      </c>
      <c r="P979" s="1310" t="s">
        <v>1659</v>
      </c>
      <c r="Q979" s="1310" t="s">
        <v>1444</v>
      </c>
      <c r="R979" s="1310" t="s">
        <v>1540</v>
      </c>
      <c r="S979" s="1310" t="s">
        <v>1557</v>
      </c>
      <c r="T979" s="1310" t="s">
        <v>1444</v>
      </c>
      <c r="U979" s="1310" t="s">
        <v>1616</v>
      </c>
      <c r="V979" s="1310" t="s">
        <v>1521</v>
      </c>
      <c r="W979" s="1310" t="s">
        <v>268</v>
      </c>
      <c r="X979" s="1310" t="s">
        <v>1529</v>
      </c>
      <c r="Y979" s="1310" t="s">
        <v>1498</v>
      </c>
      <c r="Z979" s="1310" t="s">
        <v>1641</v>
      </c>
      <c r="AA979" s="1310" t="s">
        <v>1574</v>
      </c>
      <c r="AB979" s="1310" t="s">
        <v>1616</v>
      </c>
      <c r="AC979" s="1310" t="s">
        <v>1526</v>
      </c>
      <c r="AD979" s="1310" t="s">
        <v>1496</v>
      </c>
      <c r="AE979" s="1310" t="s">
        <v>1499</v>
      </c>
      <c r="AF979" s="1310" t="s">
        <v>1633</v>
      </c>
    </row>
    <row r="980" spans="1:32" x14ac:dyDescent="0.3">
      <c r="A980" s="1310" t="s">
        <v>116</v>
      </c>
      <c r="B980" s="1310" t="s">
        <v>1632</v>
      </c>
      <c r="C980" s="1310" t="s">
        <v>1495</v>
      </c>
      <c r="D980" s="1310" t="s">
        <v>1484</v>
      </c>
      <c r="E980" s="1310" t="s">
        <v>1479</v>
      </c>
      <c r="F980" s="1310" t="s">
        <v>119</v>
      </c>
      <c r="G980" s="1310" t="s">
        <v>1495</v>
      </c>
      <c r="H980" s="1310" t="s">
        <v>1468</v>
      </c>
      <c r="I980" s="1310" t="s">
        <v>1574</v>
      </c>
      <c r="J980" s="1310" t="s">
        <v>1616</v>
      </c>
      <c r="K980" s="1310" t="s">
        <v>1573</v>
      </c>
      <c r="L980" s="1310" t="s">
        <v>1542</v>
      </c>
      <c r="M980" s="1310" t="s">
        <v>1457</v>
      </c>
      <c r="N980" s="1310" t="s">
        <v>1553</v>
      </c>
      <c r="O980" s="1310" t="s">
        <v>1600</v>
      </c>
      <c r="P980" s="1310" t="s">
        <v>1455</v>
      </c>
      <c r="Q980" s="1310" t="s">
        <v>1591</v>
      </c>
      <c r="R980" s="1310" t="s">
        <v>1538</v>
      </c>
      <c r="S980" s="1310" t="s">
        <v>121</v>
      </c>
      <c r="T980" s="1310" t="s">
        <v>1634</v>
      </c>
      <c r="U980" s="1310" t="s">
        <v>1629</v>
      </c>
      <c r="V980" s="1310" t="s">
        <v>1541</v>
      </c>
      <c r="W980" s="1310" t="s">
        <v>1467</v>
      </c>
      <c r="X980" s="1310" t="s">
        <v>1610</v>
      </c>
      <c r="Y980" s="1310" t="s">
        <v>126</v>
      </c>
      <c r="Z980" s="1310" t="s">
        <v>1635</v>
      </c>
      <c r="AA980" s="1310" t="s">
        <v>1549</v>
      </c>
      <c r="AB980" s="1310" t="s">
        <v>1541</v>
      </c>
      <c r="AC980" s="1310" t="s">
        <v>1611</v>
      </c>
      <c r="AD980" s="1310" t="s">
        <v>1636</v>
      </c>
      <c r="AE980" s="1310" t="s">
        <v>1634</v>
      </c>
      <c r="AF980" s="1310" t="s">
        <v>1615</v>
      </c>
    </row>
    <row r="981" spans="1:32" x14ac:dyDescent="0.3">
      <c r="A981" s="1310" t="s">
        <v>1561</v>
      </c>
      <c r="B981" s="1310" t="s">
        <v>1578</v>
      </c>
      <c r="C981" s="1310" t="s">
        <v>1643</v>
      </c>
      <c r="D981" s="1310" t="s">
        <v>133</v>
      </c>
      <c r="E981" s="1310" t="s">
        <v>1602</v>
      </c>
      <c r="F981" s="1310" t="s">
        <v>117</v>
      </c>
      <c r="G981" s="1310" t="s">
        <v>1604</v>
      </c>
      <c r="H981" s="1310" t="s">
        <v>1628</v>
      </c>
      <c r="I981" s="1310" t="s">
        <v>124</v>
      </c>
      <c r="J981" s="1310" t="s">
        <v>1533</v>
      </c>
      <c r="K981" s="1310" t="s">
        <v>1634</v>
      </c>
      <c r="L981" s="1310" t="s">
        <v>133</v>
      </c>
      <c r="M981" s="1310" t="s">
        <v>1614</v>
      </c>
      <c r="N981" s="1310" t="s">
        <v>1654</v>
      </c>
      <c r="O981" s="1310" t="s">
        <v>1639</v>
      </c>
      <c r="P981" s="1310" t="s">
        <v>113</v>
      </c>
      <c r="Q981" s="1310" t="s">
        <v>1577</v>
      </c>
      <c r="R981" s="1310" t="s">
        <v>1494</v>
      </c>
      <c r="S981" s="1310" t="s">
        <v>1544</v>
      </c>
      <c r="T981" s="1310" t="s">
        <v>1560</v>
      </c>
      <c r="U981" s="1310" t="s">
        <v>1573</v>
      </c>
      <c r="V981" s="1310" t="s">
        <v>1643</v>
      </c>
      <c r="W981" s="1310" t="s">
        <v>1534</v>
      </c>
      <c r="X981" s="1310" t="s">
        <v>1505</v>
      </c>
      <c r="Y981" s="1310" t="s">
        <v>1605</v>
      </c>
      <c r="Z981" s="1310" t="s">
        <v>1616</v>
      </c>
      <c r="AA981" s="1310" t="s">
        <v>1608</v>
      </c>
      <c r="AB981" s="1310" t="s">
        <v>1462</v>
      </c>
      <c r="AC981" s="1310" t="s">
        <v>1577</v>
      </c>
      <c r="AD981" s="1310" t="s">
        <v>1494</v>
      </c>
      <c r="AE981" s="1310" t="s">
        <v>1445</v>
      </c>
      <c r="AF981" s="1310" t="s">
        <v>1569</v>
      </c>
    </row>
    <row r="982" spans="1:32" x14ac:dyDescent="0.3">
      <c r="A982" s="1310" t="s">
        <v>1473</v>
      </c>
      <c r="B982" s="1310" t="s">
        <v>1480</v>
      </c>
      <c r="C982" s="1310" t="s">
        <v>1495</v>
      </c>
      <c r="D982" s="1310" t="s">
        <v>1613</v>
      </c>
      <c r="E982" s="1310" t="s">
        <v>1600</v>
      </c>
      <c r="F982" s="1310" t="s">
        <v>110</v>
      </c>
      <c r="G982" s="1310" t="s">
        <v>1628</v>
      </c>
      <c r="H982" s="1310" t="s">
        <v>126</v>
      </c>
      <c r="I982" s="1310" t="s">
        <v>1604</v>
      </c>
      <c r="J982" s="1310" t="s">
        <v>1549</v>
      </c>
      <c r="K982" s="1310" t="s">
        <v>1638</v>
      </c>
      <c r="L982" s="1310" t="s">
        <v>115</v>
      </c>
      <c r="M982" s="1310" t="s">
        <v>1604</v>
      </c>
      <c r="N982" s="1310" t="s">
        <v>1521</v>
      </c>
      <c r="O982" s="1310" t="s">
        <v>1584</v>
      </c>
      <c r="P982" s="1310" t="s">
        <v>1485</v>
      </c>
      <c r="Q982" s="1310" t="s">
        <v>114</v>
      </c>
      <c r="R982" s="1310" t="s">
        <v>1472</v>
      </c>
      <c r="S982" s="1310" t="s">
        <v>129</v>
      </c>
      <c r="T982" s="1310" t="s">
        <v>1564</v>
      </c>
      <c r="U982" s="1310" t="s">
        <v>1627</v>
      </c>
      <c r="V982" s="1310" t="s">
        <v>1565</v>
      </c>
      <c r="W982" s="1310" t="s">
        <v>1657</v>
      </c>
      <c r="X982" s="1310" t="s">
        <v>1578</v>
      </c>
      <c r="Y982" s="1310" t="s">
        <v>1515</v>
      </c>
      <c r="Z982" s="1310" t="s">
        <v>1463</v>
      </c>
      <c r="AA982" s="1310" t="s">
        <v>1452</v>
      </c>
      <c r="AB982" s="1310" t="s">
        <v>1632</v>
      </c>
      <c r="AC982" s="1310" t="s">
        <v>1449</v>
      </c>
      <c r="AD982" s="1310" t="s">
        <v>1500</v>
      </c>
      <c r="AE982" s="1310" t="s">
        <v>115</v>
      </c>
      <c r="AF982" s="1310" t="s">
        <v>116</v>
      </c>
    </row>
    <row r="983" spans="1:32" x14ac:dyDescent="0.3">
      <c r="A983" s="1310" t="s">
        <v>125</v>
      </c>
      <c r="B983" s="1310" t="s">
        <v>1484</v>
      </c>
      <c r="C983" s="1310" t="s">
        <v>1649</v>
      </c>
      <c r="D983" s="1310" t="s">
        <v>1573</v>
      </c>
      <c r="E983" s="1310" t="s">
        <v>1646</v>
      </c>
      <c r="F983" s="1310" t="s">
        <v>1452</v>
      </c>
      <c r="G983" s="1310" t="s">
        <v>1474</v>
      </c>
      <c r="H983" s="1310" t="s">
        <v>1657</v>
      </c>
      <c r="I983" s="1310" t="s">
        <v>1461</v>
      </c>
      <c r="J983" s="1310" t="s">
        <v>1473</v>
      </c>
      <c r="K983" s="1310" t="s">
        <v>1621</v>
      </c>
      <c r="L983" s="1310" t="s">
        <v>1632</v>
      </c>
      <c r="M983" s="1310" t="s">
        <v>1600</v>
      </c>
      <c r="N983" s="1310" t="s">
        <v>263</v>
      </c>
      <c r="O983" s="1310" t="s">
        <v>1644</v>
      </c>
      <c r="P983" s="1310" t="s">
        <v>1632</v>
      </c>
      <c r="Q983" s="1310" t="s">
        <v>1611</v>
      </c>
      <c r="R983" s="1310" t="s">
        <v>1484</v>
      </c>
      <c r="S983" s="1310" t="s">
        <v>1606</v>
      </c>
      <c r="T983" s="1310" t="s">
        <v>1524</v>
      </c>
      <c r="U983" s="1310" t="s">
        <v>1547</v>
      </c>
      <c r="V983" s="1310" t="s">
        <v>1485</v>
      </c>
      <c r="W983" s="1310" t="s">
        <v>1639</v>
      </c>
      <c r="X983" s="1310" t="s">
        <v>1504</v>
      </c>
      <c r="Y983" s="1310" t="s">
        <v>1449</v>
      </c>
      <c r="Z983" s="1310" t="s">
        <v>125</v>
      </c>
      <c r="AA983" s="1310" t="s">
        <v>1596</v>
      </c>
      <c r="AB983" s="1310" t="s">
        <v>1625</v>
      </c>
      <c r="AC983" s="1310" t="s">
        <v>1603</v>
      </c>
      <c r="AD983" s="1310" t="s">
        <v>1576</v>
      </c>
      <c r="AE983" s="1310" t="s">
        <v>1527</v>
      </c>
      <c r="AF983" s="1310" t="s">
        <v>1541</v>
      </c>
    </row>
    <row r="984" spans="1:32" x14ac:dyDescent="0.3">
      <c r="A984" s="1310" t="s">
        <v>116</v>
      </c>
      <c r="B984" s="1310" t="s">
        <v>113</v>
      </c>
      <c r="C984" s="1310" t="s">
        <v>122</v>
      </c>
      <c r="D984" s="1310" t="s">
        <v>1574</v>
      </c>
      <c r="E984" s="1310" t="s">
        <v>131</v>
      </c>
      <c r="F984" s="1310" t="s">
        <v>1605</v>
      </c>
      <c r="G984" s="1310" t="s">
        <v>1549</v>
      </c>
      <c r="H984" s="1310" t="s">
        <v>1443</v>
      </c>
      <c r="I984" s="1310" t="s">
        <v>1450</v>
      </c>
      <c r="J984" s="1310" t="s">
        <v>1631</v>
      </c>
      <c r="K984" s="1310" t="s">
        <v>262</v>
      </c>
      <c r="L984" s="1310" t="s">
        <v>1561</v>
      </c>
      <c r="M984" s="1310" t="s">
        <v>1444</v>
      </c>
      <c r="N984" s="1310" t="s">
        <v>1479</v>
      </c>
      <c r="O984" s="1310" t="s">
        <v>1654</v>
      </c>
      <c r="P984" s="1310" t="s">
        <v>1518</v>
      </c>
      <c r="Q984" s="1310" t="s">
        <v>117</v>
      </c>
      <c r="R984" s="1310" t="s">
        <v>1657</v>
      </c>
      <c r="S984" s="1310" t="s">
        <v>1448</v>
      </c>
      <c r="T984" s="1310" t="s">
        <v>262</v>
      </c>
      <c r="U984" s="1310" t="s">
        <v>1550</v>
      </c>
      <c r="V984" s="1310" t="s">
        <v>1552</v>
      </c>
      <c r="W984" s="1310" t="s">
        <v>1542</v>
      </c>
      <c r="X984" s="1310" t="s">
        <v>1473</v>
      </c>
      <c r="Y984" s="1310" t="s">
        <v>1656</v>
      </c>
      <c r="Z984" s="1310" t="s">
        <v>1467</v>
      </c>
      <c r="AA984" s="1310" t="s">
        <v>1556</v>
      </c>
      <c r="AB984" s="1310" t="s">
        <v>1632</v>
      </c>
      <c r="AC984" s="1310" t="s">
        <v>1634</v>
      </c>
      <c r="AD984" s="1310" t="s">
        <v>1499</v>
      </c>
      <c r="AE984" s="1310" t="s">
        <v>1525</v>
      </c>
      <c r="AF984" s="1310" t="s">
        <v>115</v>
      </c>
    </row>
    <row r="985" spans="1:32" x14ac:dyDescent="0.3">
      <c r="A985" s="1310" t="s">
        <v>1578</v>
      </c>
      <c r="B985" s="1310" t="s">
        <v>1554</v>
      </c>
      <c r="C985" s="1310" t="s">
        <v>1623</v>
      </c>
      <c r="D985" s="1310" t="s">
        <v>127</v>
      </c>
      <c r="E985" s="1310" t="s">
        <v>1619</v>
      </c>
      <c r="F985" s="1310" t="s">
        <v>1602</v>
      </c>
      <c r="G985" s="1310" t="s">
        <v>1558</v>
      </c>
      <c r="H985" s="1310" t="s">
        <v>1615</v>
      </c>
      <c r="I985" s="1310" t="s">
        <v>1550</v>
      </c>
      <c r="J985" s="1310" t="s">
        <v>1590</v>
      </c>
      <c r="K985" s="1310" t="s">
        <v>1627</v>
      </c>
      <c r="L985" s="1310" t="s">
        <v>1464</v>
      </c>
      <c r="M985" s="1310" t="s">
        <v>1617</v>
      </c>
      <c r="N985" s="1310" t="s">
        <v>1486</v>
      </c>
      <c r="O985" s="1310" t="s">
        <v>1601</v>
      </c>
      <c r="P985" s="1310" t="s">
        <v>1631</v>
      </c>
      <c r="Q985" s="1310" t="s">
        <v>131</v>
      </c>
      <c r="R985" s="1310" t="s">
        <v>1612</v>
      </c>
      <c r="S985" s="1310" t="s">
        <v>115</v>
      </c>
      <c r="T985" s="1310" t="s">
        <v>1613</v>
      </c>
      <c r="U985" s="1310" t="s">
        <v>1642</v>
      </c>
      <c r="V985" s="1310" t="s">
        <v>1580</v>
      </c>
      <c r="W985" s="1310" t="s">
        <v>1621</v>
      </c>
      <c r="X985" s="1310" t="s">
        <v>1566</v>
      </c>
      <c r="Y985" s="1310" t="s">
        <v>1468</v>
      </c>
      <c r="Z985" s="1310" t="s">
        <v>1525</v>
      </c>
      <c r="AA985" s="1310" t="s">
        <v>1468</v>
      </c>
      <c r="AB985" s="1310" t="s">
        <v>1030</v>
      </c>
      <c r="AC985" s="1310" t="s">
        <v>1628</v>
      </c>
      <c r="AD985" s="1310" t="s">
        <v>1468</v>
      </c>
      <c r="AE985" s="1310" t="s">
        <v>1645</v>
      </c>
      <c r="AF985" s="1310" t="s">
        <v>1638</v>
      </c>
    </row>
    <row r="986" spans="1:32" x14ac:dyDescent="0.3">
      <c r="A986" s="1310" t="s">
        <v>1542</v>
      </c>
      <c r="B986" s="1310" t="s">
        <v>1491</v>
      </c>
      <c r="C986" s="1310" t="s">
        <v>1027</v>
      </c>
      <c r="D986" s="1310" t="s">
        <v>1544</v>
      </c>
      <c r="E986" s="1310" t="s">
        <v>1657</v>
      </c>
      <c r="F986" s="1310" t="s">
        <v>1591</v>
      </c>
      <c r="G986" s="1310" t="s">
        <v>1623</v>
      </c>
      <c r="H986" s="1310" t="s">
        <v>1597</v>
      </c>
      <c r="I986" s="1310" t="s">
        <v>1443</v>
      </c>
      <c r="J986" s="1310" t="s">
        <v>1450</v>
      </c>
      <c r="K986" s="1310" t="s">
        <v>1574</v>
      </c>
      <c r="L986" s="1310" t="s">
        <v>1617</v>
      </c>
      <c r="M986" s="1310" t="s">
        <v>1622</v>
      </c>
      <c r="N986" s="1310" t="s">
        <v>1619</v>
      </c>
      <c r="O986" s="1310" t="s">
        <v>1030</v>
      </c>
      <c r="P986" s="1310" t="s">
        <v>1556</v>
      </c>
      <c r="Q986" s="1310" t="s">
        <v>1517</v>
      </c>
      <c r="R986" s="1310" t="s">
        <v>1556</v>
      </c>
      <c r="S986" s="1310" t="s">
        <v>1560</v>
      </c>
      <c r="T986" s="1310" t="s">
        <v>1578</v>
      </c>
      <c r="U986" s="1310" t="s">
        <v>1457</v>
      </c>
      <c r="V986" s="1310" t="s">
        <v>1487</v>
      </c>
      <c r="W986" s="1310" t="s">
        <v>1577</v>
      </c>
      <c r="X986" s="1310" t="s">
        <v>1647</v>
      </c>
      <c r="Y986" s="1310" t="s">
        <v>1564</v>
      </c>
      <c r="Z986" s="1310" t="s">
        <v>1569</v>
      </c>
      <c r="AA986" s="1310" t="s">
        <v>1511</v>
      </c>
      <c r="AB986" s="1310" t="s">
        <v>1457</v>
      </c>
      <c r="AC986" s="1310" t="s">
        <v>1610</v>
      </c>
      <c r="AD986" s="1310" t="s">
        <v>1650</v>
      </c>
      <c r="AE986" s="1310" t="s">
        <v>1475</v>
      </c>
      <c r="AF986" s="1310" t="s">
        <v>263</v>
      </c>
    </row>
    <row r="987" spans="1:32" x14ac:dyDescent="0.3">
      <c r="A987" s="1310" t="s">
        <v>1498</v>
      </c>
      <c r="B987" s="1310" t="s">
        <v>1463</v>
      </c>
      <c r="C987" s="1310" t="s">
        <v>1541</v>
      </c>
      <c r="D987" s="1310" t="s">
        <v>263</v>
      </c>
      <c r="E987" s="1310" t="s">
        <v>1456</v>
      </c>
      <c r="F987" s="1310" t="s">
        <v>1455</v>
      </c>
      <c r="G987" s="1310" t="s">
        <v>1652</v>
      </c>
      <c r="H987" s="1310" t="s">
        <v>1525</v>
      </c>
      <c r="I987" s="1310" t="s">
        <v>1590</v>
      </c>
      <c r="J987" s="1310" t="s">
        <v>1543</v>
      </c>
      <c r="K987" s="1310" t="s">
        <v>1487</v>
      </c>
      <c r="L987" s="1310" t="s">
        <v>1631</v>
      </c>
      <c r="M987" s="1310" t="s">
        <v>1525</v>
      </c>
      <c r="N987" s="1310" t="s">
        <v>1533</v>
      </c>
      <c r="O987" s="1310" t="s">
        <v>127</v>
      </c>
      <c r="P987" s="1310" t="s">
        <v>1618</v>
      </c>
      <c r="Q987" s="1310" t="s">
        <v>1633</v>
      </c>
      <c r="R987" s="1310" t="s">
        <v>118</v>
      </c>
      <c r="S987" s="1310" t="s">
        <v>1589</v>
      </c>
      <c r="T987" s="1310" t="s">
        <v>1558</v>
      </c>
      <c r="U987" s="1310" t="s">
        <v>1585</v>
      </c>
      <c r="V987" s="1310" t="s">
        <v>1517</v>
      </c>
      <c r="W987" s="1310" t="s">
        <v>1558</v>
      </c>
      <c r="X987" s="1310" t="s">
        <v>1587</v>
      </c>
      <c r="Y987" s="1310" t="s">
        <v>1581</v>
      </c>
      <c r="Z987" s="1310" t="s">
        <v>1618</v>
      </c>
      <c r="AA987" s="1310" t="s">
        <v>1530</v>
      </c>
      <c r="AB987" s="1310" t="s">
        <v>117</v>
      </c>
      <c r="AC987" s="1310" t="s">
        <v>1473</v>
      </c>
      <c r="AD987" s="1310" t="s">
        <v>1582</v>
      </c>
      <c r="AE987" s="1310" t="s">
        <v>1474</v>
      </c>
      <c r="AF987" s="1310" t="s">
        <v>1533</v>
      </c>
    </row>
    <row r="988" spans="1:32" x14ac:dyDescent="0.3">
      <c r="A988" s="1310" t="s">
        <v>1645</v>
      </c>
      <c r="B988" s="1310" t="s">
        <v>1516</v>
      </c>
      <c r="C988" s="1310" t="s">
        <v>127</v>
      </c>
      <c r="D988" s="1310" t="s">
        <v>1503</v>
      </c>
      <c r="E988" s="1310" t="s">
        <v>1546</v>
      </c>
      <c r="F988" s="1310" t="s">
        <v>1623</v>
      </c>
      <c r="G988" s="1310" t="s">
        <v>1585</v>
      </c>
      <c r="H988" s="1310" t="s">
        <v>1631</v>
      </c>
      <c r="I988" s="1310" t="s">
        <v>1615</v>
      </c>
      <c r="J988" s="1310" t="s">
        <v>1608</v>
      </c>
      <c r="K988" s="1310" t="s">
        <v>1604</v>
      </c>
      <c r="L988" s="1310" t="s">
        <v>1460</v>
      </c>
      <c r="M988" s="1310" t="s">
        <v>1578</v>
      </c>
      <c r="N988" s="1310" t="s">
        <v>1635</v>
      </c>
      <c r="O988" s="1310" t="s">
        <v>1625</v>
      </c>
      <c r="P988" s="1310" t="s">
        <v>1532</v>
      </c>
      <c r="Q988" s="1310" t="s">
        <v>1603</v>
      </c>
      <c r="R988" s="1310" t="s">
        <v>1471</v>
      </c>
      <c r="S988" s="1310" t="s">
        <v>1465</v>
      </c>
      <c r="T988" s="1310" t="s">
        <v>1499</v>
      </c>
      <c r="U988" s="1310" t="s">
        <v>1493</v>
      </c>
      <c r="V988" s="1310" t="s">
        <v>1447</v>
      </c>
      <c r="W988" s="1310" t="s">
        <v>1660</v>
      </c>
      <c r="X988" s="1310" t="s">
        <v>1625</v>
      </c>
      <c r="Y988" s="1310" t="s">
        <v>1620</v>
      </c>
      <c r="Z988" s="1310" t="s">
        <v>132</v>
      </c>
      <c r="AA988" s="1310" t="s">
        <v>1618</v>
      </c>
      <c r="AB988" s="1310" t="s">
        <v>1565</v>
      </c>
      <c r="AC988" s="1310" t="s">
        <v>1529</v>
      </c>
      <c r="AD988" s="1310" t="s">
        <v>1443</v>
      </c>
      <c r="AE988" s="1310" t="s">
        <v>1450</v>
      </c>
      <c r="AF988" s="1310" t="s">
        <v>1601</v>
      </c>
    </row>
    <row r="989" spans="1:32" x14ac:dyDescent="0.3">
      <c r="A989" s="1310" t="s">
        <v>1489</v>
      </c>
      <c r="B989" s="1310" t="s">
        <v>1603</v>
      </c>
      <c r="C989" s="1310" t="s">
        <v>1571</v>
      </c>
      <c r="D989" s="1310" t="s">
        <v>1513</v>
      </c>
      <c r="E989" s="1310" t="s">
        <v>128</v>
      </c>
      <c r="F989" s="1310" t="s">
        <v>110</v>
      </c>
      <c r="G989" s="1310" t="s">
        <v>1443</v>
      </c>
      <c r="H989" s="1310" t="s">
        <v>1450</v>
      </c>
      <c r="I989" s="1310" t="s">
        <v>1645</v>
      </c>
      <c r="J989" s="1310" t="s">
        <v>1488</v>
      </c>
      <c r="K989" s="1310" t="s">
        <v>1443</v>
      </c>
      <c r="L989" s="1310" t="s">
        <v>1450</v>
      </c>
      <c r="M989" s="1310" t="s">
        <v>131</v>
      </c>
      <c r="N989" s="1310" t="s">
        <v>1484</v>
      </c>
      <c r="O989" s="1310" t="s">
        <v>1658</v>
      </c>
      <c r="P989" s="1310" t="s">
        <v>1499</v>
      </c>
      <c r="Q989" s="1310" t="s">
        <v>1575</v>
      </c>
      <c r="R989" s="1310" t="s">
        <v>1656</v>
      </c>
      <c r="S989" s="1310" t="s">
        <v>1530</v>
      </c>
      <c r="T989" s="1310" t="s">
        <v>1639</v>
      </c>
      <c r="U989" s="1310" t="s">
        <v>1562</v>
      </c>
      <c r="V989" s="1310" t="s">
        <v>112</v>
      </c>
      <c r="W989" s="1310" t="s">
        <v>1577</v>
      </c>
      <c r="X989" s="1310" t="s">
        <v>1465</v>
      </c>
      <c r="Y989" s="1310" t="s">
        <v>1641</v>
      </c>
      <c r="Z989" s="1310" t="s">
        <v>128</v>
      </c>
      <c r="AA989" s="1310" t="s">
        <v>125</v>
      </c>
      <c r="AB989" s="1310" t="s">
        <v>1562</v>
      </c>
      <c r="AC989" s="1310" t="s">
        <v>1566</v>
      </c>
      <c r="AD989" s="1310" t="s">
        <v>1458</v>
      </c>
      <c r="AE989" s="1310" t="s">
        <v>1468</v>
      </c>
      <c r="AF989" s="1310" t="s">
        <v>1619</v>
      </c>
    </row>
    <row r="990" spans="1:32" x14ac:dyDescent="0.3">
      <c r="A990" s="1310" t="s">
        <v>1631</v>
      </c>
      <c r="B990" s="1310" t="s">
        <v>1443</v>
      </c>
      <c r="C990" s="1310" t="s">
        <v>1450</v>
      </c>
      <c r="D990" s="1310" t="s">
        <v>1574</v>
      </c>
      <c r="E990" s="1310" t="s">
        <v>1549</v>
      </c>
      <c r="F990" s="1310" t="s">
        <v>1551</v>
      </c>
      <c r="G990" s="1310" t="s">
        <v>1614</v>
      </c>
      <c r="H990" s="1310" t="s">
        <v>1650</v>
      </c>
      <c r="I990" s="1310" t="s">
        <v>1614</v>
      </c>
      <c r="J990" s="1310" t="s">
        <v>1487</v>
      </c>
      <c r="K990" s="1310" t="s">
        <v>1585</v>
      </c>
      <c r="L990" s="1310" t="s">
        <v>115</v>
      </c>
      <c r="M990" s="1310" t="s">
        <v>1561</v>
      </c>
      <c r="N990" s="1310" t="s">
        <v>1505</v>
      </c>
      <c r="O990" s="1310" t="s">
        <v>132</v>
      </c>
      <c r="P990" s="1310" t="s">
        <v>465</v>
      </c>
      <c r="Q990" s="1310" t="s">
        <v>1477</v>
      </c>
      <c r="R990" s="1310" t="s">
        <v>117</v>
      </c>
      <c r="S990" s="1310" t="s">
        <v>1445</v>
      </c>
      <c r="T990" s="1310" t="s">
        <v>121</v>
      </c>
      <c r="U990" s="1310" t="s">
        <v>119</v>
      </c>
      <c r="V990" s="1310" t="s">
        <v>120</v>
      </c>
      <c r="W990" s="1310" t="s">
        <v>1566</v>
      </c>
      <c r="X990" s="1310" t="s">
        <v>1588</v>
      </c>
      <c r="Y990" s="1310" t="s">
        <v>1638</v>
      </c>
      <c r="Z990" s="1310" t="s">
        <v>1488</v>
      </c>
      <c r="AA990" s="1310" t="s">
        <v>1489</v>
      </c>
      <c r="AB990" s="1310" t="s">
        <v>1659</v>
      </c>
      <c r="AC990" s="1310" t="s">
        <v>1644</v>
      </c>
      <c r="AD990" s="1310" t="s">
        <v>112</v>
      </c>
      <c r="AE990" s="1310" t="s">
        <v>1555</v>
      </c>
      <c r="AF990" s="1310" t="s">
        <v>1555</v>
      </c>
    </row>
    <row r="991" spans="1:32" x14ac:dyDescent="0.3">
      <c r="A991" s="1310" t="s">
        <v>1585</v>
      </c>
      <c r="B991" s="1310" t="s">
        <v>1547</v>
      </c>
      <c r="C991" s="1310" t="s">
        <v>1589</v>
      </c>
      <c r="D991" s="1310" t="s">
        <v>1485</v>
      </c>
      <c r="E991" s="1310" t="s">
        <v>1481</v>
      </c>
      <c r="F991" s="1310" t="s">
        <v>266</v>
      </c>
      <c r="G991" s="1310" t="s">
        <v>1497</v>
      </c>
      <c r="H991" s="1310" t="s">
        <v>130</v>
      </c>
      <c r="I991" s="1310" t="s">
        <v>117</v>
      </c>
      <c r="J991" s="1310" t="s">
        <v>1459</v>
      </c>
      <c r="K991" s="1310" t="s">
        <v>1543</v>
      </c>
      <c r="L991" s="1310" t="s">
        <v>114</v>
      </c>
      <c r="M991" s="1310" t="s">
        <v>1451</v>
      </c>
      <c r="N991" s="1310" t="s">
        <v>1492</v>
      </c>
      <c r="O991" s="1310" t="s">
        <v>1581</v>
      </c>
      <c r="P991" s="1310" t="s">
        <v>1573</v>
      </c>
      <c r="Q991" s="1310" t="s">
        <v>1626</v>
      </c>
      <c r="R991" s="1310" t="s">
        <v>116</v>
      </c>
      <c r="S991" s="1310" t="s">
        <v>1525</v>
      </c>
      <c r="T991" s="1310" t="s">
        <v>1643</v>
      </c>
      <c r="U991" s="1310" t="s">
        <v>1526</v>
      </c>
      <c r="V991" s="1310" t="s">
        <v>1448</v>
      </c>
      <c r="W991" s="1310" t="s">
        <v>1500</v>
      </c>
      <c r="X991" s="1310" t="s">
        <v>1602</v>
      </c>
      <c r="Y991" s="1310" t="s">
        <v>1472</v>
      </c>
      <c r="Z991" s="1310" t="s">
        <v>1491</v>
      </c>
      <c r="AA991" s="1310" t="s">
        <v>1540</v>
      </c>
      <c r="AB991" s="1310" t="s">
        <v>1609</v>
      </c>
      <c r="AC991" s="1310" t="s">
        <v>1030</v>
      </c>
      <c r="AD991" s="1310" t="s">
        <v>1505</v>
      </c>
      <c r="AE991" s="1310" t="s">
        <v>120</v>
      </c>
      <c r="AF991" s="1310" t="s">
        <v>1448</v>
      </c>
    </row>
    <row r="992" spans="1:32" x14ac:dyDescent="0.3">
      <c r="A992" s="1310" t="s">
        <v>1623</v>
      </c>
      <c r="B992" s="1310" t="s">
        <v>1480</v>
      </c>
      <c r="C992" s="1310" t="s">
        <v>1448</v>
      </c>
      <c r="D992" s="1310" t="s">
        <v>1483</v>
      </c>
      <c r="E992" s="1310" t="s">
        <v>1489</v>
      </c>
      <c r="F992" s="1310" t="s">
        <v>1509</v>
      </c>
      <c r="G992" s="1310" t="s">
        <v>1639</v>
      </c>
      <c r="H992" s="1310" t="s">
        <v>1655</v>
      </c>
      <c r="I992" s="1310" t="s">
        <v>1453</v>
      </c>
      <c r="J992" s="1310" t="s">
        <v>1643</v>
      </c>
      <c r="K992" s="1310" t="s">
        <v>1462</v>
      </c>
      <c r="L992" s="1310" t="s">
        <v>1485</v>
      </c>
      <c r="M992" s="1310" t="s">
        <v>1560</v>
      </c>
      <c r="N992" s="1310" t="s">
        <v>1626</v>
      </c>
      <c r="O992" s="1310" t="s">
        <v>1452</v>
      </c>
      <c r="P992" s="1310" t="s">
        <v>120</v>
      </c>
      <c r="Q992" s="1310" t="s">
        <v>1491</v>
      </c>
      <c r="R992" s="1310" t="s">
        <v>1525</v>
      </c>
      <c r="S992" s="1310" t="s">
        <v>1509</v>
      </c>
      <c r="T992" s="1310" t="s">
        <v>1599</v>
      </c>
      <c r="U992" s="1310" t="s">
        <v>1532</v>
      </c>
      <c r="V992" s="1310" t="s">
        <v>1599</v>
      </c>
      <c r="W992" s="1310" t="s">
        <v>122</v>
      </c>
      <c r="X992" s="1310" t="s">
        <v>1631</v>
      </c>
      <c r="Y992" s="1310" t="s">
        <v>263</v>
      </c>
      <c r="Z992" s="1310" t="s">
        <v>1589</v>
      </c>
      <c r="AA992" s="1310" t="s">
        <v>1658</v>
      </c>
      <c r="AB992" s="1310" t="s">
        <v>1544</v>
      </c>
      <c r="AC992" s="1310" t="s">
        <v>1573</v>
      </c>
      <c r="AD992" s="1310" t="s">
        <v>1454</v>
      </c>
      <c r="AE992" s="1310" t="s">
        <v>1627</v>
      </c>
      <c r="AF992" s="1310" t="s">
        <v>1510</v>
      </c>
    </row>
    <row r="993" spans="1:32" x14ac:dyDescent="0.3">
      <c r="A993" s="1310" t="s">
        <v>129</v>
      </c>
      <c r="B993" s="1310" t="s">
        <v>1632</v>
      </c>
      <c r="C993" s="1310" t="s">
        <v>1505</v>
      </c>
      <c r="D993" s="1310" t="s">
        <v>1455</v>
      </c>
      <c r="E993" s="1310" t="s">
        <v>1583</v>
      </c>
      <c r="F993" s="1310" t="s">
        <v>122</v>
      </c>
      <c r="G993" s="1310" t="s">
        <v>1501</v>
      </c>
      <c r="H993" s="1310" t="s">
        <v>1622</v>
      </c>
      <c r="I993" s="1310" t="s">
        <v>1549</v>
      </c>
      <c r="J993" s="1310" t="s">
        <v>1517</v>
      </c>
      <c r="K993" s="1310" t="s">
        <v>1468</v>
      </c>
      <c r="L993" s="1310" t="s">
        <v>1578</v>
      </c>
      <c r="M993" s="1310" t="s">
        <v>1647</v>
      </c>
      <c r="N993" s="1310" t="s">
        <v>1527</v>
      </c>
      <c r="O993" s="1310" t="s">
        <v>1443</v>
      </c>
      <c r="P993" s="1310" t="s">
        <v>1450</v>
      </c>
      <c r="Q993" s="1310" t="s">
        <v>1567</v>
      </c>
      <c r="R993" s="1310" t="s">
        <v>1590</v>
      </c>
      <c r="S993" s="1310" t="s">
        <v>1639</v>
      </c>
      <c r="T993" s="1310" t="s">
        <v>124</v>
      </c>
      <c r="U993" s="1310" t="s">
        <v>1503</v>
      </c>
      <c r="V993" s="1310" t="s">
        <v>116</v>
      </c>
      <c r="W993" s="1310" t="s">
        <v>128</v>
      </c>
      <c r="X993" s="1310" t="s">
        <v>1602</v>
      </c>
      <c r="Y993" s="1310" t="s">
        <v>1474</v>
      </c>
      <c r="Z993" s="1310" t="s">
        <v>1575</v>
      </c>
      <c r="AA993" s="1310" t="s">
        <v>127</v>
      </c>
      <c r="AB993" s="1310" t="s">
        <v>1480</v>
      </c>
      <c r="AC993" s="1310" t="s">
        <v>1517</v>
      </c>
      <c r="AD993" s="1310" t="s">
        <v>1468</v>
      </c>
      <c r="AE993" s="1310" t="s">
        <v>1537</v>
      </c>
      <c r="AF993" s="1310" t="s">
        <v>1443</v>
      </c>
    </row>
    <row r="994" spans="1:32" x14ac:dyDescent="0.3">
      <c r="A994" s="1310" t="s">
        <v>1450</v>
      </c>
      <c r="B994" s="1310" t="s">
        <v>1557</v>
      </c>
      <c r="C994" s="1310" t="s">
        <v>1588</v>
      </c>
      <c r="D994" s="1310" t="s">
        <v>6</v>
      </c>
      <c r="E994" s="1310" t="s">
        <v>465</v>
      </c>
      <c r="F994" s="1310" t="s">
        <v>1502</v>
      </c>
      <c r="G994" s="1310" t="s">
        <v>1639</v>
      </c>
      <c r="H994" s="1310" t="s">
        <v>1648</v>
      </c>
      <c r="I994" s="1310" t="s">
        <v>1647</v>
      </c>
      <c r="J994" s="1310" t="s">
        <v>1517</v>
      </c>
      <c r="K994" s="1310" t="s">
        <v>1585</v>
      </c>
      <c r="L994" s="1310" t="s">
        <v>1610</v>
      </c>
      <c r="M994" s="1310" t="s">
        <v>1635</v>
      </c>
      <c r="N994" s="1310" t="s">
        <v>1600</v>
      </c>
      <c r="O994" s="1310" t="s">
        <v>1635</v>
      </c>
      <c r="P994" s="1310" t="s">
        <v>1496</v>
      </c>
      <c r="Q994" s="1310" t="s">
        <v>6</v>
      </c>
      <c r="R994" s="1310" t="s">
        <v>1488</v>
      </c>
      <c r="S994" s="1310" t="s">
        <v>121</v>
      </c>
      <c r="T994" s="1310" t="s">
        <v>1503</v>
      </c>
      <c r="U994" s="1310" t="s">
        <v>1468</v>
      </c>
      <c r="V994" s="1310" t="s">
        <v>118</v>
      </c>
      <c r="W994" s="1310" t="s">
        <v>1561</v>
      </c>
      <c r="X994" s="1310" t="s">
        <v>1657</v>
      </c>
      <c r="Y994" s="1310" t="s">
        <v>1496</v>
      </c>
      <c r="Z994" s="1310" t="s">
        <v>1479</v>
      </c>
      <c r="AA994" s="1310" t="s">
        <v>1640</v>
      </c>
      <c r="AB994" s="1310" t="s">
        <v>1453</v>
      </c>
      <c r="AC994" s="1310" t="s">
        <v>1549</v>
      </c>
      <c r="AD994" s="1310" t="s">
        <v>1627</v>
      </c>
      <c r="AE994" s="1310" t="s">
        <v>1653</v>
      </c>
      <c r="AF994" s="1310" t="s">
        <v>1600</v>
      </c>
    </row>
    <row r="995" spans="1:32" x14ac:dyDescent="0.3">
      <c r="A995" s="1310" t="s">
        <v>1626</v>
      </c>
      <c r="B995" s="1310" t="s">
        <v>1556</v>
      </c>
      <c r="C995" s="1310" t="s">
        <v>125</v>
      </c>
      <c r="D995" s="1310" t="s">
        <v>1454</v>
      </c>
      <c r="E995" s="1310" t="s">
        <v>1467</v>
      </c>
      <c r="F995" s="1310" t="s">
        <v>1453</v>
      </c>
      <c r="G995" s="1310" t="s">
        <v>1540</v>
      </c>
      <c r="H995" s="1310" t="s">
        <v>1549</v>
      </c>
      <c r="I995" s="1310" t="s">
        <v>1630</v>
      </c>
      <c r="J995" s="1310" t="s">
        <v>1591</v>
      </c>
      <c r="K995" s="1310" t="s">
        <v>1536</v>
      </c>
      <c r="L995" s="1310" t="s">
        <v>1595</v>
      </c>
      <c r="M995" s="1310" t="s">
        <v>1502</v>
      </c>
      <c r="N995" s="1310" t="s">
        <v>1573</v>
      </c>
      <c r="O995" s="1310" t="s">
        <v>1525</v>
      </c>
      <c r="P995" s="1310" t="s">
        <v>1605</v>
      </c>
      <c r="Q995" s="1310" t="s">
        <v>1507</v>
      </c>
      <c r="R995" s="1310" t="s">
        <v>465</v>
      </c>
      <c r="S995" s="1310" t="s">
        <v>1631</v>
      </c>
      <c r="T995" s="1310" t="s">
        <v>1508</v>
      </c>
      <c r="U995" s="1310" t="s">
        <v>1629</v>
      </c>
      <c r="V995" s="1310" t="s">
        <v>1030</v>
      </c>
      <c r="W995" s="1310" t="s">
        <v>1475</v>
      </c>
      <c r="X995" s="1310" t="s">
        <v>1554</v>
      </c>
      <c r="Y995" s="1310" t="s">
        <v>1539</v>
      </c>
      <c r="Z995" s="1310" t="s">
        <v>1583</v>
      </c>
      <c r="AA995" s="1310" t="s">
        <v>117</v>
      </c>
      <c r="AB995" s="1310" t="s">
        <v>131</v>
      </c>
      <c r="AC995" s="1310" t="s">
        <v>1612</v>
      </c>
      <c r="AD995" s="1310" t="s">
        <v>1610</v>
      </c>
      <c r="AE995" s="1310" t="s">
        <v>1478</v>
      </c>
      <c r="AF995" s="1310" t="s">
        <v>1597</v>
      </c>
    </row>
    <row r="996" spans="1:32" x14ac:dyDescent="0.3">
      <c r="A996" s="1310" t="s">
        <v>1602</v>
      </c>
      <c r="B996" s="1310" t="s">
        <v>126</v>
      </c>
      <c r="C996" s="1310" t="s">
        <v>1517</v>
      </c>
      <c r="D996" s="1310" t="s">
        <v>118</v>
      </c>
      <c r="E996" s="1310" t="s">
        <v>1504</v>
      </c>
      <c r="F996" s="1310" t="s">
        <v>1580</v>
      </c>
      <c r="G996" s="1310" t="s">
        <v>1576</v>
      </c>
      <c r="H996" s="1310" t="s">
        <v>1636</v>
      </c>
      <c r="I996" s="1310" t="s">
        <v>1606</v>
      </c>
      <c r="J996" s="1310" t="s">
        <v>1639</v>
      </c>
      <c r="K996" s="1310" t="s">
        <v>1535</v>
      </c>
      <c r="L996" s="1310" t="s">
        <v>1583</v>
      </c>
      <c r="M996" s="1310" t="s">
        <v>1638</v>
      </c>
      <c r="N996" s="1310" t="s">
        <v>1551</v>
      </c>
      <c r="O996" s="1310" t="s">
        <v>1456</v>
      </c>
      <c r="P996" s="1310" t="s">
        <v>1556</v>
      </c>
      <c r="Q996" s="1310" t="s">
        <v>1601</v>
      </c>
      <c r="R996" s="1310" t="s">
        <v>1543</v>
      </c>
      <c r="S996" s="1310" t="s">
        <v>1576</v>
      </c>
      <c r="T996" s="1310" t="s">
        <v>1634</v>
      </c>
      <c r="U996" s="1310" t="s">
        <v>1559</v>
      </c>
      <c r="V996" s="1310" t="s">
        <v>1486</v>
      </c>
      <c r="W996" s="1310" t="s">
        <v>1446</v>
      </c>
      <c r="X996" s="1310" t="s">
        <v>131</v>
      </c>
      <c r="Y996" s="1310" t="s">
        <v>1563</v>
      </c>
      <c r="Z996" s="1310" t="s">
        <v>1561</v>
      </c>
      <c r="AA996" s="1310" t="s">
        <v>1473</v>
      </c>
      <c r="AB996" s="1310" t="s">
        <v>1636</v>
      </c>
      <c r="AC996" s="1310" t="s">
        <v>1553</v>
      </c>
      <c r="AD996" s="1310" t="s">
        <v>1558</v>
      </c>
      <c r="AE996" s="1310" t="s">
        <v>132</v>
      </c>
      <c r="AF996" s="1310" t="s">
        <v>1561</v>
      </c>
    </row>
    <row r="997" spans="1:32" x14ac:dyDescent="0.3">
      <c r="A997" s="1310" t="s">
        <v>1575</v>
      </c>
      <c r="B997" s="1310" t="s">
        <v>1570</v>
      </c>
      <c r="C997" s="1310" t="s">
        <v>1590</v>
      </c>
      <c r="D997" s="1310" t="s">
        <v>1645</v>
      </c>
      <c r="E997" s="1310" t="s">
        <v>1576</v>
      </c>
      <c r="F997" s="1310" t="s">
        <v>1637</v>
      </c>
      <c r="G997" s="1310" t="s">
        <v>1580</v>
      </c>
      <c r="H997" s="1310" t="s">
        <v>1561</v>
      </c>
      <c r="I997" s="1310" t="s">
        <v>1603</v>
      </c>
      <c r="J997" s="1310" t="s">
        <v>1574</v>
      </c>
      <c r="K997" s="1310" t="s">
        <v>1444</v>
      </c>
      <c r="L997" s="1310" t="s">
        <v>1572</v>
      </c>
      <c r="M997" s="1310" t="s">
        <v>1515</v>
      </c>
      <c r="N997" s="1310" t="s">
        <v>1637</v>
      </c>
      <c r="O997" s="1310" t="s">
        <v>1521</v>
      </c>
      <c r="P997" s="1310" t="s">
        <v>1596</v>
      </c>
      <c r="Q997" s="1310" t="s">
        <v>1552</v>
      </c>
      <c r="R997" s="1310" t="s">
        <v>1501</v>
      </c>
      <c r="S997" s="1310" t="s">
        <v>121</v>
      </c>
      <c r="T997" s="1310" t="s">
        <v>1610</v>
      </c>
      <c r="U997" s="1310" t="s">
        <v>1596</v>
      </c>
      <c r="V997" s="1310" t="s">
        <v>1659</v>
      </c>
      <c r="W997" s="1310" t="s">
        <v>113</v>
      </c>
      <c r="X997" s="1310" t="s">
        <v>265</v>
      </c>
      <c r="Y997" s="1310" t="s">
        <v>1524</v>
      </c>
      <c r="Z997" s="1310" t="s">
        <v>1644</v>
      </c>
      <c r="AA997" s="1310" t="s">
        <v>1572</v>
      </c>
      <c r="AB997" s="1310" t="s">
        <v>1543</v>
      </c>
      <c r="AC997" s="1310" t="s">
        <v>1556</v>
      </c>
      <c r="AD997" s="1310" t="s">
        <v>1636</v>
      </c>
      <c r="AE997" s="1310" t="s">
        <v>265</v>
      </c>
      <c r="AF997" s="1310" t="s">
        <v>1595</v>
      </c>
    </row>
    <row r="998" spans="1:32" x14ac:dyDescent="0.3">
      <c r="A998" s="1310" t="s">
        <v>1617</v>
      </c>
      <c r="B998" s="1310" t="s">
        <v>1649</v>
      </c>
      <c r="C998" s="1310" t="s">
        <v>1654</v>
      </c>
      <c r="D998" s="1310" t="s">
        <v>6</v>
      </c>
      <c r="E998" s="1310" t="s">
        <v>1508</v>
      </c>
      <c r="F998" s="1310" t="s">
        <v>1573</v>
      </c>
      <c r="G998" s="1310" t="s">
        <v>1594</v>
      </c>
      <c r="H998" s="1310" t="s">
        <v>1560</v>
      </c>
      <c r="I998" s="1310" t="s">
        <v>1498</v>
      </c>
      <c r="J998" s="1310" t="s">
        <v>1572</v>
      </c>
      <c r="K998" s="1310" t="s">
        <v>1573</v>
      </c>
      <c r="L998" s="1310" t="s">
        <v>1561</v>
      </c>
      <c r="M998" s="1310" t="s">
        <v>1498</v>
      </c>
      <c r="N998" s="1310" t="s">
        <v>1647</v>
      </c>
      <c r="O998" s="1310" t="s">
        <v>1583</v>
      </c>
      <c r="P998" s="1310" t="s">
        <v>1562</v>
      </c>
      <c r="Q998" s="1310" t="s">
        <v>1489</v>
      </c>
      <c r="R998" s="1310" t="s">
        <v>116</v>
      </c>
      <c r="S998" s="1310" t="s">
        <v>1460</v>
      </c>
      <c r="T998" s="1310" t="s">
        <v>1554</v>
      </c>
      <c r="U998" s="1310" t="s">
        <v>1564</v>
      </c>
      <c r="V998" s="1310" t="s">
        <v>1564</v>
      </c>
      <c r="W998" s="1310" t="s">
        <v>1455</v>
      </c>
      <c r="X998" s="1310" t="s">
        <v>122</v>
      </c>
      <c r="Y998" s="1310" t="s">
        <v>128</v>
      </c>
      <c r="Z998" s="1310" t="s">
        <v>1515</v>
      </c>
      <c r="AA998" s="1310" t="s">
        <v>1530</v>
      </c>
      <c r="AB998" s="1310" t="s">
        <v>1464</v>
      </c>
      <c r="AC998" s="1310" t="s">
        <v>1540</v>
      </c>
      <c r="AD998" s="1310" t="s">
        <v>1507</v>
      </c>
      <c r="AE998" s="1310" t="s">
        <v>1545</v>
      </c>
      <c r="AF998" s="1310" t="s">
        <v>1531</v>
      </c>
    </row>
    <row r="999" spans="1:32" x14ac:dyDescent="0.3">
      <c r="A999" s="1310" t="s">
        <v>1577</v>
      </c>
      <c r="B999" s="1310" t="s">
        <v>1570</v>
      </c>
      <c r="C999" s="1310" t="s">
        <v>1490</v>
      </c>
      <c r="D999" s="1310" t="s">
        <v>1499</v>
      </c>
      <c r="E999" s="1310" t="s">
        <v>129</v>
      </c>
      <c r="F999" s="1310" t="s">
        <v>1515</v>
      </c>
      <c r="G999" s="1310" t="s">
        <v>1580</v>
      </c>
      <c r="H999" s="1310" t="s">
        <v>1584</v>
      </c>
      <c r="I999" s="1310" t="s">
        <v>1604</v>
      </c>
      <c r="J999" s="1310" t="s">
        <v>131</v>
      </c>
      <c r="K999" s="1310" t="s">
        <v>1603</v>
      </c>
      <c r="L999" s="1310" t="s">
        <v>1457</v>
      </c>
      <c r="M999" s="1310" t="s">
        <v>1618</v>
      </c>
      <c r="N999" s="1310" t="s">
        <v>1473</v>
      </c>
      <c r="O999" s="1310" t="s">
        <v>1652</v>
      </c>
      <c r="P999" s="1310" t="s">
        <v>1460</v>
      </c>
      <c r="Q999" s="1310" t="s">
        <v>120</v>
      </c>
      <c r="R999" s="1310" t="s">
        <v>1584</v>
      </c>
      <c r="S999" s="1310" t="s">
        <v>1629</v>
      </c>
      <c r="T999" s="1310" t="s">
        <v>465</v>
      </c>
      <c r="U999" s="1310" t="s">
        <v>1642</v>
      </c>
      <c r="V999" s="1310" t="s">
        <v>1571</v>
      </c>
      <c r="W999" s="1310" t="s">
        <v>1467</v>
      </c>
      <c r="X999" s="1310" t="s">
        <v>1577</v>
      </c>
      <c r="Y999" s="1310" t="s">
        <v>1580</v>
      </c>
      <c r="Z999" s="1310" t="s">
        <v>1601</v>
      </c>
      <c r="AA999" s="1310" t="s">
        <v>1636</v>
      </c>
      <c r="AB999" s="1310" t="s">
        <v>1645</v>
      </c>
      <c r="AC999" s="1310" t="s">
        <v>1496</v>
      </c>
      <c r="AD999" s="1310" t="s">
        <v>1499</v>
      </c>
      <c r="AE999" s="1310" t="s">
        <v>1569</v>
      </c>
      <c r="AF999" s="1310" t="s">
        <v>123</v>
      </c>
    </row>
    <row r="1000" spans="1:32" x14ac:dyDescent="0.3">
      <c r="A1000" s="1310" t="s">
        <v>1603</v>
      </c>
      <c r="B1000" s="1310" t="s">
        <v>131</v>
      </c>
      <c r="C1000" s="1310" t="s">
        <v>1540</v>
      </c>
      <c r="D1000" s="1310" t="s">
        <v>1523</v>
      </c>
      <c r="E1000" s="1310" t="s">
        <v>1542</v>
      </c>
      <c r="F1000" s="1310" t="s">
        <v>1633</v>
      </c>
      <c r="G1000" s="1310" t="s">
        <v>1517</v>
      </c>
      <c r="H1000" s="1310" t="s">
        <v>1596</v>
      </c>
      <c r="I1000" s="1310" t="s">
        <v>1591</v>
      </c>
      <c r="J1000" s="1310" t="s">
        <v>113</v>
      </c>
      <c r="K1000" s="1310" t="s">
        <v>1588</v>
      </c>
      <c r="L1000" s="1310" t="s">
        <v>1507</v>
      </c>
      <c r="M1000" s="1310" t="s">
        <v>266</v>
      </c>
      <c r="N1000" s="1310" t="s">
        <v>1027</v>
      </c>
      <c r="O1000" s="1310" t="s">
        <v>1532</v>
      </c>
      <c r="P1000" s="1310" t="s">
        <v>1560</v>
      </c>
      <c r="Q1000" s="1310" t="s">
        <v>124</v>
      </c>
      <c r="R1000" s="1310" t="s">
        <v>1548</v>
      </c>
      <c r="S1000" s="1310" t="s">
        <v>267</v>
      </c>
      <c r="T1000" s="1310" t="s">
        <v>1619</v>
      </c>
      <c r="U1000" s="1310" t="s">
        <v>1519</v>
      </c>
      <c r="V1000" s="1310" t="s">
        <v>1505</v>
      </c>
      <c r="W1000" s="1310" t="s">
        <v>1586</v>
      </c>
      <c r="X1000" s="1310" t="s">
        <v>263</v>
      </c>
      <c r="Y1000" s="1310" t="s">
        <v>262</v>
      </c>
      <c r="Z1000" s="1310" t="s">
        <v>1460</v>
      </c>
      <c r="AA1000" s="1310" t="s">
        <v>1452</v>
      </c>
      <c r="AB1000" s="1310" t="s">
        <v>1631</v>
      </c>
      <c r="AC1000" s="1310" t="s">
        <v>1459</v>
      </c>
      <c r="AD1000" s="1310" t="s">
        <v>1470</v>
      </c>
      <c r="AE1000" s="1310" t="s">
        <v>1632</v>
      </c>
      <c r="AF1000" s="1310" t="s">
        <v>1528</v>
      </c>
    </row>
    <row r="1001" spans="1:32" x14ac:dyDescent="0.3">
      <c r="A1001" s="1310" t="s">
        <v>1563</v>
      </c>
      <c r="B1001" s="1310" t="s">
        <v>1485</v>
      </c>
      <c r="C1001" s="1310" t="s">
        <v>1572</v>
      </c>
      <c r="D1001" s="1310" t="s">
        <v>1616</v>
      </c>
      <c r="E1001" s="1310" t="s">
        <v>1452</v>
      </c>
      <c r="F1001" s="1310" t="s">
        <v>1637</v>
      </c>
      <c r="G1001" s="1310" t="s">
        <v>1575</v>
      </c>
      <c r="H1001" s="1310" t="s">
        <v>1642</v>
      </c>
      <c r="I1001" s="1310" t="s">
        <v>1482</v>
      </c>
      <c r="J1001" s="1310" t="s">
        <v>1655</v>
      </c>
      <c r="K1001" s="1310" t="s">
        <v>1543</v>
      </c>
      <c r="L1001" s="1310" t="s">
        <v>1464</v>
      </c>
      <c r="M1001" s="1310" t="s">
        <v>1502</v>
      </c>
      <c r="N1001" s="1310" t="s">
        <v>1627</v>
      </c>
      <c r="O1001" s="1310" t="s">
        <v>1619</v>
      </c>
      <c r="P1001" s="1310" t="s">
        <v>1519</v>
      </c>
      <c r="Q1001" s="1310" t="s">
        <v>269</v>
      </c>
      <c r="R1001" s="1310" t="s">
        <v>1443</v>
      </c>
      <c r="S1001" s="1310" t="s">
        <v>1450</v>
      </c>
      <c r="T1001" s="1310" t="s">
        <v>1629</v>
      </c>
      <c r="U1001" s="1310" t="s">
        <v>1580</v>
      </c>
      <c r="V1001" s="1310" t="s">
        <v>1463</v>
      </c>
      <c r="W1001" s="1310" t="s">
        <v>1613</v>
      </c>
      <c r="X1001" s="1310" t="s">
        <v>1649</v>
      </c>
      <c r="Y1001" s="1310" t="s">
        <v>1622</v>
      </c>
      <c r="Z1001" s="1310" t="s">
        <v>1464</v>
      </c>
      <c r="AA1001" s="1310" t="s">
        <v>1622</v>
      </c>
      <c r="AB1001" s="1310" t="s">
        <v>1573</v>
      </c>
      <c r="AC1001" s="1310" t="s">
        <v>1495</v>
      </c>
      <c r="AD1001" s="1310" t="s">
        <v>1585</v>
      </c>
      <c r="AE1001" s="1310" t="s">
        <v>1527</v>
      </c>
      <c r="AF1001" s="1310" t="s">
        <v>127</v>
      </c>
    </row>
    <row r="1002" spans="1:32" x14ac:dyDescent="0.3">
      <c r="A1002" s="1310" t="s">
        <v>1615</v>
      </c>
      <c r="B1002" s="1310" t="s">
        <v>1594</v>
      </c>
      <c r="C1002" s="1310" t="s">
        <v>1647</v>
      </c>
      <c r="D1002" s="1310" t="s">
        <v>1451</v>
      </c>
      <c r="E1002" s="1310" t="s">
        <v>1624</v>
      </c>
      <c r="F1002" s="1310" t="s">
        <v>1621</v>
      </c>
      <c r="G1002" s="1310" t="s">
        <v>1448</v>
      </c>
      <c r="H1002" s="1310" t="s">
        <v>1608</v>
      </c>
      <c r="I1002" s="1310" t="s">
        <v>1652</v>
      </c>
      <c r="J1002" s="1310" t="s">
        <v>124</v>
      </c>
      <c r="K1002" s="1310" t="s">
        <v>112</v>
      </c>
      <c r="L1002" s="1310" t="s">
        <v>1655</v>
      </c>
      <c r="M1002" s="1310" t="s">
        <v>1558</v>
      </c>
      <c r="N1002" s="1310" t="s">
        <v>122</v>
      </c>
      <c r="O1002" s="1310" t="s">
        <v>1526</v>
      </c>
      <c r="P1002" s="1310" t="s">
        <v>1556</v>
      </c>
      <c r="Q1002" s="1310" t="s">
        <v>1493</v>
      </c>
      <c r="R1002" s="1310" t="s">
        <v>1567</v>
      </c>
      <c r="S1002" s="1310" t="s">
        <v>1594</v>
      </c>
      <c r="T1002" s="1310" t="s">
        <v>1479</v>
      </c>
      <c r="U1002" s="1310" t="s">
        <v>1546</v>
      </c>
      <c r="V1002" s="1310" t="s">
        <v>1449</v>
      </c>
      <c r="W1002" s="1310" t="s">
        <v>1445</v>
      </c>
      <c r="X1002" s="1310" t="s">
        <v>269</v>
      </c>
      <c r="Y1002" s="1310" t="s">
        <v>1495</v>
      </c>
      <c r="Z1002" s="1310" t="s">
        <v>1498</v>
      </c>
      <c r="AA1002" s="1310" t="s">
        <v>1502</v>
      </c>
      <c r="AB1002" s="1310" t="s">
        <v>1627</v>
      </c>
      <c r="AC1002" s="1310" t="s">
        <v>1640</v>
      </c>
      <c r="AD1002" s="1310" t="s">
        <v>123</v>
      </c>
      <c r="AE1002" s="1310" t="s">
        <v>1524</v>
      </c>
      <c r="AF1002" s="1310" t="s">
        <v>1583</v>
      </c>
    </row>
    <row r="1003" spans="1:32" x14ac:dyDescent="0.3">
      <c r="A1003" s="1310" t="s">
        <v>1620</v>
      </c>
      <c r="B1003" s="1310" t="s">
        <v>1620</v>
      </c>
      <c r="C1003" s="1310" t="s">
        <v>1528</v>
      </c>
      <c r="D1003" s="1310" t="s">
        <v>1640</v>
      </c>
      <c r="E1003" s="1310" t="s">
        <v>1527</v>
      </c>
      <c r="F1003" s="1310" t="s">
        <v>1511</v>
      </c>
      <c r="G1003" s="1310" t="s">
        <v>1599</v>
      </c>
      <c r="H1003" s="1310" t="s">
        <v>1582</v>
      </c>
      <c r="I1003" s="1310" t="s">
        <v>1558</v>
      </c>
      <c r="J1003" s="1310" t="s">
        <v>133</v>
      </c>
      <c r="K1003" s="1310" t="s">
        <v>1455</v>
      </c>
      <c r="L1003" s="1310" t="s">
        <v>1548</v>
      </c>
      <c r="M1003" s="1310" t="s">
        <v>1558</v>
      </c>
      <c r="N1003" s="1310" t="s">
        <v>1506</v>
      </c>
      <c r="O1003" s="1310" t="s">
        <v>1638</v>
      </c>
      <c r="P1003" s="1310" t="s">
        <v>117</v>
      </c>
      <c r="Q1003" s="1310" t="s">
        <v>1612</v>
      </c>
      <c r="R1003" s="1310" t="s">
        <v>132</v>
      </c>
      <c r="S1003" s="1310" t="s">
        <v>1582</v>
      </c>
      <c r="T1003" s="1310" t="s">
        <v>1594</v>
      </c>
      <c r="U1003" s="1310" t="s">
        <v>1625</v>
      </c>
      <c r="V1003" s="1310" t="s">
        <v>1445</v>
      </c>
      <c r="W1003" s="1310" t="s">
        <v>125</v>
      </c>
      <c r="X1003" s="1310" t="s">
        <v>1574</v>
      </c>
      <c r="Y1003" s="1310" t="s">
        <v>1606</v>
      </c>
      <c r="Z1003" s="1310" t="s">
        <v>1498</v>
      </c>
      <c r="AA1003" s="1310" t="s">
        <v>1489</v>
      </c>
      <c r="AB1003" s="1310" t="s">
        <v>1559</v>
      </c>
      <c r="AC1003" s="1310" t="s">
        <v>1532</v>
      </c>
      <c r="AD1003" s="1310" t="s">
        <v>1555</v>
      </c>
      <c r="AE1003" s="1310" t="s">
        <v>1501</v>
      </c>
      <c r="AF1003" s="1310" t="s">
        <v>1532</v>
      </c>
    </row>
    <row r="1004" spans="1:32" x14ac:dyDescent="0.3">
      <c r="A1004" s="1310" t="s">
        <v>1579</v>
      </c>
      <c r="B1004" s="1310" t="s">
        <v>1480</v>
      </c>
      <c r="C1004" s="1310" t="s">
        <v>1643</v>
      </c>
      <c r="D1004" s="1310" t="s">
        <v>1584</v>
      </c>
      <c r="E1004" s="1310" t="s">
        <v>115</v>
      </c>
      <c r="F1004" s="1310" t="s">
        <v>1479</v>
      </c>
      <c r="G1004" s="1310" t="s">
        <v>1569</v>
      </c>
      <c r="H1004" s="1310" t="s">
        <v>262</v>
      </c>
      <c r="I1004" s="1310" t="s">
        <v>133</v>
      </c>
      <c r="J1004" s="1310" t="s">
        <v>1639</v>
      </c>
      <c r="K1004" s="1310" t="s">
        <v>1627</v>
      </c>
      <c r="L1004" s="1310" t="s">
        <v>132</v>
      </c>
      <c r="M1004" s="1310" t="s">
        <v>1643</v>
      </c>
      <c r="N1004" s="1310" t="s">
        <v>1570</v>
      </c>
      <c r="O1004" s="1310" t="s">
        <v>1577</v>
      </c>
      <c r="P1004" s="1310" t="s">
        <v>1580</v>
      </c>
      <c r="Q1004" s="1310" t="s">
        <v>111</v>
      </c>
      <c r="R1004" s="1310" t="s">
        <v>1539</v>
      </c>
      <c r="S1004" s="1310" t="s">
        <v>1456</v>
      </c>
      <c r="T1004" s="1310" t="s">
        <v>1481</v>
      </c>
      <c r="U1004" s="1310" t="s">
        <v>1655</v>
      </c>
      <c r="V1004" s="1310" t="s">
        <v>1594</v>
      </c>
      <c r="W1004" s="1310" t="s">
        <v>1633</v>
      </c>
      <c r="X1004" s="1310" t="s">
        <v>1459</v>
      </c>
      <c r="Y1004" s="1310" t="s">
        <v>471</v>
      </c>
      <c r="Z1004" s="1310" t="s">
        <v>1583</v>
      </c>
      <c r="AA1004" s="1310" t="s">
        <v>1561</v>
      </c>
      <c r="AB1004" s="1310" t="s">
        <v>1547</v>
      </c>
      <c r="AC1004" s="1310" t="s">
        <v>132</v>
      </c>
      <c r="AD1004" s="1310" t="s">
        <v>1485</v>
      </c>
      <c r="AE1004" s="1310" t="s">
        <v>1629</v>
      </c>
      <c r="AF1004" s="1310" t="s">
        <v>1515</v>
      </c>
    </row>
    <row r="1005" spans="1:32" x14ac:dyDescent="0.3">
      <c r="A1005" s="1310" t="s">
        <v>1537</v>
      </c>
      <c r="B1005" s="1310" t="s">
        <v>1644</v>
      </c>
      <c r="C1005" s="1310" t="s">
        <v>1552</v>
      </c>
      <c r="D1005" s="1310" t="s">
        <v>1635</v>
      </c>
      <c r="E1005" s="1310" t="s">
        <v>1529</v>
      </c>
      <c r="F1005" s="1310" t="s">
        <v>1570</v>
      </c>
      <c r="G1005" s="1310" t="s">
        <v>1530</v>
      </c>
      <c r="H1005" s="1310" t="s">
        <v>1558</v>
      </c>
      <c r="I1005" s="1310" t="s">
        <v>1494</v>
      </c>
      <c r="J1005" s="1310" t="s">
        <v>1456</v>
      </c>
      <c r="K1005" s="1310" t="s">
        <v>1530</v>
      </c>
      <c r="L1005" s="1310" t="s">
        <v>1480</v>
      </c>
      <c r="M1005" s="1310" t="s">
        <v>1454</v>
      </c>
      <c r="N1005" s="1310" t="s">
        <v>1523</v>
      </c>
      <c r="O1005" s="1310" t="s">
        <v>1588</v>
      </c>
      <c r="P1005" s="1310" t="s">
        <v>1536</v>
      </c>
      <c r="Q1005" s="1310" t="s">
        <v>1523</v>
      </c>
      <c r="R1005" s="1310" t="s">
        <v>1591</v>
      </c>
      <c r="S1005" s="1310" t="s">
        <v>133</v>
      </c>
      <c r="T1005" s="1310" t="s">
        <v>1537</v>
      </c>
      <c r="U1005" s="1310" t="s">
        <v>1593</v>
      </c>
      <c r="V1005" s="1310" t="s">
        <v>1656</v>
      </c>
      <c r="W1005" s="1310" t="s">
        <v>111</v>
      </c>
      <c r="X1005" s="1310" t="s">
        <v>1492</v>
      </c>
      <c r="Y1005" s="1310" t="s">
        <v>1639</v>
      </c>
      <c r="Z1005" s="1310" t="s">
        <v>1572</v>
      </c>
      <c r="AA1005" s="1310" t="s">
        <v>1605</v>
      </c>
      <c r="AB1005" s="1310" t="s">
        <v>1459</v>
      </c>
      <c r="AC1005" s="1310" t="s">
        <v>130</v>
      </c>
      <c r="AD1005" s="1310" t="s">
        <v>126</v>
      </c>
      <c r="AE1005" s="1310" t="s">
        <v>117</v>
      </c>
      <c r="AF1005" s="1310" t="s">
        <v>465</v>
      </c>
    </row>
    <row r="1006" spans="1:32" x14ac:dyDescent="0.3">
      <c r="A1006" s="1310" t="s">
        <v>1658</v>
      </c>
      <c r="B1006" s="1310" t="s">
        <v>1525</v>
      </c>
      <c r="C1006" s="1310" t="s">
        <v>269</v>
      </c>
      <c r="D1006" s="1310" t="s">
        <v>1593</v>
      </c>
      <c r="E1006" s="1310" t="s">
        <v>129</v>
      </c>
      <c r="F1006" s="1310" t="s">
        <v>262</v>
      </c>
      <c r="G1006" s="1310" t="s">
        <v>1511</v>
      </c>
      <c r="H1006" s="1310" t="s">
        <v>1632</v>
      </c>
      <c r="I1006" s="1310" t="s">
        <v>1507</v>
      </c>
      <c r="J1006" s="1310" t="s">
        <v>1456</v>
      </c>
      <c r="K1006" s="1310" t="s">
        <v>1536</v>
      </c>
      <c r="L1006" s="1310" t="s">
        <v>1536</v>
      </c>
      <c r="M1006" s="1310" t="s">
        <v>1460</v>
      </c>
      <c r="N1006" s="1310" t="s">
        <v>1593</v>
      </c>
      <c r="O1006" s="1310" t="s">
        <v>1503</v>
      </c>
      <c r="P1006" s="1310" t="s">
        <v>1510</v>
      </c>
      <c r="Q1006" s="1310" t="s">
        <v>1565</v>
      </c>
      <c r="R1006" s="1310" t="s">
        <v>1637</v>
      </c>
      <c r="S1006" s="1310" t="s">
        <v>1477</v>
      </c>
      <c r="T1006" s="1310" t="s">
        <v>1460</v>
      </c>
      <c r="U1006" s="1310" t="s">
        <v>1561</v>
      </c>
      <c r="V1006" s="1310" t="s">
        <v>130</v>
      </c>
      <c r="W1006" s="1310" t="s">
        <v>1480</v>
      </c>
      <c r="X1006" s="1310" t="s">
        <v>1576</v>
      </c>
      <c r="Y1006" s="1310" t="s">
        <v>1643</v>
      </c>
      <c r="Z1006" s="1310" t="s">
        <v>1660</v>
      </c>
      <c r="AA1006" s="1310" t="s">
        <v>1527</v>
      </c>
      <c r="AB1006" s="1310" t="s">
        <v>6</v>
      </c>
      <c r="AC1006" s="1310" t="s">
        <v>1589</v>
      </c>
      <c r="AD1006" s="1310" t="s">
        <v>471</v>
      </c>
      <c r="AE1006" s="1310" t="s">
        <v>1627</v>
      </c>
      <c r="AF1006" s="1310" t="s">
        <v>1517</v>
      </c>
    </row>
    <row r="1007" spans="1:32" x14ac:dyDescent="0.3">
      <c r="A1007" s="1310" t="s">
        <v>1462</v>
      </c>
      <c r="B1007" s="1310" t="s">
        <v>1552</v>
      </c>
      <c r="C1007" s="1310" t="s">
        <v>1596</v>
      </c>
      <c r="D1007" s="1310" t="s">
        <v>1580</v>
      </c>
      <c r="E1007" s="1310" t="s">
        <v>1535</v>
      </c>
      <c r="F1007" s="1310" t="s">
        <v>1585</v>
      </c>
      <c r="G1007" s="1310" t="s">
        <v>1626</v>
      </c>
      <c r="H1007" s="1310" t="s">
        <v>132</v>
      </c>
      <c r="I1007" s="1310" t="s">
        <v>1553</v>
      </c>
      <c r="J1007" s="1310" t="s">
        <v>1513</v>
      </c>
      <c r="K1007" s="1310" t="s">
        <v>1488</v>
      </c>
      <c r="L1007" s="1310" t="s">
        <v>132</v>
      </c>
      <c r="M1007" s="1310" t="s">
        <v>1563</v>
      </c>
      <c r="N1007" s="1310" t="s">
        <v>1640</v>
      </c>
      <c r="O1007" s="1310" t="s">
        <v>1448</v>
      </c>
      <c r="P1007" s="1310" t="s">
        <v>1508</v>
      </c>
      <c r="Q1007" s="1310" t="s">
        <v>1502</v>
      </c>
      <c r="R1007" s="1310" t="s">
        <v>1513</v>
      </c>
      <c r="S1007" s="1310" t="s">
        <v>1595</v>
      </c>
      <c r="T1007" s="1310" t="s">
        <v>1648</v>
      </c>
      <c r="U1007" s="1310" t="s">
        <v>1636</v>
      </c>
      <c r="V1007" s="1310" t="s">
        <v>1586</v>
      </c>
      <c r="W1007" s="1310" t="s">
        <v>1634</v>
      </c>
      <c r="X1007" s="1310" t="s">
        <v>1551</v>
      </c>
      <c r="Y1007" s="1310" t="s">
        <v>1580</v>
      </c>
      <c r="Z1007" s="1310" t="s">
        <v>1591</v>
      </c>
      <c r="AA1007" s="1310" t="s">
        <v>1659</v>
      </c>
      <c r="AB1007" s="1310" t="s">
        <v>1576</v>
      </c>
      <c r="AC1007" s="1310" t="s">
        <v>1587</v>
      </c>
      <c r="AD1007" s="1310" t="s">
        <v>117</v>
      </c>
      <c r="AE1007" s="1310" t="s">
        <v>1484</v>
      </c>
      <c r="AF1007" s="1310" t="s">
        <v>1562</v>
      </c>
    </row>
    <row r="1008" spans="1:32" x14ac:dyDescent="0.3">
      <c r="A1008" s="1310" t="s">
        <v>1562</v>
      </c>
      <c r="B1008" s="1310" t="s">
        <v>1637</v>
      </c>
      <c r="C1008" s="1310" t="s">
        <v>1599</v>
      </c>
      <c r="D1008" s="1310" t="s">
        <v>1455</v>
      </c>
      <c r="E1008" s="1310" t="s">
        <v>1533</v>
      </c>
      <c r="F1008" s="1310" t="s">
        <v>1560</v>
      </c>
      <c r="G1008" s="1310" t="s">
        <v>262</v>
      </c>
      <c r="H1008" s="1310" t="s">
        <v>1549</v>
      </c>
      <c r="I1008" s="1310" t="s">
        <v>1528</v>
      </c>
      <c r="J1008" s="1310" t="s">
        <v>1544</v>
      </c>
      <c r="K1008" s="1310" t="s">
        <v>1637</v>
      </c>
      <c r="L1008" s="1310" t="s">
        <v>1456</v>
      </c>
      <c r="M1008" s="1310" t="s">
        <v>1491</v>
      </c>
      <c r="N1008" s="1310" t="s">
        <v>132</v>
      </c>
      <c r="O1008" s="1310" t="s">
        <v>1515</v>
      </c>
      <c r="P1008" s="1310" t="s">
        <v>1477</v>
      </c>
      <c r="Q1008" s="1310" t="s">
        <v>1614</v>
      </c>
      <c r="R1008" s="1310" t="s">
        <v>1528</v>
      </c>
      <c r="S1008" s="1310" t="s">
        <v>124</v>
      </c>
      <c r="T1008" s="1310" t="s">
        <v>1605</v>
      </c>
      <c r="U1008" s="1310" t="s">
        <v>1443</v>
      </c>
      <c r="V1008" s="1310" t="s">
        <v>1450</v>
      </c>
      <c r="W1008" s="1310" t="s">
        <v>1478</v>
      </c>
      <c r="X1008" s="1310" t="s">
        <v>1554</v>
      </c>
      <c r="Y1008" s="1310" t="s">
        <v>6</v>
      </c>
      <c r="Z1008" s="1310" t="s">
        <v>1646</v>
      </c>
      <c r="AA1008" s="1310" t="s">
        <v>1502</v>
      </c>
      <c r="AB1008" s="1310" t="s">
        <v>1602</v>
      </c>
      <c r="AC1008" s="1310" t="s">
        <v>1533</v>
      </c>
      <c r="AD1008" s="1310" t="s">
        <v>1606</v>
      </c>
      <c r="AE1008" s="1310" t="s">
        <v>1504</v>
      </c>
      <c r="AF1008" s="1310" t="s">
        <v>1625</v>
      </c>
    </row>
    <row r="1009" spans="1:32" x14ac:dyDescent="0.3">
      <c r="A1009" s="1310" t="s">
        <v>1604</v>
      </c>
      <c r="B1009" s="1310" t="s">
        <v>1561</v>
      </c>
      <c r="C1009" s="1310" t="s">
        <v>265</v>
      </c>
      <c r="D1009" s="1310" t="s">
        <v>1521</v>
      </c>
      <c r="E1009" s="1310" t="s">
        <v>120</v>
      </c>
      <c r="F1009" s="1310" t="s">
        <v>1612</v>
      </c>
      <c r="G1009" s="1310" t="s">
        <v>1532</v>
      </c>
      <c r="H1009" s="1310" t="s">
        <v>1529</v>
      </c>
      <c r="I1009" s="1310" t="s">
        <v>1580</v>
      </c>
      <c r="J1009" s="1310" t="s">
        <v>1655</v>
      </c>
      <c r="K1009" s="1310" t="s">
        <v>1640</v>
      </c>
      <c r="L1009" s="1310" t="s">
        <v>1517</v>
      </c>
      <c r="M1009" s="1310" t="s">
        <v>1561</v>
      </c>
      <c r="N1009" s="1310" t="s">
        <v>129</v>
      </c>
      <c r="O1009" s="1310" t="s">
        <v>1610</v>
      </c>
      <c r="P1009" s="1310" t="s">
        <v>1566</v>
      </c>
      <c r="Q1009" s="1310" t="s">
        <v>1030</v>
      </c>
      <c r="R1009" s="1310" t="s">
        <v>1529</v>
      </c>
      <c r="S1009" s="1310" t="s">
        <v>1488</v>
      </c>
      <c r="T1009" s="1310" t="s">
        <v>1639</v>
      </c>
      <c r="U1009" s="1310" t="s">
        <v>1631</v>
      </c>
      <c r="V1009" s="1310" t="s">
        <v>120</v>
      </c>
      <c r="W1009" s="1310" t="s">
        <v>1583</v>
      </c>
      <c r="X1009" s="1310" t="s">
        <v>1634</v>
      </c>
      <c r="Y1009" s="1310" t="s">
        <v>1554</v>
      </c>
      <c r="Z1009" s="1310" t="s">
        <v>1553</v>
      </c>
      <c r="AA1009" s="1310" t="s">
        <v>1484</v>
      </c>
      <c r="AB1009" s="1310" t="s">
        <v>123</v>
      </c>
      <c r="AC1009" s="1310" t="s">
        <v>1523</v>
      </c>
      <c r="AD1009" s="1310" t="s">
        <v>1550</v>
      </c>
      <c r="AE1009" s="1310" t="s">
        <v>1457</v>
      </c>
      <c r="AF1009" s="1310" t="s">
        <v>1633</v>
      </c>
    </row>
    <row r="1010" spans="1:32" x14ac:dyDescent="0.3">
      <c r="A1010" s="1310" t="s">
        <v>1504</v>
      </c>
      <c r="B1010" s="1310" t="s">
        <v>1458</v>
      </c>
      <c r="C1010" s="1310" t="s">
        <v>1590</v>
      </c>
      <c r="D1010" s="1310" t="s">
        <v>1638</v>
      </c>
      <c r="E1010" s="1310" t="s">
        <v>1444</v>
      </c>
      <c r="F1010" s="1310" t="s">
        <v>1590</v>
      </c>
      <c r="G1010" s="1310" t="s">
        <v>1458</v>
      </c>
      <c r="H1010" s="1310" t="s">
        <v>1502</v>
      </c>
      <c r="I1010" s="1310" t="s">
        <v>1622</v>
      </c>
      <c r="J1010" s="1310" t="s">
        <v>1465</v>
      </c>
      <c r="K1010" s="1310" t="s">
        <v>132</v>
      </c>
      <c r="L1010" s="1310" t="s">
        <v>1443</v>
      </c>
      <c r="M1010" s="1310" t="s">
        <v>1450</v>
      </c>
      <c r="N1010" s="1310" t="s">
        <v>1605</v>
      </c>
      <c r="O1010" s="1310" t="s">
        <v>1447</v>
      </c>
      <c r="P1010" s="1310" t="s">
        <v>1594</v>
      </c>
      <c r="Q1010" s="1310" t="s">
        <v>1483</v>
      </c>
      <c r="R1010" s="1310" t="s">
        <v>1561</v>
      </c>
      <c r="S1010" s="1310" t="s">
        <v>1598</v>
      </c>
      <c r="T1010" s="1310" t="s">
        <v>1586</v>
      </c>
      <c r="U1010" s="1310" t="s">
        <v>1519</v>
      </c>
      <c r="V1010" s="1310" t="s">
        <v>132</v>
      </c>
      <c r="W1010" s="1310" t="s">
        <v>266</v>
      </c>
      <c r="X1010" s="1310" t="s">
        <v>1551</v>
      </c>
      <c r="Y1010" s="1310" t="s">
        <v>1602</v>
      </c>
      <c r="Z1010" s="1310" t="s">
        <v>1556</v>
      </c>
      <c r="AA1010" s="1310" t="s">
        <v>133</v>
      </c>
      <c r="AB1010" s="1310" t="s">
        <v>1641</v>
      </c>
      <c r="AC1010" s="1310" t="s">
        <v>1604</v>
      </c>
      <c r="AD1010" s="1310" t="s">
        <v>1552</v>
      </c>
      <c r="AE1010" s="1310" t="s">
        <v>1444</v>
      </c>
      <c r="AF1010" s="1310" t="s">
        <v>1483</v>
      </c>
    </row>
    <row r="1011" spans="1:32" x14ac:dyDescent="0.3">
      <c r="A1011" s="1310" t="s">
        <v>1557</v>
      </c>
      <c r="B1011" s="1310" t="s">
        <v>1487</v>
      </c>
      <c r="C1011" s="1310" t="s">
        <v>1617</v>
      </c>
      <c r="D1011" s="1310" t="s">
        <v>1648</v>
      </c>
      <c r="E1011" s="1310" t="s">
        <v>1578</v>
      </c>
      <c r="F1011" s="1310" t="s">
        <v>1544</v>
      </c>
      <c r="G1011" s="1310" t="s">
        <v>1620</v>
      </c>
      <c r="H1011" s="1310" t="s">
        <v>1641</v>
      </c>
      <c r="I1011" s="1310" t="s">
        <v>1617</v>
      </c>
      <c r="J1011" s="1310" t="s">
        <v>1612</v>
      </c>
      <c r="K1011" s="1310" t="s">
        <v>1536</v>
      </c>
      <c r="L1011" s="1310" t="s">
        <v>122</v>
      </c>
      <c r="M1011" s="1310" t="s">
        <v>120</v>
      </c>
      <c r="N1011" s="1310" t="s">
        <v>1596</v>
      </c>
      <c r="O1011" s="1310" t="s">
        <v>1454</v>
      </c>
      <c r="P1011" s="1310" t="s">
        <v>1476</v>
      </c>
      <c r="Q1011" s="1310" t="s">
        <v>1555</v>
      </c>
      <c r="R1011" s="1310" t="s">
        <v>1485</v>
      </c>
      <c r="S1011" s="1310" t="s">
        <v>1656</v>
      </c>
      <c r="T1011" s="1310" t="s">
        <v>1523</v>
      </c>
      <c r="U1011" s="1310" t="s">
        <v>1659</v>
      </c>
      <c r="V1011" s="1310" t="s">
        <v>1659</v>
      </c>
      <c r="W1011" s="1310" t="s">
        <v>1446</v>
      </c>
      <c r="X1011" s="1310" t="s">
        <v>1454</v>
      </c>
      <c r="Y1011" s="1310" t="s">
        <v>1528</v>
      </c>
      <c r="Z1011" s="1310" t="s">
        <v>1587</v>
      </c>
      <c r="AA1011" s="1310" t="s">
        <v>1581</v>
      </c>
      <c r="AB1011" s="1310" t="s">
        <v>1446</v>
      </c>
      <c r="AC1011" s="1310" t="s">
        <v>1540</v>
      </c>
      <c r="AD1011" s="1310" t="s">
        <v>268</v>
      </c>
      <c r="AE1011" s="1310" t="s">
        <v>1646</v>
      </c>
      <c r="AF1011" s="1310" t="s">
        <v>1560</v>
      </c>
    </row>
    <row r="1012" spans="1:32" x14ac:dyDescent="0.3">
      <c r="A1012" s="1310" t="s">
        <v>1556</v>
      </c>
      <c r="B1012" s="1310" t="s">
        <v>1619</v>
      </c>
      <c r="C1012" s="1310" t="s">
        <v>1556</v>
      </c>
      <c r="D1012" s="1310" t="s">
        <v>1527</v>
      </c>
      <c r="E1012" s="1310" t="s">
        <v>116</v>
      </c>
      <c r="F1012" s="1310" t="s">
        <v>116</v>
      </c>
      <c r="G1012" s="1310" t="s">
        <v>1495</v>
      </c>
      <c r="H1012" s="1310" t="s">
        <v>1499</v>
      </c>
      <c r="I1012" s="1310" t="s">
        <v>1627</v>
      </c>
      <c r="J1012" s="1310" t="s">
        <v>1448</v>
      </c>
      <c r="K1012" s="1310" t="s">
        <v>1550</v>
      </c>
      <c r="L1012" s="1310" t="s">
        <v>1551</v>
      </c>
      <c r="M1012" s="1310" t="s">
        <v>1471</v>
      </c>
      <c r="N1012" s="1310" t="s">
        <v>1559</v>
      </c>
      <c r="O1012" s="1310" t="s">
        <v>1627</v>
      </c>
      <c r="P1012" s="1310" t="s">
        <v>1507</v>
      </c>
      <c r="Q1012" s="1310" t="s">
        <v>133</v>
      </c>
      <c r="R1012" s="1310" t="s">
        <v>127</v>
      </c>
      <c r="S1012" s="1310" t="s">
        <v>1642</v>
      </c>
      <c r="T1012" s="1310" t="s">
        <v>1563</v>
      </c>
      <c r="U1012" s="1310" t="s">
        <v>1496</v>
      </c>
      <c r="V1012" s="1310" t="s">
        <v>1636</v>
      </c>
      <c r="W1012" s="1310" t="s">
        <v>1565</v>
      </c>
      <c r="X1012" s="1310" t="s">
        <v>1472</v>
      </c>
      <c r="Y1012" s="1310" t="s">
        <v>1503</v>
      </c>
      <c r="Z1012" s="1310" t="s">
        <v>1510</v>
      </c>
      <c r="AA1012" s="1310" t="s">
        <v>1535</v>
      </c>
      <c r="AB1012" s="1310" t="s">
        <v>1468</v>
      </c>
      <c r="AC1012" s="1310" t="s">
        <v>124</v>
      </c>
      <c r="AD1012" s="1310" t="s">
        <v>132</v>
      </c>
      <c r="AE1012" s="1310" t="s">
        <v>1544</v>
      </c>
      <c r="AF1012" s="1310" t="s">
        <v>262</v>
      </c>
    </row>
    <row r="1013" spans="1:32" x14ac:dyDescent="0.3">
      <c r="A1013" s="1310" t="s">
        <v>1526</v>
      </c>
      <c r="B1013" s="1310" t="s">
        <v>1468</v>
      </c>
      <c r="C1013" s="1310" t="s">
        <v>1587</v>
      </c>
      <c r="D1013" s="1310" t="s">
        <v>131</v>
      </c>
      <c r="E1013" s="1310" t="s">
        <v>1516</v>
      </c>
      <c r="F1013" s="1310" t="s">
        <v>1648</v>
      </c>
      <c r="G1013" s="1310" t="s">
        <v>1488</v>
      </c>
      <c r="H1013" s="1310" t="s">
        <v>1491</v>
      </c>
      <c r="I1013" s="1310" t="s">
        <v>1509</v>
      </c>
      <c r="J1013" s="1310" t="s">
        <v>1595</v>
      </c>
      <c r="K1013" s="1310" t="s">
        <v>119</v>
      </c>
      <c r="L1013" s="1310" t="s">
        <v>1607</v>
      </c>
      <c r="M1013" s="1310" t="s">
        <v>1027</v>
      </c>
      <c r="N1013" s="1310" t="s">
        <v>1457</v>
      </c>
      <c r="O1013" s="1310" t="s">
        <v>1558</v>
      </c>
      <c r="P1013" s="1310" t="s">
        <v>1503</v>
      </c>
      <c r="Q1013" s="1310" t="s">
        <v>115</v>
      </c>
      <c r="R1013" s="1310" t="s">
        <v>1557</v>
      </c>
      <c r="S1013" s="1310" t="s">
        <v>1547</v>
      </c>
      <c r="T1013" s="1310" t="s">
        <v>1591</v>
      </c>
      <c r="U1013" s="1310" t="s">
        <v>1524</v>
      </c>
      <c r="V1013" s="1310" t="s">
        <v>1642</v>
      </c>
      <c r="W1013" s="1310" t="s">
        <v>1546</v>
      </c>
      <c r="X1013" s="1310" t="s">
        <v>1609</v>
      </c>
      <c r="Y1013" s="1310" t="s">
        <v>122</v>
      </c>
      <c r="Z1013" s="1310" t="s">
        <v>1616</v>
      </c>
      <c r="AA1013" s="1310" t="s">
        <v>1483</v>
      </c>
      <c r="AB1013" s="1310" t="s">
        <v>1483</v>
      </c>
      <c r="AC1013" s="1310" t="s">
        <v>1622</v>
      </c>
      <c r="AD1013" s="1310" t="s">
        <v>1643</v>
      </c>
      <c r="AE1013" s="1310" t="s">
        <v>1598</v>
      </c>
      <c r="AF1013" s="1310" t="s">
        <v>1575</v>
      </c>
    </row>
    <row r="1014" spans="1:32" x14ac:dyDescent="0.3">
      <c r="A1014" s="1310" t="s">
        <v>1453</v>
      </c>
      <c r="B1014" s="1310" t="s">
        <v>6</v>
      </c>
      <c r="C1014" s="1310" t="s">
        <v>1604</v>
      </c>
      <c r="D1014" s="1310" t="s">
        <v>1448</v>
      </c>
      <c r="E1014" s="1310" t="s">
        <v>1486</v>
      </c>
      <c r="F1014" s="1310" t="s">
        <v>1649</v>
      </c>
      <c r="G1014" s="1310" t="s">
        <v>1589</v>
      </c>
      <c r="H1014" s="1310" t="s">
        <v>1637</v>
      </c>
      <c r="I1014" s="1310" t="s">
        <v>1500</v>
      </c>
      <c r="J1014" s="1310" t="s">
        <v>1539</v>
      </c>
      <c r="K1014" s="1310" t="s">
        <v>1617</v>
      </c>
      <c r="L1014" s="1310" t="s">
        <v>1471</v>
      </c>
      <c r="M1014" s="1310" t="s">
        <v>1590</v>
      </c>
      <c r="N1014" s="1310" t="s">
        <v>269</v>
      </c>
      <c r="O1014" s="1310" t="s">
        <v>1620</v>
      </c>
      <c r="P1014" s="1310" t="s">
        <v>1503</v>
      </c>
      <c r="Q1014" s="1310" t="s">
        <v>1643</v>
      </c>
      <c r="R1014" s="1310" t="s">
        <v>1621</v>
      </c>
      <c r="S1014" s="1310" t="s">
        <v>1444</v>
      </c>
      <c r="T1014" s="1310" t="s">
        <v>1496</v>
      </c>
      <c r="U1014" s="1310" t="s">
        <v>130</v>
      </c>
      <c r="V1014" s="1310" t="s">
        <v>1519</v>
      </c>
      <c r="W1014" s="1310" t="s">
        <v>6</v>
      </c>
      <c r="X1014" s="1310" t="s">
        <v>1460</v>
      </c>
      <c r="Y1014" s="1310" t="s">
        <v>1577</v>
      </c>
      <c r="Z1014" s="1310" t="s">
        <v>1590</v>
      </c>
      <c r="AA1014" s="1310" t="s">
        <v>1641</v>
      </c>
      <c r="AB1014" s="1310" t="s">
        <v>121</v>
      </c>
      <c r="AC1014" s="1310" t="s">
        <v>1551</v>
      </c>
      <c r="AD1014" s="1310" t="s">
        <v>1603</v>
      </c>
      <c r="AE1014" s="1310" t="s">
        <v>1567</v>
      </c>
      <c r="AF1014" s="1310" t="s">
        <v>1621</v>
      </c>
    </row>
    <row r="1015" spans="1:32" x14ac:dyDescent="0.3">
      <c r="A1015" s="1310" t="s">
        <v>1610</v>
      </c>
      <c r="B1015" s="1310" t="s">
        <v>1470</v>
      </c>
      <c r="C1015" s="1310" t="s">
        <v>1468</v>
      </c>
      <c r="D1015" s="1310" t="s">
        <v>1656</v>
      </c>
      <c r="E1015" s="1310" t="s">
        <v>1443</v>
      </c>
      <c r="F1015" s="1310" t="s">
        <v>1450</v>
      </c>
      <c r="G1015" s="1310" t="s">
        <v>1636</v>
      </c>
      <c r="H1015" s="1310" t="s">
        <v>1451</v>
      </c>
      <c r="I1015" s="1310" t="s">
        <v>1595</v>
      </c>
      <c r="J1015" s="1310" t="s">
        <v>1532</v>
      </c>
      <c r="K1015" s="1310" t="s">
        <v>1443</v>
      </c>
      <c r="L1015" s="1310" t="s">
        <v>1450</v>
      </c>
      <c r="M1015" s="1310" t="s">
        <v>262</v>
      </c>
      <c r="N1015" s="1310" t="s">
        <v>1505</v>
      </c>
      <c r="O1015" s="1310" t="s">
        <v>1602</v>
      </c>
      <c r="P1015" s="1310" t="s">
        <v>1577</v>
      </c>
      <c r="Q1015" s="1310" t="s">
        <v>1592</v>
      </c>
      <c r="R1015" s="1310" t="s">
        <v>115</v>
      </c>
      <c r="S1015" s="1310" t="s">
        <v>1607</v>
      </c>
      <c r="T1015" s="1310" t="s">
        <v>1470</v>
      </c>
      <c r="U1015" s="1310" t="s">
        <v>1443</v>
      </c>
      <c r="V1015" s="1310" t="s">
        <v>1450</v>
      </c>
      <c r="W1015" s="1310" t="s">
        <v>1445</v>
      </c>
      <c r="X1015" s="1310" t="s">
        <v>1590</v>
      </c>
      <c r="Y1015" s="1310" t="s">
        <v>1468</v>
      </c>
      <c r="Z1015" s="1310" t="s">
        <v>1475</v>
      </c>
      <c r="AA1015" s="1310" t="s">
        <v>127</v>
      </c>
      <c r="AB1015" s="1310" t="s">
        <v>1443</v>
      </c>
      <c r="AC1015" s="1310" t="s">
        <v>1450</v>
      </c>
      <c r="AD1015" s="1310" t="s">
        <v>1464</v>
      </c>
      <c r="AE1015" s="1310" t="s">
        <v>1563</v>
      </c>
      <c r="AF1015" s="1310" t="s">
        <v>1636</v>
      </c>
    </row>
    <row r="1016" spans="1:32" x14ac:dyDescent="0.3">
      <c r="A1016" s="1310" t="s">
        <v>1649</v>
      </c>
      <c r="B1016" s="1310" t="s">
        <v>1551</v>
      </c>
      <c r="C1016" s="1310" t="s">
        <v>1610</v>
      </c>
      <c r="D1016" s="1310" t="s">
        <v>1636</v>
      </c>
      <c r="E1016" s="1310" t="s">
        <v>1648</v>
      </c>
      <c r="F1016" s="1310" t="s">
        <v>1636</v>
      </c>
      <c r="G1016" s="1310" t="s">
        <v>133</v>
      </c>
      <c r="H1016" s="1310" t="s">
        <v>1641</v>
      </c>
      <c r="I1016" s="1310" t="s">
        <v>1575</v>
      </c>
      <c r="J1016" s="1310" t="s">
        <v>1498</v>
      </c>
      <c r="K1016" s="1310" t="s">
        <v>1623</v>
      </c>
      <c r="L1016" s="1310" t="s">
        <v>1611</v>
      </c>
      <c r="M1016" s="1310" t="s">
        <v>1622</v>
      </c>
      <c r="N1016" s="1310" t="s">
        <v>1522</v>
      </c>
      <c r="O1016" s="1310" t="s">
        <v>128</v>
      </c>
      <c r="P1016" s="1310" t="s">
        <v>1640</v>
      </c>
      <c r="Q1016" s="1310" t="s">
        <v>1517</v>
      </c>
      <c r="R1016" s="1310" t="s">
        <v>132</v>
      </c>
      <c r="S1016" s="1310" t="s">
        <v>1508</v>
      </c>
      <c r="T1016" s="1310" t="s">
        <v>1643</v>
      </c>
      <c r="U1016" s="1310" t="s">
        <v>1463</v>
      </c>
      <c r="V1016" s="1310" t="s">
        <v>1569</v>
      </c>
      <c r="W1016" s="1310" t="s">
        <v>1537</v>
      </c>
      <c r="X1016" s="1310" t="s">
        <v>1542</v>
      </c>
      <c r="Y1016" s="1310" t="s">
        <v>1539</v>
      </c>
      <c r="Z1016" s="1310" t="s">
        <v>133</v>
      </c>
      <c r="AA1016" s="1310" t="s">
        <v>1499</v>
      </c>
      <c r="AB1016" s="1310" t="s">
        <v>1548</v>
      </c>
      <c r="AC1016" s="1310" t="s">
        <v>1596</v>
      </c>
      <c r="AD1016" s="1310" t="s">
        <v>1554</v>
      </c>
      <c r="AE1016" s="1310" t="s">
        <v>1545</v>
      </c>
      <c r="AF1016" s="1310" t="s">
        <v>1564</v>
      </c>
    </row>
    <row r="1017" spans="1:32" x14ac:dyDescent="0.3">
      <c r="A1017" s="1310" t="s">
        <v>112</v>
      </c>
      <c r="B1017" s="1310" t="s">
        <v>1485</v>
      </c>
      <c r="C1017" s="1310" t="s">
        <v>112</v>
      </c>
      <c r="D1017" s="1310" t="s">
        <v>1491</v>
      </c>
      <c r="E1017" s="1310" t="s">
        <v>1523</v>
      </c>
      <c r="F1017" s="1310" t="s">
        <v>1526</v>
      </c>
      <c r="G1017" s="1310" t="s">
        <v>1512</v>
      </c>
      <c r="H1017" s="1310" t="s">
        <v>1521</v>
      </c>
      <c r="I1017" s="1310" t="s">
        <v>1488</v>
      </c>
      <c r="J1017" s="1310" t="s">
        <v>1524</v>
      </c>
      <c r="K1017" s="1310" t="s">
        <v>6</v>
      </c>
      <c r="L1017" s="1310" t="s">
        <v>1544</v>
      </c>
      <c r="M1017" s="1310" t="s">
        <v>1616</v>
      </c>
      <c r="N1017" s="1310" t="s">
        <v>1529</v>
      </c>
      <c r="O1017" s="1310" t="s">
        <v>1521</v>
      </c>
      <c r="P1017" s="1310" t="s">
        <v>128</v>
      </c>
      <c r="Q1017" s="1310" t="s">
        <v>264</v>
      </c>
      <c r="R1017" s="1310" t="s">
        <v>1521</v>
      </c>
      <c r="S1017" s="1310" t="s">
        <v>126</v>
      </c>
      <c r="T1017" s="1310" t="s">
        <v>1030</v>
      </c>
      <c r="U1017" s="1310" t="s">
        <v>270</v>
      </c>
      <c r="V1017" s="1310" t="s">
        <v>1607</v>
      </c>
      <c r="W1017" s="1310" t="s">
        <v>1602</v>
      </c>
      <c r="X1017" s="1310" t="s">
        <v>1620</v>
      </c>
      <c r="Y1017" s="1310" t="s">
        <v>1525</v>
      </c>
      <c r="Z1017" s="1310" t="s">
        <v>117</v>
      </c>
      <c r="AA1017" s="1310" t="s">
        <v>115</v>
      </c>
      <c r="AB1017" s="1310" t="s">
        <v>1554</v>
      </c>
      <c r="AC1017" s="1310" t="s">
        <v>1554</v>
      </c>
      <c r="AD1017" s="1310" t="s">
        <v>116</v>
      </c>
      <c r="AE1017" s="1310" t="s">
        <v>1613</v>
      </c>
      <c r="AF1017" s="1310" t="s">
        <v>1557</v>
      </c>
    </row>
    <row r="1018" spans="1:32" x14ac:dyDescent="0.3">
      <c r="A1018" s="1310" t="s">
        <v>1456</v>
      </c>
      <c r="B1018" s="1310" t="s">
        <v>1629</v>
      </c>
      <c r="C1018" s="1310" t="s">
        <v>1460</v>
      </c>
      <c r="D1018" s="1310" t="s">
        <v>1581</v>
      </c>
      <c r="E1018" s="1310" t="s">
        <v>1636</v>
      </c>
      <c r="F1018" s="1310" t="s">
        <v>1479</v>
      </c>
      <c r="G1018" s="1310" t="s">
        <v>1647</v>
      </c>
      <c r="H1018" s="1310" t="s">
        <v>1649</v>
      </c>
      <c r="I1018" s="1310" t="s">
        <v>120</v>
      </c>
      <c r="J1018" s="1310" t="s">
        <v>1544</v>
      </c>
      <c r="K1018" s="1310" t="s">
        <v>465</v>
      </c>
      <c r="L1018" s="1310" t="s">
        <v>1592</v>
      </c>
      <c r="M1018" s="1310" t="s">
        <v>268</v>
      </c>
      <c r="N1018" s="1310" t="s">
        <v>1519</v>
      </c>
      <c r="O1018" s="1310" t="s">
        <v>126</v>
      </c>
      <c r="P1018" s="1310" t="s">
        <v>1583</v>
      </c>
      <c r="Q1018" s="1310" t="s">
        <v>1451</v>
      </c>
      <c r="R1018" s="1310" t="s">
        <v>1444</v>
      </c>
      <c r="S1018" s="1310" t="s">
        <v>1489</v>
      </c>
      <c r="T1018" s="1310" t="s">
        <v>1617</v>
      </c>
      <c r="U1018" s="1310" t="s">
        <v>1521</v>
      </c>
      <c r="V1018" s="1310" t="s">
        <v>1642</v>
      </c>
      <c r="W1018" s="1310" t="s">
        <v>1578</v>
      </c>
      <c r="X1018" s="1310" t="s">
        <v>1459</v>
      </c>
      <c r="Y1018" s="1310" t="s">
        <v>1627</v>
      </c>
      <c r="Z1018" s="1310" t="s">
        <v>1501</v>
      </c>
      <c r="AA1018" s="1310" t="s">
        <v>267</v>
      </c>
      <c r="AB1018" s="1310" t="s">
        <v>1647</v>
      </c>
      <c r="AC1018" s="1310" t="s">
        <v>1527</v>
      </c>
      <c r="AD1018" s="1310" t="s">
        <v>1638</v>
      </c>
      <c r="AE1018" s="1310" t="s">
        <v>1581</v>
      </c>
      <c r="AF1018" s="1310" t="s">
        <v>1566</v>
      </c>
    </row>
    <row r="1019" spans="1:32" x14ac:dyDescent="0.3">
      <c r="A1019" s="1310" t="s">
        <v>1546</v>
      </c>
      <c r="B1019" s="1310" t="s">
        <v>1492</v>
      </c>
      <c r="C1019" s="1310" t="s">
        <v>1639</v>
      </c>
      <c r="D1019" s="1310" t="s">
        <v>1530</v>
      </c>
      <c r="E1019" s="1310" t="s">
        <v>131</v>
      </c>
      <c r="F1019" s="1310" t="s">
        <v>1637</v>
      </c>
      <c r="G1019" s="1310" t="s">
        <v>1648</v>
      </c>
      <c r="H1019" s="1310" t="s">
        <v>130</v>
      </c>
      <c r="I1019" s="1310" t="s">
        <v>1587</v>
      </c>
      <c r="J1019" s="1310" t="s">
        <v>1557</v>
      </c>
      <c r="K1019" s="1310" t="s">
        <v>1611</v>
      </c>
      <c r="L1019" s="1310" t="s">
        <v>1520</v>
      </c>
      <c r="M1019" s="1310" t="s">
        <v>1521</v>
      </c>
      <c r="N1019" s="1310" t="s">
        <v>1487</v>
      </c>
      <c r="O1019" s="1310" t="s">
        <v>1445</v>
      </c>
      <c r="P1019" s="1310" t="s">
        <v>270</v>
      </c>
      <c r="Q1019" s="1310" t="s">
        <v>1456</v>
      </c>
      <c r="R1019" s="1310" t="s">
        <v>1602</v>
      </c>
      <c r="S1019" s="1310" t="s">
        <v>270</v>
      </c>
      <c r="T1019" s="1310" t="s">
        <v>111</v>
      </c>
      <c r="U1019" s="1310" t="s">
        <v>1526</v>
      </c>
      <c r="V1019" s="1310" t="s">
        <v>1633</v>
      </c>
      <c r="W1019" s="1310" t="s">
        <v>1471</v>
      </c>
      <c r="X1019" s="1310" t="s">
        <v>1582</v>
      </c>
      <c r="Y1019" s="1310" t="s">
        <v>1549</v>
      </c>
      <c r="Z1019" s="1310" t="s">
        <v>1652</v>
      </c>
      <c r="AA1019" s="1310" t="s">
        <v>1468</v>
      </c>
      <c r="AB1019" s="1310" t="s">
        <v>1608</v>
      </c>
      <c r="AC1019" s="1310" t="s">
        <v>111</v>
      </c>
      <c r="AD1019" s="1310" t="s">
        <v>1481</v>
      </c>
      <c r="AE1019" s="1310" t="s">
        <v>1612</v>
      </c>
      <c r="AF1019" s="1310" t="s">
        <v>1456</v>
      </c>
    </row>
    <row r="1020" spans="1:32" x14ac:dyDescent="0.3">
      <c r="A1020" s="1310" t="s">
        <v>1571</v>
      </c>
      <c r="B1020" s="1310" t="s">
        <v>1590</v>
      </c>
      <c r="C1020" s="1310" t="s">
        <v>1650</v>
      </c>
      <c r="D1020" s="1310" t="s">
        <v>131</v>
      </c>
      <c r="E1020" s="1310" t="s">
        <v>1576</v>
      </c>
      <c r="F1020" s="1310" t="s">
        <v>1577</v>
      </c>
      <c r="G1020" s="1310" t="s">
        <v>1568</v>
      </c>
      <c r="H1020" s="1310" t="s">
        <v>1586</v>
      </c>
      <c r="I1020" s="1310" t="s">
        <v>125</v>
      </c>
      <c r="J1020" s="1310" t="s">
        <v>1638</v>
      </c>
      <c r="K1020" s="1310" t="s">
        <v>1531</v>
      </c>
      <c r="L1020" s="1310" t="s">
        <v>1502</v>
      </c>
      <c r="M1020" s="1310" t="s">
        <v>1541</v>
      </c>
      <c r="N1020" s="1310" t="s">
        <v>1506</v>
      </c>
      <c r="O1020" s="1310" t="s">
        <v>130</v>
      </c>
      <c r="P1020" s="1310" t="s">
        <v>1524</v>
      </c>
      <c r="Q1020" s="1310" t="s">
        <v>1582</v>
      </c>
      <c r="R1020" s="1310" t="s">
        <v>1456</v>
      </c>
      <c r="S1020" s="1310" t="s">
        <v>1614</v>
      </c>
      <c r="T1020" s="1310" t="s">
        <v>1642</v>
      </c>
      <c r="U1020" s="1310" t="s">
        <v>471</v>
      </c>
      <c r="V1020" s="1310" t="s">
        <v>1537</v>
      </c>
      <c r="W1020" s="1310" t="s">
        <v>1577</v>
      </c>
      <c r="X1020" s="1310" t="s">
        <v>1513</v>
      </c>
      <c r="Y1020" s="1310" t="s">
        <v>1503</v>
      </c>
      <c r="Z1020" s="1310" t="s">
        <v>1631</v>
      </c>
      <c r="AA1020" s="1310" t="s">
        <v>1660</v>
      </c>
      <c r="AB1020" s="1310" t="s">
        <v>1479</v>
      </c>
      <c r="AC1020" s="1310" t="s">
        <v>111</v>
      </c>
      <c r="AD1020" s="1310" t="s">
        <v>1582</v>
      </c>
      <c r="AE1020" s="1310" t="s">
        <v>1498</v>
      </c>
      <c r="AF1020" s="1310" t="s">
        <v>1660</v>
      </c>
    </row>
    <row r="1021" spans="1:32" x14ac:dyDescent="0.3">
      <c r="A1021" s="1310" t="s">
        <v>120</v>
      </c>
      <c r="B1021" s="1310" t="s">
        <v>1496</v>
      </c>
      <c r="C1021" s="1310" t="s">
        <v>1657</v>
      </c>
      <c r="D1021" s="1310" t="s">
        <v>1456</v>
      </c>
      <c r="E1021" s="1310" t="s">
        <v>1572</v>
      </c>
      <c r="F1021" s="1310" t="s">
        <v>1458</v>
      </c>
      <c r="G1021" s="1310" t="s">
        <v>1030</v>
      </c>
      <c r="H1021" s="1310" t="s">
        <v>1631</v>
      </c>
      <c r="I1021" s="1310" t="s">
        <v>1599</v>
      </c>
      <c r="J1021" s="1310" t="s">
        <v>1656</v>
      </c>
      <c r="K1021" s="1310" t="s">
        <v>1516</v>
      </c>
      <c r="L1021" s="1310" t="s">
        <v>1616</v>
      </c>
      <c r="M1021" s="1310" t="s">
        <v>1585</v>
      </c>
      <c r="N1021" s="1310" t="s">
        <v>1490</v>
      </c>
      <c r="O1021" s="1310" t="s">
        <v>1613</v>
      </c>
      <c r="P1021" s="1310" t="s">
        <v>1572</v>
      </c>
      <c r="Q1021" s="1310" t="s">
        <v>1545</v>
      </c>
      <c r="R1021" s="1310" t="s">
        <v>1540</v>
      </c>
      <c r="S1021" s="1310" t="s">
        <v>1635</v>
      </c>
      <c r="T1021" s="1310" t="s">
        <v>1511</v>
      </c>
      <c r="U1021" s="1310" t="s">
        <v>1448</v>
      </c>
      <c r="V1021" s="1310" t="s">
        <v>1516</v>
      </c>
      <c r="W1021" s="1310" t="s">
        <v>1619</v>
      </c>
      <c r="X1021" s="1310" t="s">
        <v>1482</v>
      </c>
      <c r="Y1021" s="1310" t="s">
        <v>1643</v>
      </c>
      <c r="Z1021" s="1310" t="s">
        <v>1539</v>
      </c>
      <c r="AA1021" s="1310" t="s">
        <v>110</v>
      </c>
      <c r="AB1021" s="1310" t="s">
        <v>1628</v>
      </c>
      <c r="AC1021" s="1310" t="s">
        <v>124</v>
      </c>
      <c r="AD1021" s="1310" t="s">
        <v>1598</v>
      </c>
      <c r="AE1021" s="1310" t="s">
        <v>132</v>
      </c>
      <c r="AF1021" s="1310" t="s">
        <v>1483</v>
      </c>
    </row>
    <row r="1022" spans="1:32" x14ac:dyDescent="0.3">
      <c r="A1022" s="1310" t="s">
        <v>1464</v>
      </c>
      <c r="B1022" s="1310" t="s">
        <v>1508</v>
      </c>
      <c r="C1022" s="1310" t="s">
        <v>1607</v>
      </c>
      <c r="D1022" s="1310" t="s">
        <v>1638</v>
      </c>
      <c r="E1022" s="1310" t="s">
        <v>1494</v>
      </c>
      <c r="F1022" s="1310" t="s">
        <v>1487</v>
      </c>
      <c r="G1022" s="1310" t="s">
        <v>1639</v>
      </c>
      <c r="H1022" s="1310" t="s">
        <v>1652</v>
      </c>
      <c r="I1022" s="1310" t="s">
        <v>1571</v>
      </c>
      <c r="J1022" s="1310" t="s">
        <v>1523</v>
      </c>
      <c r="K1022" s="1310" t="s">
        <v>1618</v>
      </c>
      <c r="L1022" s="1310" t="s">
        <v>1561</v>
      </c>
      <c r="M1022" s="1310" t="s">
        <v>1614</v>
      </c>
      <c r="N1022" s="1310" t="s">
        <v>1504</v>
      </c>
      <c r="O1022" s="1310" t="s">
        <v>1491</v>
      </c>
      <c r="P1022" s="1310" t="s">
        <v>1479</v>
      </c>
      <c r="Q1022" s="1310" t="s">
        <v>1631</v>
      </c>
      <c r="R1022" s="1310" t="s">
        <v>115</v>
      </c>
      <c r="S1022" s="1310" t="s">
        <v>1459</v>
      </c>
      <c r="T1022" s="1310" t="s">
        <v>1622</v>
      </c>
      <c r="U1022" s="1310" t="s">
        <v>1475</v>
      </c>
      <c r="V1022" s="1310" t="s">
        <v>128</v>
      </c>
      <c r="W1022" s="1310" t="s">
        <v>1617</v>
      </c>
      <c r="X1022" s="1310" t="s">
        <v>114</v>
      </c>
      <c r="Y1022" s="1310" t="s">
        <v>1593</v>
      </c>
      <c r="Z1022" s="1310" t="s">
        <v>1542</v>
      </c>
      <c r="AA1022" s="1310" t="s">
        <v>131</v>
      </c>
      <c r="AB1022" s="1310" t="s">
        <v>1546</v>
      </c>
      <c r="AC1022" s="1310" t="s">
        <v>1616</v>
      </c>
      <c r="AD1022" s="1310" t="s">
        <v>1586</v>
      </c>
      <c r="AE1022" s="1310" t="s">
        <v>1645</v>
      </c>
      <c r="AF1022" s="1310" t="s">
        <v>1515</v>
      </c>
    </row>
    <row r="1023" spans="1:32" x14ac:dyDescent="0.3">
      <c r="A1023" s="1310" t="s">
        <v>1461</v>
      </c>
      <c r="B1023" s="1310" t="s">
        <v>1549</v>
      </c>
      <c r="C1023" s="1310" t="s">
        <v>1584</v>
      </c>
      <c r="D1023" s="1310" t="s">
        <v>1525</v>
      </c>
      <c r="E1023" s="1310" t="s">
        <v>123</v>
      </c>
      <c r="F1023" s="1310" t="s">
        <v>110</v>
      </c>
      <c r="G1023" s="1310" t="s">
        <v>1456</v>
      </c>
      <c r="H1023" s="1310" t="s">
        <v>1473</v>
      </c>
      <c r="I1023" s="1310" t="s">
        <v>1653</v>
      </c>
      <c r="J1023" s="1310" t="s">
        <v>1646</v>
      </c>
      <c r="K1023" s="1310" t="s">
        <v>1642</v>
      </c>
      <c r="L1023" s="1310" t="s">
        <v>1461</v>
      </c>
      <c r="M1023" s="1310" t="s">
        <v>1600</v>
      </c>
      <c r="N1023" s="1310" t="s">
        <v>1509</v>
      </c>
      <c r="O1023" s="1310" t="s">
        <v>1467</v>
      </c>
      <c r="P1023" s="1310" t="s">
        <v>268</v>
      </c>
      <c r="Q1023" s="1310" t="s">
        <v>1532</v>
      </c>
      <c r="R1023" s="1310" t="s">
        <v>1650</v>
      </c>
      <c r="S1023" s="1310" t="s">
        <v>1618</v>
      </c>
      <c r="T1023" s="1310" t="s">
        <v>1658</v>
      </c>
      <c r="U1023" s="1310" t="s">
        <v>1448</v>
      </c>
      <c r="V1023" s="1310" t="s">
        <v>119</v>
      </c>
      <c r="W1023" s="1310" t="s">
        <v>1624</v>
      </c>
      <c r="X1023" s="1310" t="s">
        <v>1471</v>
      </c>
      <c r="Y1023" s="1310" t="s">
        <v>1449</v>
      </c>
      <c r="Z1023" s="1310" t="s">
        <v>1493</v>
      </c>
      <c r="AA1023" s="1310" t="s">
        <v>1495</v>
      </c>
      <c r="AB1023" s="1310" t="s">
        <v>1551</v>
      </c>
      <c r="AC1023" s="1310" t="s">
        <v>1609</v>
      </c>
      <c r="AD1023" s="1310" t="s">
        <v>1458</v>
      </c>
      <c r="AE1023" s="1310" t="s">
        <v>1576</v>
      </c>
      <c r="AF1023" s="1310" t="s">
        <v>1501</v>
      </c>
    </row>
    <row r="1024" spans="1:32" x14ac:dyDescent="0.3">
      <c r="A1024" s="1310" t="s">
        <v>1477</v>
      </c>
      <c r="B1024" s="1310" t="s">
        <v>1598</v>
      </c>
      <c r="C1024" s="1310" t="s">
        <v>131</v>
      </c>
      <c r="D1024" s="1310" t="s">
        <v>1583</v>
      </c>
      <c r="E1024" s="1310" t="s">
        <v>1513</v>
      </c>
      <c r="F1024" s="1310" t="s">
        <v>1453</v>
      </c>
      <c r="G1024" s="1310" t="s">
        <v>1650</v>
      </c>
      <c r="H1024" s="1310" t="s">
        <v>1523</v>
      </c>
      <c r="I1024" s="1310" t="s">
        <v>1619</v>
      </c>
      <c r="J1024" s="1310" t="s">
        <v>1030</v>
      </c>
      <c r="K1024" s="1310" t="s">
        <v>1537</v>
      </c>
      <c r="L1024" s="1310" t="s">
        <v>1644</v>
      </c>
      <c r="M1024" s="1310" t="s">
        <v>131</v>
      </c>
      <c r="N1024" s="1310" t="s">
        <v>1521</v>
      </c>
      <c r="O1024" s="1310" t="s">
        <v>1559</v>
      </c>
      <c r="P1024" s="1310" t="s">
        <v>126</v>
      </c>
      <c r="Q1024" s="1310" t="s">
        <v>1607</v>
      </c>
      <c r="R1024" s="1310" t="s">
        <v>1515</v>
      </c>
      <c r="S1024" s="1310" t="s">
        <v>1502</v>
      </c>
      <c r="T1024" s="1310" t="s">
        <v>1480</v>
      </c>
      <c r="U1024" s="1310" t="s">
        <v>1460</v>
      </c>
      <c r="V1024" s="1310" t="s">
        <v>1648</v>
      </c>
      <c r="W1024" s="1310" t="s">
        <v>1624</v>
      </c>
      <c r="X1024" s="1310" t="s">
        <v>1622</v>
      </c>
      <c r="Y1024" s="1310" t="s">
        <v>1537</v>
      </c>
      <c r="Z1024" s="1310" t="s">
        <v>1511</v>
      </c>
      <c r="AA1024" s="1310" t="s">
        <v>1574</v>
      </c>
      <c r="AB1024" s="1310" t="s">
        <v>1559</v>
      </c>
      <c r="AC1024" s="1310" t="s">
        <v>1553</v>
      </c>
      <c r="AD1024" s="1310" t="s">
        <v>1522</v>
      </c>
      <c r="AE1024" s="1310" t="s">
        <v>1455</v>
      </c>
      <c r="AF1024" s="1310" t="s">
        <v>1588</v>
      </c>
    </row>
    <row r="1025" spans="1:32" x14ac:dyDescent="0.3">
      <c r="A1025" s="1310" t="s">
        <v>1561</v>
      </c>
      <c r="B1025" s="1310" t="s">
        <v>1651</v>
      </c>
      <c r="C1025" s="1310" t="s">
        <v>1524</v>
      </c>
      <c r="D1025" s="1310" t="s">
        <v>265</v>
      </c>
      <c r="E1025" s="1310" t="s">
        <v>1483</v>
      </c>
      <c r="F1025" s="1310" t="s">
        <v>1553</v>
      </c>
      <c r="G1025" s="1310" t="s">
        <v>1458</v>
      </c>
      <c r="H1025" s="1310" t="s">
        <v>1643</v>
      </c>
      <c r="I1025" s="1310" t="s">
        <v>1631</v>
      </c>
      <c r="J1025" s="1310" t="s">
        <v>1481</v>
      </c>
      <c r="K1025" s="1310" t="s">
        <v>1460</v>
      </c>
      <c r="L1025" s="1310" t="s">
        <v>1518</v>
      </c>
      <c r="M1025" s="1310" t="s">
        <v>1595</v>
      </c>
      <c r="N1025" s="1310" t="s">
        <v>1459</v>
      </c>
      <c r="O1025" s="1310" t="s">
        <v>1522</v>
      </c>
      <c r="P1025" s="1310" t="s">
        <v>1490</v>
      </c>
      <c r="Q1025" s="1310" t="s">
        <v>1651</v>
      </c>
      <c r="R1025" s="1310" t="s">
        <v>1465</v>
      </c>
      <c r="S1025" s="1310" t="s">
        <v>1631</v>
      </c>
      <c r="T1025" s="1310" t="s">
        <v>1519</v>
      </c>
      <c r="U1025" s="1310" t="s">
        <v>1445</v>
      </c>
      <c r="V1025" s="1310" t="s">
        <v>1631</v>
      </c>
      <c r="W1025" s="1310" t="s">
        <v>1511</v>
      </c>
      <c r="X1025" s="1310" t="s">
        <v>1458</v>
      </c>
      <c r="Y1025" s="1310" t="s">
        <v>119</v>
      </c>
      <c r="Z1025" s="1310" t="s">
        <v>1648</v>
      </c>
      <c r="AA1025" s="1310" t="s">
        <v>1545</v>
      </c>
      <c r="AB1025" s="1310" t="s">
        <v>1529</v>
      </c>
      <c r="AC1025" s="1310" t="s">
        <v>1466</v>
      </c>
      <c r="AD1025" s="1310" t="s">
        <v>266</v>
      </c>
      <c r="AE1025" s="1310" t="s">
        <v>1598</v>
      </c>
      <c r="AF1025" s="1310" t="s">
        <v>1481</v>
      </c>
    </row>
    <row r="1026" spans="1:32" x14ac:dyDescent="0.3">
      <c r="A1026" s="1310" t="s">
        <v>1574</v>
      </c>
      <c r="B1026" s="1310" t="s">
        <v>123</v>
      </c>
      <c r="C1026" s="1310" t="s">
        <v>1490</v>
      </c>
      <c r="D1026" s="1310" t="s">
        <v>1451</v>
      </c>
      <c r="E1026" s="1310" t="s">
        <v>1516</v>
      </c>
      <c r="F1026" s="1310" t="s">
        <v>1030</v>
      </c>
      <c r="G1026" s="1310" t="s">
        <v>1644</v>
      </c>
      <c r="H1026" s="1310" t="s">
        <v>131</v>
      </c>
      <c r="I1026" s="1310" t="s">
        <v>1528</v>
      </c>
      <c r="J1026" s="1310" t="s">
        <v>1514</v>
      </c>
      <c r="K1026" s="1310" t="s">
        <v>1643</v>
      </c>
      <c r="L1026" s="1310" t="s">
        <v>1526</v>
      </c>
      <c r="M1026" s="1310" t="s">
        <v>1555</v>
      </c>
      <c r="N1026" s="1310" t="s">
        <v>1638</v>
      </c>
      <c r="O1026" s="1310" t="s">
        <v>1561</v>
      </c>
      <c r="P1026" s="1310" t="s">
        <v>1548</v>
      </c>
      <c r="Q1026" s="1310" t="s">
        <v>1030</v>
      </c>
      <c r="R1026" s="1310" t="s">
        <v>1515</v>
      </c>
      <c r="S1026" s="1310" t="s">
        <v>1656</v>
      </c>
      <c r="T1026" s="1310" t="s">
        <v>1624</v>
      </c>
      <c r="U1026" s="1310" t="s">
        <v>1573</v>
      </c>
      <c r="V1026" s="1310" t="s">
        <v>1576</v>
      </c>
      <c r="W1026" s="1310" t="s">
        <v>1529</v>
      </c>
      <c r="X1026" s="1310" t="s">
        <v>1460</v>
      </c>
      <c r="Y1026" s="1310" t="s">
        <v>1574</v>
      </c>
      <c r="Z1026" s="1310" t="s">
        <v>1658</v>
      </c>
      <c r="AA1026" s="1310" t="s">
        <v>1460</v>
      </c>
      <c r="AB1026" s="1310" t="s">
        <v>114</v>
      </c>
      <c r="AC1026" s="1310" t="s">
        <v>1446</v>
      </c>
      <c r="AD1026" s="1310" t="s">
        <v>1624</v>
      </c>
      <c r="AE1026" s="1310" t="s">
        <v>1625</v>
      </c>
      <c r="AF1026" s="1310" t="s">
        <v>126</v>
      </c>
    </row>
    <row r="1027" spans="1:32" x14ac:dyDescent="0.3">
      <c r="A1027" s="1310" t="s">
        <v>1509</v>
      </c>
      <c r="B1027" s="1310" t="s">
        <v>121</v>
      </c>
      <c r="C1027" s="1310" t="s">
        <v>1448</v>
      </c>
      <c r="D1027" s="1310" t="s">
        <v>1529</v>
      </c>
      <c r="E1027" s="1310" t="s">
        <v>1504</v>
      </c>
      <c r="F1027" s="1310" t="s">
        <v>1484</v>
      </c>
      <c r="G1027" s="1310" t="s">
        <v>1574</v>
      </c>
      <c r="H1027" s="1310" t="s">
        <v>1493</v>
      </c>
      <c r="I1027" s="1310" t="s">
        <v>1503</v>
      </c>
      <c r="J1027" s="1310" t="s">
        <v>1462</v>
      </c>
      <c r="K1027" s="1310" t="s">
        <v>1473</v>
      </c>
      <c r="L1027" s="1310" t="s">
        <v>1514</v>
      </c>
      <c r="M1027" s="1310" t="s">
        <v>1554</v>
      </c>
      <c r="N1027" s="1310" t="s">
        <v>1444</v>
      </c>
      <c r="O1027" s="1310" t="s">
        <v>1521</v>
      </c>
      <c r="P1027" s="1310" t="s">
        <v>1528</v>
      </c>
      <c r="Q1027" s="1310" t="s">
        <v>1489</v>
      </c>
      <c r="R1027" s="1310" t="s">
        <v>1565</v>
      </c>
      <c r="S1027" s="1310" t="s">
        <v>1472</v>
      </c>
      <c r="T1027" s="1310" t="s">
        <v>1472</v>
      </c>
      <c r="U1027" s="1310" t="s">
        <v>1030</v>
      </c>
      <c r="V1027" s="1310" t="s">
        <v>1535</v>
      </c>
      <c r="W1027" s="1310" t="s">
        <v>264</v>
      </c>
      <c r="X1027" s="1310" t="s">
        <v>1604</v>
      </c>
      <c r="Y1027" s="1310" t="s">
        <v>1549</v>
      </c>
      <c r="Z1027" s="1310" t="s">
        <v>1609</v>
      </c>
      <c r="AA1027" s="1310" t="s">
        <v>1642</v>
      </c>
      <c r="AB1027" s="1310" t="s">
        <v>1638</v>
      </c>
      <c r="AC1027" s="1310" t="s">
        <v>1485</v>
      </c>
      <c r="AD1027" s="1310" t="s">
        <v>1516</v>
      </c>
      <c r="AE1027" s="1310" t="s">
        <v>1489</v>
      </c>
      <c r="AF1027" s="1310" t="s">
        <v>1643</v>
      </c>
    </row>
    <row r="1028" spans="1:32" x14ac:dyDescent="0.3">
      <c r="A1028" s="1310" t="s">
        <v>267</v>
      </c>
      <c r="B1028" s="1310" t="s">
        <v>1483</v>
      </c>
      <c r="C1028" s="1310" t="s">
        <v>1592</v>
      </c>
      <c r="D1028" s="1310" t="s">
        <v>1500</v>
      </c>
      <c r="E1028" s="1310" t="s">
        <v>1527</v>
      </c>
      <c r="F1028" s="1310" t="s">
        <v>1636</v>
      </c>
      <c r="G1028" s="1310" t="s">
        <v>131</v>
      </c>
      <c r="H1028" s="1310" t="s">
        <v>113</v>
      </c>
      <c r="I1028" s="1310" t="s">
        <v>1614</v>
      </c>
      <c r="J1028" s="1310" t="s">
        <v>1529</v>
      </c>
      <c r="K1028" s="1310" t="s">
        <v>1480</v>
      </c>
      <c r="L1028" s="1310" t="s">
        <v>1532</v>
      </c>
      <c r="M1028" s="1310" t="s">
        <v>1462</v>
      </c>
      <c r="N1028" s="1310" t="s">
        <v>1555</v>
      </c>
      <c r="O1028" s="1310" t="s">
        <v>1620</v>
      </c>
      <c r="P1028" s="1310" t="s">
        <v>1592</v>
      </c>
      <c r="Q1028" s="1310" t="s">
        <v>1451</v>
      </c>
      <c r="R1028" s="1310" t="s">
        <v>1569</v>
      </c>
      <c r="S1028" s="1310" t="s">
        <v>1453</v>
      </c>
      <c r="T1028" s="1310" t="s">
        <v>6</v>
      </c>
      <c r="U1028" s="1310" t="s">
        <v>263</v>
      </c>
      <c r="V1028" s="1310" t="s">
        <v>1587</v>
      </c>
      <c r="W1028" s="1310" t="s">
        <v>1537</v>
      </c>
      <c r="X1028" s="1310" t="s">
        <v>1550</v>
      </c>
      <c r="Y1028" s="1310" t="s">
        <v>1555</v>
      </c>
      <c r="Z1028" s="1310" t="s">
        <v>1582</v>
      </c>
      <c r="AA1028" s="1310" t="s">
        <v>1561</v>
      </c>
      <c r="AB1028" s="1310" t="s">
        <v>1483</v>
      </c>
      <c r="AC1028" s="1310" t="s">
        <v>1584</v>
      </c>
      <c r="AD1028" s="1310" t="s">
        <v>1574</v>
      </c>
      <c r="AE1028" s="1310" t="s">
        <v>1634</v>
      </c>
      <c r="AF1028" s="1310" t="s">
        <v>1633</v>
      </c>
    </row>
    <row r="1029" spans="1:32" x14ac:dyDescent="0.3">
      <c r="A1029" s="1310" t="s">
        <v>129</v>
      </c>
      <c r="B1029" s="1310" t="s">
        <v>1604</v>
      </c>
      <c r="C1029" s="1310" t="s">
        <v>1640</v>
      </c>
      <c r="D1029" s="1310" t="s">
        <v>1457</v>
      </c>
      <c r="E1029" s="1310" t="s">
        <v>1466</v>
      </c>
      <c r="F1029" s="1310" t="s">
        <v>1606</v>
      </c>
      <c r="G1029" s="1310" t="s">
        <v>1627</v>
      </c>
      <c r="H1029" s="1310" t="s">
        <v>1590</v>
      </c>
      <c r="I1029" s="1310" t="s">
        <v>1615</v>
      </c>
      <c r="J1029" s="1310" t="s">
        <v>1623</v>
      </c>
      <c r="K1029" s="1310" t="s">
        <v>1530</v>
      </c>
      <c r="L1029" s="1310" t="s">
        <v>1496</v>
      </c>
      <c r="M1029" s="1310" t="s">
        <v>1601</v>
      </c>
      <c r="N1029" s="1310" t="s">
        <v>1510</v>
      </c>
      <c r="O1029" s="1310" t="s">
        <v>117</v>
      </c>
      <c r="P1029" s="1310" t="s">
        <v>1658</v>
      </c>
      <c r="Q1029" s="1310" t="s">
        <v>1621</v>
      </c>
      <c r="R1029" s="1310" t="s">
        <v>1474</v>
      </c>
      <c r="S1029" s="1310" t="s">
        <v>1457</v>
      </c>
      <c r="T1029" s="1310" t="s">
        <v>131</v>
      </c>
      <c r="U1029" s="1310" t="s">
        <v>1570</v>
      </c>
      <c r="V1029" s="1310" t="s">
        <v>1617</v>
      </c>
      <c r="W1029" s="1310" t="s">
        <v>1633</v>
      </c>
      <c r="X1029" s="1310" t="s">
        <v>112</v>
      </c>
      <c r="Y1029" s="1310" t="s">
        <v>1660</v>
      </c>
      <c r="Z1029" s="1310" t="s">
        <v>1443</v>
      </c>
      <c r="AA1029" s="1310" t="s">
        <v>1450</v>
      </c>
      <c r="AB1029" s="1310" t="s">
        <v>1659</v>
      </c>
      <c r="AC1029" s="1310" t="s">
        <v>1570</v>
      </c>
      <c r="AD1029" s="1310" t="s">
        <v>1472</v>
      </c>
      <c r="AE1029" s="1310" t="s">
        <v>1579</v>
      </c>
      <c r="AF1029" s="1310" t="s">
        <v>1454</v>
      </c>
    </row>
    <row r="1030" spans="1:32" x14ac:dyDescent="0.3">
      <c r="A1030" s="1310" t="s">
        <v>1501</v>
      </c>
      <c r="B1030" s="1310" t="s">
        <v>1617</v>
      </c>
      <c r="C1030" s="1310" t="s">
        <v>1597</v>
      </c>
      <c r="D1030" s="1310" t="s">
        <v>1615</v>
      </c>
      <c r="E1030" s="1310" t="s">
        <v>1564</v>
      </c>
      <c r="F1030" s="1310" t="s">
        <v>1460</v>
      </c>
      <c r="G1030" s="1310" t="s">
        <v>126</v>
      </c>
      <c r="H1030" s="1310" t="s">
        <v>1650</v>
      </c>
      <c r="I1030" s="1310" t="s">
        <v>1520</v>
      </c>
      <c r="J1030" s="1310" t="s">
        <v>1641</v>
      </c>
      <c r="K1030" s="1310" t="s">
        <v>1631</v>
      </c>
      <c r="L1030" s="1310" t="s">
        <v>1616</v>
      </c>
      <c r="M1030" s="1310" t="s">
        <v>1537</v>
      </c>
      <c r="N1030" s="1310" t="s">
        <v>1532</v>
      </c>
      <c r="O1030" s="1310" t="s">
        <v>1484</v>
      </c>
      <c r="P1030" s="1310" t="s">
        <v>1452</v>
      </c>
      <c r="Q1030" s="1310" t="s">
        <v>1459</v>
      </c>
      <c r="R1030" s="1310" t="s">
        <v>1467</v>
      </c>
      <c r="S1030" s="1310" t="s">
        <v>1544</v>
      </c>
      <c r="T1030" s="1310" t="s">
        <v>1030</v>
      </c>
      <c r="U1030" s="1310" t="s">
        <v>1502</v>
      </c>
      <c r="V1030" s="1310" t="s">
        <v>1643</v>
      </c>
      <c r="W1030" s="1310" t="s">
        <v>1624</v>
      </c>
      <c r="X1030" s="1310" t="s">
        <v>1449</v>
      </c>
      <c r="Y1030" s="1310" t="s">
        <v>1455</v>
      </c>
      <c r="Z1030" s="1310" t="s">
        <v>1546</v>
      </c>
      <c r="AA1030" s="1310" t="s">
        <v>1487</v>
      </c>
      <c r="AB1030" s="1310" t="s">
        <v>1625</v>
      </c>
      <c r="AC1030" s="1310" t="s">
        <v>1525</v>
      </c>
      <c r="AD1030" s="1310" t="s">
        <v>1576</v>
      </c>
      <c r="AE1030" s="1310" t="s">
        <v>116</v>
      </c>
      <c r="AF1030" s="1310" t="s">
        <v>128</v>
      </c>
    </row>
    <row r="1031" spans="1:32" x14ac:dyDescent="0.3">
      <c r="A1031" s="1310" t="s">
        <v>1611</v>
      </c>
      <c r="B1031" s="1310" t="s">
        <v>1558</v>
      </c>
      <c r="C1031" s="1310" t="s">
        <v>1479</v>
      </c>
      <c r="D1031" s="1310" t="s">
        <v>1659</v>
      </c>
      <c r="E1031" s="1310" t="s">
        <v>1576</v>
      </c>
      <c r="F1031" s="1310" t="s">
        <v>1595</v>
      </c>
      <c r="G1031" s="1310" t="s">
        <v>1453</v>
      </c>
      <c r="H1031" s="1310" t="s">
        <v>1510</v>
      </c>
      <c r="I1031" s="1310" t="s">
        <v>1528</v>
      </c>
      <c r="J1031" s="1310" t="s">
        <v>132</v>
      </c>
      <c r="K1031" s="1310" t="s">
        <v>1608</v>
      </c>
      <c r="L1031" s="1310" t="s">
        <v>1630</v>
      </c>
      <c r="M1031" s="1310" t="s">
        <v>1477</v>
      </c>
      <c r="N1031" s="1310" t="s">
        <v>1641</v>
      </c>
      <c r="O1031" s="1310" t="s">
        <v>1564</v>
      </c>
      <c r="P1031" s="1310" t="s">
        <v>1483</v>
      </c>
      <c r="Q1031" s="1310" t="s">
        <v>110</v>
      </c>
      <c r="R1031" s="1310" t="s">
        <v>1648</v>
      </c>
      <c r="S1031" s="1310" t="s">
        <v>125</v>
      </c>
      <c r="T1031" s="1310" t="s">
        <v>1651</v>
      </c>
      <c r="U1031" s="1310" t="s">
        <v>1660</v>
      </c>
      <c r="V1031" s="1310" t="s">
        <v>1564</v>
      </c>
      <c r="W1031" s="1310" t="s">
        <v>1648</v>
      </c>
      <c r="X1031" s="1310" t="s">
        <v>1463</v>
      </c>
      <c r="Y1031" s="1310" t="s">
        <v>1623</v>
      </c>
      <c r="Z1031" s="1310" t="s">
        <v>1508</v>
      </c>
      <c r="AA1031" s="1310" t="s">
        <v>1499</v>
      </c>
      <c r="AB1031" s="1310" t="s">
        <v>127</v>
      </c>
      <c r="AC1031" s="1310" t="s">
        <v>1630</v>
      </c>
      <c r="AD1031" s="1310" t="s">
        <v>1503</v>
      </c>
      <c r="AE1031" s="1310" t="s">
        <v>1584</v>
      </c>
      <c r="AF1031" s="1310" t="s">
        <v>1494</v>
      </c>
    </row>
    <row r="1032" spans="1:32" x14ac:dyDescent="0.3">
      <c r="A1032" s="1310" t="s">
        <v>1534</v>
      </c>
      <c r="B1032" s="1310" t="s">
        <v>1487</v>
      </c>
      <c r="C1032" s="1310" t="s">
        <v>132</v>
      </c>
      <c r="D1032" s="1310" t="s">
        <v>1513</v>
      </c>
      <c r="E1032" s="1310" t="s">
        <v>1455</v>
      </c>
      <c r="F1032" s="1310" t="s">
        <v>123</v>
      </c>
      <c r="G1032" s="1310" t="s">
        <v>1584</v>
      </c>
      <c r="H1032" s="1310" t="s">
        <v>1539</v>
      </c>
      <c r="I1032" s="1310" t="s">
        <v>1617</v>
      </c>
      <c r="J1032" s="1310" t="s">
        <v>1569</v>
      </c>
      <c r="K1032" s="1310" t="s">
        <v>1579</v>
      </c>
      <c r="L1032" s="1310" t="s">
        <v>131</v>
      </c>
      <c r="M1032" s="1310" t="s">
        <v>1586</v>
      </c>
      <c r="N1032" s="1310" t="s">
        <v>1584</v>
      </c>
      <c r="O1032" s="1310" t="s">
        <v>1476</v>
      </c>
      <c r="P1032" s="1310" t="s">
        <v>1559</v>
      </c>
      <c r="Q1032" s="1310" t="s">
        <v>1453</v>
      </c>
      <c r="R1032" s="1310" t="s">
        <v>126</v>
      </c>
      <c r="S1032" s="1310" t="s">
        <v>1570</v>
      </c>
      <c r="T1032" s="1310" t="s">
        <v>1651</v>
      </c>
      <c r="U1032" s="1310" t="s">
        <v>471</v>
      </c>
      <c r="V1032" s="1310" t="s">
        <v>1534</v>
      </c>
      <c r="W1032" s="1310" t="s">
        <v>1477</v>
      </c>
      <c r="X1032" s="1310" t="s">
        <v>116</v>
      </c>
      <c r="Y1032" s="1310" t="s">
        <v>1480</v>
      </c>
      <c r="Z1032" s="1310" t="s">
        <v>1509</v>
      </c>
      <c r="AA1032" s="1310" t="s">
        <v>1516</v>
      </c>
      <c r="AB1032" s="1310" t="s">
        <v>1027</v>
      </c>
      <c r="AC1032" s="1310" t="s">
        <v>1609</v>
      </c>
      <c r="AD1032" s="1310" t="s">
        <v>1493</v>
      </c>
      <c r="AE1032" s="1310" t="s">
        <v>1453</v>
      </c>
      <c r="AF1032" s="1310" t="s">
        <v>1513</v>
      </c>
    </row>
    <row r="1033" spans="1:32" x14ac:dyDescent="0.3">
      <c r="A1033" s="1310" t="s">
        <v>1632</v>
      </c>
      <c r="B1033" s="1310" t="s">
        <v>1643</v>
      </c>
      <c r="C1033" s="1310" t="s">
        <v>1456</v>
      </c>
      <c r="D1033" s="1310" t="s">
        <v>268</v>
      </c>
      <c r="E1033" s="1310" t="s">
        <v>1527</v>
      </c>
      <c r="F1033" s="1310" t="s">
        <v>1608</v>
      </c>
      <c r="G1033" s="1310" t="s">
        <v>1536</v>
      </c>
      <c r="H1033" s="1310" t="s">
        <v>1449</v>
      </c>
      <c r="I1033" s="1310" t="s">
        <v>126</v>
      </c>
      <c r="J1033" s="1310" t="s">
        <v>1453</v>
      </c>
      <c r="K1033" s="1310" t="s">
        <v>1448</v>
      </c>
      <c r="L1033" s="1310" t="s">
        <v>1645</v>
      </c>
      <c r="M1033" s="1310" t="s">
        <v>1444</v>
      </c>
      <c r="N1033" s="1310" t="s">
        <v>1633</v>
      </c>
      <c r="O1033" s="1310" t="s">
        <v>1622</v>
      </c>
      <c r="P1033" s="1310" t="s">
        <v>1568</v>
      </c>
      <c r="Q1033" s="1310" t="s">
        <v>1030</v>
      </c>
      <c r="R1033" s="1310" t="s">
        <v>1648</v>
      </c>
      <c r="S1033" s="1310" t="s">
        <v>1637</v>
      </c>
      <c r="T1033" s="1310" t="s">
        <v>1633</v>
      </c>
      <c r="U1033" s="1310" t="s">
        <v>1640</v>
      </c>
      <c r="V1033" s="1310" t="s">
        <v>1645</v>
      </c>
      <c r="W1033" s="1310" t="s">
        <v>1637</v>
      </c>
      <c r="X1033" s="1310" t="s">
        <v>1654</v>
      </c>
      <c r="Y1033" s="1310" t="s">
        <v>1603</v>
      </c>
      <c r="Z1033" s="1310" t="s">
        <v>1501</v>
      </c>
      <c r="AA1033" s="1310" t="s">
        <v>1632</v>
      </c>
      <c r="AB1033" s="1310" t="s">
        <v>1497</v>
      </c>
      <c r="AC1033" s="1310" t="s">
        <v>1474</v>
      </c>
      <c r="AD1033" s="1310" t="s">
        <v>125</v>
      </c>
      <c r="AE1033" s="1310" t="s">
        <v>1545</v>
      </c>
      <c r="AF1033" s="1310" t="s">
        <v>1483</v>
      </c>
    </row>
    <row r="1034" spans="1:32" x14ac:dyDescent="0.3">
      <c r="A1034" s="1310" t="s">
        <v>1542</v>
      </c>
      <c r="B1034" s="1310" t="s">
        <v>269</v>
      </c>
      <c r="C1034" s="1310" t="s">
        <v>1626</v>
      </c>
      <c r="D1034" s="1310" t="s">
        <v>1553</v>
      </c>
      <c r="E1034" s="1310" t="s">
        <v>1573</v>
      </c>
      <c r="F1034" s="1310" t="s">
        <v>110</v>
      </c>
      <c r="G1034" s="1310" t="s">
        <v>1658</v>
      </c>
      <c r="H1034" s="1310" t="s">
        <v>1452</v>
      </c>
      <c r="I1034" s="1310" t="s">
        <v>6</v>
      </c>
      <c r="J1034" s="1310" t="s">
        <v>1499</v>
      </c>
      <c r="K1034" s="1310" t="s">
        <v>1568</v>
      </c>
      <c r="L1034" s="1310" t="s">
        <v>1556</v>
      </c>
      <c r="M1034" s="1310" t="s">
        <v>1473</v>
      </c>
      <c r="N1034" s="1310" t="s">
        <v>114</v>
      </c>
      <c r="O1034" s="1310" t="s">
        <v>1610</v>
      </c>
      <c r="P1034" s="1310" t="s">
        <v>1556</v>
      </c>
      <c r="Q1034" s="1310" t="s">
        <v>1452</v>
      </c>
      <c r="R1034" s="1310" t="s">
        <v>1621</v>
      </c>
      <c r="S1034" s="1310" t="s">
        <v>1541</v>
      </c>
      <c r="T1034" s="1310" t="s">
        <v>1444</v>
      </c>
      <c r="U1034" s="1310" t="s">
        <v>465</v>
      </c>
      <c r="V1034" s="1310" t="s">
        <v>114</v>
      </c>
      <c r="W1034" s="1310" t="s">
        <v>1488</v>
      </c>
      <c r="X1034" s="1310" t="s">
        <v>1455</v>
      </c>
      <c r="Y1034" s="1310" t="s">
        <v>1635</v>
      </c>
      <c r="Z1034" s="1310" t="s">
        <v>1549</v>
      </c>
      <c r="AA1034" s="1310" t="s">
        <v>1644</v>
      </c>
      <c r="AB1034" s="1310" t="s">
        <v>1632</v>
      </c>
      <c r="AC1034" s="1310" t="s">
        <v>1600</v>
      </c>
      <c r="AD1034" s="1310" t="s">
        <v>1509</v>
      </c>
      <c r="AE1034" s="1310" t="s">
        <v>1554</v>
      </c>
      <c r="AF1034" s="1310" t="s">
        <v>1452</v>
      </c>
    </row>
    <row r="1035" spans="1:32" x14ac:dyDescent="0.3">
      <c r="A1035" s="1310" t="s">
        <v>1621</v>
      </c>
      <c r="B1035" s="1310" t="s">
        <v>1541</v>
      </c>
      <c r="C1035" s="1310" t="s">
        <v>1444</v>
      </c>
      <c r="D1035" s="1310" t="s">
        <v>465</v>
      </c>
      <c r="E1035" s="1310" t="s">
        <v>114</v>
      </c>
      <c r="F1035" s="1310" t="s">
        <v>1488</v>
      </c>
      <c r="G1035" s="1310" t="s">
        <v>1455</v>
      </c>
      <c r="H1035" s="1310" t="s">
        <v>1583</v>
      </c>
      <c r="I1035" s="1310" t="s">
        <v>1443</v>
      </c>
      <c r="J1035" s="1310" t="s">
        <v>122</v>
      </c>
      <c r="K1035" s="1310" t="s">
        <v>1571</v>
      </c>
      <c r="L1035" s="1310" t="s">
        <v>1562</v>
      </c>
      <c r="M1035" s="1310" t="s">
        <v>1452</v>
      </c>
      <c r="N1035" s="1310" t="s">
        <v>1621</v>
      </c>
      <c r="O1035" s="1310" t="s">
        <v>1541</v>
      </c>
      <c r="P1035" s="1310" t="s">
        <v>1444</v>
      </c>
      <c r="Q1035" s="1310" t="s">
        <v>465</v>
      </c>
      <c r="R1035" s="1310" t="s">
        <v>114</v>
      </c>
      <c r="S1035" s="1310" t="s">
        <v>1488</v>
      </c>
      <c r="T1035" s="1310" t="s">
        <v>1455</v>
      </c>
      <c r="U1035" s="1310" t="s">
        <v>1635</v>
      </c>
      <c r="V1035" s="1310" t="s">
        <v>1549</v>
      </c>
      <c r="W1035" s="1310" t="s">
        <v>1644</v>
      </c>
      <c r="X1035" s="1310" t="s">
        <v>1632</v>
      </c>
      <c r="Y1035" s="1310" t="s">
        <v>1600</v>
      </c>
      <c r="Z1035" s="1310" t="s">
        <v>1509</v>
      </c>
      <c r="AA1035" s="1310" t="s">
        <v>1554</v>
      </c>
      <c r="AB1035" s="1310" t="s">
        <v>1452</v>
      </c>
      <c r="AC1035" s="1310" t="s">
        <v>1621</v>
      </c>
      <c r="AD1035" s="1310" t="s">
        <v>1541</v>
      </c>
      <c r="AE1035" s="1310" t="s">
        <v>1444</v>
      </c>
      <c r="AF1035" s="1310" t="s">
        <v>465</v>
      </c>
    </row>
    <row r="1036" spans="1:32" x14ac:dyDescent="0.3">
      <c r="A1036" s="1310" t="s">
        <v>114</v>
      </c>
      <c r="B1036" s="1310" t="s">
        <v>1488</v>
      </c>
      <c r="C1036" s="1310" t="s">
        <v>1455</v>
      </c>
      <c r="D1036" s="1310" t="s">
        <v>1635</v>
      </c>
      <c r="E1036" s="1310" t="s">
        <v>1549</v>
      </c>
      <c r="F1036" s="1310" t="s">
        <v>1501</v>
      </c>
      <c r="G1036" s="1310" t="s">
        <v>269</v>
      </c>
      <c r="H1036" s="1310" t="s">
        <v>1580</v>
      </c>
      <c r="I1036" s="1310" t="s">
        <v>1601</v>
      </c>
      <c r="J1036" s="1310" t="s">
        <v>1620</v>
      </c>
      <c r="K1036" s="1310" t="s">
        <v>1636</v>
      </c>
      <c r="L1036" s="1310" t="s">
        <v>1481</v>
      </c>
      <c r="M1036" s="1310" t="s">
        <v>1544</v>
      </c>
      <c r="N1036" s="1310" t="s">
        <v>1586</v>
      </c>
      <c r="O1036" s="1310" t="s">
        <v>1517</v>
      </c>
      <c r="P1036" s="1310" t="s">
        <v>1615</v>
      </c>
      <c r="Q1036" s="1310" t="s">
        <v>1483</v>
      </c>
      <c r="R1036" s="1310" t="s">
        <v>1454</v>
      </c>
      <c r="S1036" s="1310" t="s">
        <v>1457</v>
      </c>
      <c r="T1036" s="1310" t="s">
        <v>1649</v>
      </c>
      <c r="U1036" s="1310" t="s">
        <v>1574</v>
      </c>
      <c r="V1036" s="1310" t="s">
        <v>6</v>
      </c>
      <c r="W1036" s="1310" t="s">
        <v>1596</v>
      </c>
      <c r="X1036" s="1310" t="s">
        <v>1625</v>
      </c>
      <c r="Y1036" s="1310" t="s">
        <v>1464</v>
      </c>
      <c r="Z1036" s="1310" t="s">
        <v>1481</v>
      </c>
      <c r="AA1036" s="1310" t="s">
        <v>1574</v>
      </c>
      <c r="AB1036" s="1310" t="s">
        <v>1636</v>
      </c>
      <c r="AC1036" s="1310" t="s">
        <v>1503</v>
      </c>
      <c r="AD1036" s="1310" t="s">
        <v>1494</v>
      </c>
      <c r="AE1036" s="1310" t="s">
        <v>1624</v>
      </c>
      <c r="AF1036" s="1310" t="s">
        <v>1648</v>
      </c>
    </row>
    <row r="1037" spans="1:32" x14ac:dyDescent="0.3">
      <c r="A1037" s="1310" t="s">
        <v>1613</v>
      </c>
      <c r="B1037" s="1310" t="s">
        <v>1566</v>
      </c>
      <c r="C1037" s="1310" t="s">
        <v>1551</v>
      </c>
      <c r="D1037" s="1310" t="s">
        <v>1523</v>
      </c>
      <c r="E1037" s="1310" t="s">
        <v>1528</v>
      </c>
      <c r="F1037" s="1310" t="s">
        <v>1501</v>
      </c>
      <c r="G1037" s="1310" t="s">
        <v>1504</v>
      </c>
      <c r="H1037" s="1310" t="s">
        <v>1588</v>
      </c>
      <c r="I1037" s="1310" t="s">
        <v>1472</v>
      </c>
      <c r="J1037" s="1310" t="s">
        <v>1650</v>
      </c>
      <c r="K1037" s="1310" t="s">
        <v>1595</v>
      </c>
      <c r="L1037" s="1310" t="s">
        <v>116</v>
      </c>
      <c r="M1037" s="1310" t="s">
        <v>1510</v>
      </c>
      <c r="N1037" s="1310" t="s">
        <v>1625</v>
      </c>
      <c r="O1037" s="1310" t="s">
        <v>1649</v>
      </c>
      <c r="P1037" s="1310" t="s">
        <v>1469</v>
      </c>
      <c r="Q1037" s="1310" t="s">
        <v>1640</v>
      </c>
      <c r="R1037" s="1310" t="s">
        <v>133</v>
      </c>
      <c r="S1037" s="1310" t="s">
        <v>1653</v>
      </c>
      <c r="T1037" s="1310" t="s">
        <v>1486</v>
      </c>
      <c r="U1037" s="1310" t="s">
        <v>1651</v>
      </c>
      <c r="V1037" s="1310" t="s">
        <v>1600</v>
      </c>
      <c r="W1037" s="1310" t="s">
        <v>1449</v>
      </c>
      <c r="X1037" s="1310" t="s">
        <v>1534</v>
      </c>
      <c r="Y1037" s="1310" t="s">
        <v>1541</v>
      </c>
      <c r="Z1037" s="1310" t="s">
        <v>1546</v>
      </c>
      <c r="AA1037" s="1310" t="s">
        <v>471</v>
      </c>
      <c r="AB1037" s="1310" t="s">
        <v>1518</v>
      </c>
      <c r="AC1037" s="1310" t="s">
        <v>1638</v>
      </c>
      <c r="AD1037" s="1310" t="s">
        <v>1636</v>
      </c>
      <c r="AE1037" s="1310" t="s">
        <v>1599</v>
      </c>
      <c r="AF1037" s="1310" t="s">
        <v>123</v>
      </c>
    </row>
    <row r="1038" spans="1:32" x14ac:dyDescent="0.3">
      <c r="A1038" s="1310" t="s">
        <v>1457</v>
      </c>
      <c r="B1038" s="1310" t="s">
        <v>1530</v>
      </c>
      <c r="C1038" s="1310" t="s">
        <v>1482</v>
      </c>
      <c r="D1038" s="1310" t="s">
        <v>126</v>
      </c>
      <c r="E1038" s="1310" t="s">
        <v>1552</v>
      </c>
      <c r="F1038" s="1310" t="s">
        <v>1604</v>
      </c>
      <c r="G1038" s="1310" t="s">
        <v>1466</v>
      </c>
      <c r="H1038" s="1310" t="s">
        <v>1650</v>
      </c>
      <c r="I1038" s="1310" t="s">
        <v>267</v>
      </c>
      <c r="J1038" s="1310" t="s">
        <v>115</v>
      </c>
      <c r="K1038" s="1310" t="s">
        <v>1585</v>
      </c>
      <c r="L1038" s="1310" t="s">
        <v>1474</v>
      </c>
      <c r="M1038" s="1310" t="s">
        <v>1624</v>
      </c>
      <c r="N1038" s="1310" t="s">
        <v>1495</v>
      </c>
      <c r="O1038" s="1310" t="s">
        <v>1451</v>
      </c>
      <c r="P1038" s="1310" t="s">
        <v>116</v>
      </c>
      <c r="Q1038" s="1310" t="s">
        <v>1534</v>
      </c>
      <c r="R1038" s="1310" t="s">
        <v>1560</v>
      </c>
      <c r="S1038" s="1310" t="s">
        <v>1561</v>
      </c>
      <c r="T1038" s="1310" t="s">
        <v>1480</v>
      </c>
      <c r="U1038" s="1310" t="s">
        <v>1495</v>
      </c>
      <c r="V1038" s="1310" t="s">
        <v>1613</v>
      </c>
      <c r="W1038" s="1310" t="s">
        <v>112</v>
      </c>
      <c r="X1038" s="1310" t="s">
        <v>112</v>
      </c>
      <c r="Y1038" s="1310" t="s">
        <v>1572</v>
      </c>
      <c r="Z1038" s="1310" t="s">
        <v>1521</v>
      </c>
      <c r="AA1038" s="1310" t="s">
        <v>1541</v>
      </c>
      <c r="AB1038" s="1310" t="s">
        <v>1505</v>
      </c>
      <c r="AC1038" s="1310" t="s">
        <v>1574</v>
      </c>
      <c r="AD1038" s="1310" t="s">
        <v>1499</v>
      </c>
      <c r="AE1038" s="1310" t="s">
        <v>1624</v>
      </c>
      <c r="AF1038" s="1310" t="s">
        <v>1563</v>
      </c>
    </row>
    <row r="1039" spans="1:32" x14ac:dyDescent="0.3">
      <c r="A1039" s="1310" t="s">
        <v>1486</v>
      </c>
      <c r="B1039" s="1310" t="s">
        <v>1518</v>
      </c>
      <c r="C1039" s="1310" t="s">
        <v>1565</v>
      </c>
      <c r="D1039" s="1310" t="s">
        <v>1659</v>
      </c>
      <c r="E1039" s="1310" t="s">
        <v>1446</v>
      </c>
      <c r="F1039" s="1310" t="s">
        <v>129</v>
      </c>
      <c r="G1039" s="1310" t="s">
        <v>1500</v>
      </c>
      <c r="H1039" s="1310" t="s">
        <v>122</v>
      </c>
      <c r="I1039" s="1310" t="s">
        <v>1473</v>
      </c>
      <c r="J1039" s="1310" t="s">
        <v>1537</v>
      </c>
      <c r="K1039" s="1310" t="s">
        <v>1481</v>
      </c>
      <c r="L1039" s="1310" t="s">
        <v>1651</v>
      </c>
      <c r="M1039" s="1310" t="s">
        <v>1462</v>
      </c>
      <c r="N1039" s="1310" t="s">
        <v>1477</v>
      </c>
      <c r="O1039" s="1310" t="s">
        <v>1449</v>
      </c>
      <c r="P1039" s="1310" t="s">
        <v>1459</v>
      </c>
      <c r="Q1039" s="1310" t="s">
        <v>1473</v>
      </c>
      <c r="R1039" s="1310" t="s">
        <v>115</v>
      </c>
      <c r="S1039" s="1310" t="s">
        <v>1474</v>
      </c>
      <c r="T1039" s="1310" t="s">
        <v>115</v>
      </c>
      <c r="U1039" s="1310" t="s">
        <v>1481</v>
      </c>
      <c r="V1039" s="1310" t="s">
        <v>1549</v>
      </c>
      <c r="W1039" s="1310" t="s">
        <v>1588</v>
      </c>
      <c r="X1039" s="1310" t="s">
        <v>1503</v>
      </c>
      <c r="Y1039" s="1310" t="s">
        <v>1591</v>
      </c>
      <c r="Z1039" s="1310" t="s">
        <v>1562</v>
      </c>
      <c r="AA1039" s="1310" t="s">
        <v>1586</v>
      </c>
      <c r="AB1039" s="1310" t="s">
        <v>1539</v>
      </c>
      <c r="AC1039" s="1310" t="s">
        <v>1589</v>
      </c>
      <c r="AD1039" s="1310" t="s">
        <v>1454</v>
      </c>
      <c r="AE1039" s="1310" t="s">
        <v>113</v>
      </c>
      <c r="AF1039" s="1310" t="s">
        <v>132</v>
      </c>
    </row>
    <row r="1040" spans="1:32" x14ac:dyDescent="0.3">
      <c r="A1040" s="1310" t="s">
        <v>1474</v>
      </c>
      <c r="B1040" s="1310" t="s">
        <v>1459</v>
      </c>
      <c r="C1040" s="1310" t="s">
        <v>1639</v>
      </c>
      <c r="D1040" s="1310" t="s">
        <v>1565</v>
      </c>
      <c r="E1040" s="1310" t="s">
        <v>1601</v>
      </c>
      <c r="F1040" s="1310" t="s">
        <v>116</v>
      </c>
      <c r="G1040" s="1310" t="s">
        <v>1536</v>
      </c>
      <c r="H1040" s="1310" t="s">
        <v>126</v>
      </c>
      <c r="I1040" s="1310" t="s">
        <v>1640</v>
      </c>
      <c r="J1040" s="1310" t="s">
        <v>126</v>
      </c>
      <c r="K1040" s="1310" t="s">
        <v>1647</v>
      </c>
      <c r="L1040" s="1310" t="s">
        <v>1482</v>
      </c>
      <c r="M1040" s="1310" t="s">
        <v>1618</v>
      </c>
      <c r="N1040" s="1310" t="s">
        <v>1575</v>
      </c>
      <c r="O1040" s="1310" t="s">
        <v>123</v>
      </c>
      <c r="P1040" s="1310" t="s">
        <v>1594</v>
      </c>
      <c r="Q1040" s="1310" t="s">
        <v>1534</v>
      </c>
      <c r="R1040" s="1310" t="s">
        <v>1617</v>
      </c>
      <c r="S1040" s="1310" t="s">
        <v>1639</v>
      </c>
      <c r="T1040" s="1310" t="s">
        <v>1658</v>
      </c>
      <c r="U1040" s="1310" t="s">
        <v>1500</v>
      </c>
      <c r="V1040" s="1310" t="s">
        <v>1590</v>
      </c>
      <c r="W1040" s="1310" t="s">
        <v>1598</v>
      </c>
      <c r="X1040" s="1310" t="s">
        <v>1569</v>
      </c>
      <c r="Y1040" s="1310" t="s">
        <v>471</v>
      </c>
      <c r="Z1040" s="1310" t="s">
        <v>123</v>
      </c>
      <c r="AA1040" s="1310" t="s">
        <v>1564</v>
      </c>
      <c r="AB1040" s="1310" t="s">
        <v>1489</v>
      </c>
      <c r="AC1040" s="1310" t="s">
        <v>113</v>
      </c>
      <c r="AD1040" s="1310" t="s">
        <v>1481</v>
      </c>
      <c r="AE1040" s="1310" t="s">
        <v>1557</v>
      </c>
      <c r="AF1040" s="1310" t="s">
        <v>1514</v>
      </c>
    </row>
    <row r="1041" spans="1:32" x14ac:dyDescent="0.3">
      <c r="A1041" s="1310" t="s">
        <v>1552</v>
      </c>
      <c r="B1041" s="1310" t="s">
        <v>1510</v>
      </c>
      <c r="C1041" s="1310" t="s">
        <v>117</v>
      </c>
      <c r="D1041" s="1310" t="s">
        <v>1480</v>
      </c>
      <c r="E1041" s="1310" t="s">
        <v>113</v>
      </c>
      <c r="F1041" s="1310" t="s">
        <v>119</v>
      </c>
      <c r="G1041" s="1310" t="s">
        <v>127</v>
      </c>
      <c r="H1041" s="1310" t="s">
        <v>1462</v>
      </c>
      <c r="I1041" s="1310" t="s">
        <v>1557</v>
      </c>
      <c r="J1041" s="1310" t="s">
        <v>1546</v>
      </c>
      <c r="K1041" s="1310" t="s">
        <v>1482</v>
      </c>
      <c r="L1041" s="1310" t="s">
        <v>1601</v>
      </c>
      <c r="M1041" s="1310" t="s">
        <v>1500</v>
      </c>
      <c r="N1041" s="1310" t="s">
        <v>1507</v>
      </c>
      <c r="O1041" s="1310" t="s">
        <v>1481</v>
      </c>
      <c r="P1041" s="1310" t="s">
        <v>1563</v>
      </c>
      <c r="Q1041" s="1310" t="s">
        <v>1527</v>
      </c>
      <c r="R1041" s="1310" t="s">
        <v>1487</v>
      </c>
      <c r="S1041" s="1310" t="s">
        <v>1616</v>
      </c>
      <c r="T1041" s="1310" t="s">
        <v>1620</v>
      </c>
      <c r="U1041" s="1310" t="s">
        <v>1566</v>
      </c>
      <c r="V1041" s="1310" t="s">
        <v>1617</v>
      </c>
      <c r="W1041" s="1310" t="s">
        <v>132</v>
      </c>
      <c r="X1041" s="1310" t="s">
        <v>1525</v>
      </c>
      <c r="Y1041" s="1310" t="s">
        <v>1482</v>
      </c>
      <c r="Z1041" s="1310" t="s">
        <v>1541</v>
      </c>
      <c r="AA1041" s="1310" t="s">
        <v>1649</v>
      </c>
      <c r="AB1041" s="1310" t="s">
        <v>1448</v>
      </c>
      <c r="AC1041" s="1310" t="s">
        <v>1659</v>
      </c>
      <c r="AD1041" s="1310" t="s">
        <v>1563</v>
      </c>
      <c r="AE1041" s="1310" t="s">
        <v>1487</v>
      </c>
      <c r="AF1041" s="1310" t="s">
        <v>1608</v>
      </c>
    </row>
    <row r="1042" spans="1:32" x14ac:dyDescent="0.3">
      <c r="A1042" s="1310" t="s">
        <v>1658</v>
      </c>
      <c r="B1042" s="1310" t="s">
        <v>1541</v>
      </c>
      <c r="C1042" s="1310" t="s">
        <v>1565</v>
      </c>
      <c r="D1042" s="1310" t="s">
        <v>1599</v>
      </c>
      <c r="E1042" s="1310" t="s">
        <v>1622</v>
      </c>
      <c r="F1042" s="1310" t="s">
        <v>1580</v>
      </c>
      <c r="G1042" s="1310" t="s">
        <v>1529</v>
      </c>
      <c r="H1042" s="1310" t="s">
        <v>1590</v>
      </c>
      <c r="I1042" s="1310" t="s">
        <v>1464</v>
      </c>
      <c r="J1042" s="1310" t="s">
        <v>1509</v>
      </c>
      <c r="K1042" s="1310" t="s">
        <v>1563</v>
      </c>
      <c r="L1042" s="1310" t="s">
        <v>1517</v>
      </c>
      <c r="M1042" s="1310" t="s">
        <v>1565</v>
      </c>
      <c r="N1042" s="1310" t="s">
        <v>1497</v>
      </c>
      <c r="O1042" s="1310" t="s">
        <v>1501</v>
      </c>
      <c r="P1042" s="1310" t="s">
        <v>116</v>
      </c>
      <c r="Q1042" s="1310" t="s">
        <v>1632</v>
      </c>
      <c r="R1042" s="1310" t="s">
        <v>113</v>
      </c>
      <c r="S1042" s="1310" t="s">
        <v>1454</v>
      </c>
      <c r="T1042" s="1310" t="s">
        <v>1557</v>
      </c>
      <c r="U1042" s="1310" t="s">
        <v>1609</v>
      </c>
      <c r="V1042" s="1310" t="s">
        <v>1514</v>
      </c>
      <c r="W1042" s="1310" t="s">
        <v>1603</v>
      </c>
      <c r="X1042" s="1310" t="s">
        <v>1464</v>
      </c>
      <c r="Y1042" s="1310" t="s">
        <v>1509</v>
      </c>
      <c r="Z1042" s="1310" t="s">
        <v>1520</v>
      </c>
      <c r="AA1042" s="1310" t="s">
        <v>1491</v>
      </c>
      <c r="AB1042" s="1310" t="s">
        <v>1547</v>
      </c>
      <c r="AC1042" s="1310" t="s">
        <v>1464</v>
      </c>
      <c r="AD1042" s="1310" t="s">
        <v>263</v>
      </c>
      <c r="AE1042" s="1310" t="s">
        <v>1505</v>
      </c>
      <c r="AF1042" s="1310" t="s">
        <v>1455</v>
      </c>
    </row>
    <row r="1043" spans="1:32" x14ac:dyDescent="0.3">
      <c r="A1043" s="1310" t="s">
        <v>1027</v>
      </c>
      <c r="B1043" s="1310" t="s">
        <v>1527</v>
      </c>
      <c r="C1043" s="1310" t="s">
        <v>1562</v>
      </c>
      <c r="D1043" s="1310" t="s">
        <v>1613</v>
      </c>
      <c r="E1043" s="1310" t="s">
        <v>1526</v>
      </c>
      <c r="F1043" s="1310" t="s">
        <v>1499</v>
      </c>
      <c r="G1043" s="1310" t="s">
        <v>1632</v>
      </c>
      <c r="H1043" s="1310" t="s">
        <v>1547</v>
      </c>
      <c r="I1043" s="1310" t="s">
        <v>1624</v>
      </c>
      <c r="J1043" s="1310" t="s">
        <v>1458</v>
      </c>
      <c r="K1043" s="1310" t="s">
        <v>1444</v>
      </c>
      <c r="L1043" s="1310" t="s">
        <v>1616</v>
      </c>
      <c r="M1043" s="1310" t="s">
        <v>1466</v>
      </c>
      <c r="N1043" s="1310" t="s">
        <v>1541</v>
      </c>
      <c r="O1043" s="1310" t="s">
        <v>1659</v>
      </c>
      <c r="P1043" s="1310" t="s">
        <v>1030</v>
      </c>
      <c r="Q1043" s="1310" t="s">
        <v>1499</v>
      </c>
      <c r="R1043" s="1310" t="s">
        <v>1500</v>
      </c>
      <c r="S1043" s="1310" t="s">
        <v>1616</v>
      </c>
      <c r="T1043" s="1310" t="s">
        <v>1448</v>
      </c>
      <c r="U1043" s="1310" t="s">
        <v>1500</v>
      </c>
      <c r="V1043" s="1310" t="s">
        <v>1602</v>
      </c>
      <c r="W1043" s="1310" t="s">
        <v>1498</v>
      </c>
      <c r="X1043" s="1310" t="s">
        <v>1641</v>
      </c>
      <c r="Y1043" s="1310" t="s">
        <v>1653</v>
      </c>
      <c r="Z1043" s="1310" t="s">
        <v>1463</v>
      </c>
      <c r="AA1043" s="1310" t="s">
        <v>1595</v>
      </c>
      <c r="AB1043" s="1310" t="s">
        <v>1502</v>
      </c>
      <c r="AC1043" s="1310" t="s">
        <v>1482</v>
      </c>
      <c r="AD1043" s="1310" t="s">
        <v>1619</v>
      </c>
      <c r="AE1043" s="1310" t="s">
        <v>1630</v>
      </c>
      <c r="AF1043" s="1310" t="s">
        <v>1551</v>
      </c>
    </row>
    <row r="1044" spans="1:32" x14ac:dyDescent="0.3">
      <c r="A1044" s="1310" t="s">
        <v>1583</v>
      </c>
      <c r="B1044" s="1310" t="s">
        <v>117</v>
      </c>
      <c r="C1044" s="1310" t="s">
        <v>1602</v>
      </c>
      <c r="D1044" s="1310" t="s">
        <v>1543</v>
      </c>
      <c r="E1044" s="1310" t="s">
        <v>1460</v>
      </c>
      <c r="F1044" s="1310" t="s">
        <v>1454</v>
      </c>
      <c r="G1044" s="1310" t="s">
        <v>1569</v>
      </c>
      <c r="H1044" s="1310" t="s">
        <v>1486</v>
      </c>
      <c r="I1044" s="1310" t="s">
        <v>1510</v>
      </c>
      <c r="J1044" s="1310" t="s">
        <v>1483</v>
      </c>
      <c r="K1044" s="1310" t="s">
        <v>131</v>
      </c>
      <c r="L1044" s="1310" t="s">
        <v>1583</v>
      </c>
      <c r="M1044" s="1310" t="s">
        <v>1617</v>
      </c>
      <c r="N1044" s="1310" t="s">
        <v>1633</v>
      </c>
      <c r="O1044" s="1310" t="s">
        <v>112</v>
      </c>
      <c r="P1044" s="1310" t="s">
        <v>1660</v>
      </c>
      <c r="Q1044" s="1310" t="s">
        <v>1641</v>
      </c>
      <c r="R1044" s="1310" t="s">
        <v>1619</v>
      </c>
      <c r="S1044" s="1310" t="s">
        <v>1585</v>
      </c>
      <c r="T1044" s="1310" t="s">
        <v>1604</v>
      </c>
      <c r="U1044" s="1310" t="s">
        <v>1612</v>
      </c>
      <c r="V1044" s="1310" t="s">
        <v>6</v>
      </c>
      <c r="W1044" s="1310" t="s">
        <v>1587</v>
      </c>
      <c r="X1044" s="1310" t="s">
        <v>110</v>
      </c>
      <c r="Y1044" s="1310" t="s">
        <v>1639</v>
      </c>
      <c r="Z1044" s="1310" t="s">
        <v>1546</v>
      </c>
      <c r="AA1044" s="1310" t="s">
        <v>1601</v>
      </c>
      <c r="AB1044" s="1310" t="s">
        <v>1603</v>
      </c>
      <c r="AC1044" s="1310" t="s">
        <v>1538</v>
      </c>
      <c r="AD1044" s="1310" t="s">
        <v>1576</v>
      </c>
      <c r="AE1044" s="1310" t="s">
        <v>1444</v>
      </c>
      <c r="AF1044" s="1310" t="s">
        <v>116</v>
      </c>
    </row>
    <row r="1045" spans="1:32" x14ac:dyDescent="0.3">
      <c r="A1045" s="1310" t="s">
        <v>1584</v>
      </c>
      <c r="B1045" s="1310" t="s">
        <v>1603</v>
      </c>
      <c r="C1045" s="1310" t="s">
        <v>115</v>
      </c>
      <c r="D1045" s="1310" t="s">
        <v>1494</v>
      </c>
      <c r="E1045" s="1310" t="s">
        <v>1630</v>
      </c>
      <c r="F1045" s="1310" t="s">
        <v>1615</v>
      </c>
      <c r="G1045" s="1310" t="s">
        <v>1576</v>
      </c>
      <c r="H1045" s="1310" t="s">
        <v>1469</v>
      </c>
      <c r="I1045" s="1310" t="s">
        <v>1649</v>
      </c>
      <c r="J1045" s="1310" t="s">
        <v>1592</v>
      </c>
      <c r="K1045" s="1310" t="s">
        <v>1649</v>
      </c>
      <c r="L1045" s="1310" t="s">
        <v>1555</v>
      </c>
      <c r="M1045" s="1310" t="s">
        <v>1653</v>
      </c>
      <c r="N1045" s="1310" t="s">
        <v>1539</v>
      </c>
      <c r="O1045" s="1310" t="s">
        <v>1531</v>
      </c>
      <c r="P1045" s="1310" t="s">
        <v>1657</v>
      </c>
      <c r="Q1045" s="1310" t="s">
        <v>114</v>
      </c>
      <c r="R1045" s="1310" t="s">
        <v>1488</v>
      </c>
      <c r="S1045" s="1310" t="s">
        <v>1455</v>
      </c>
      <c r="T1045" s="1310" t="s">
        <v>1635</v>
      </c>
      <c r="U1045" s="1310" t="s">
        <v>1549</v>
      </c>
      <c r="V1045" s="1310" t="s">
        <v>1644</v>
      </c>
      <c r="W1045" s="1310" t="s">
        <v>1632</v>
      </c>
      <c r="X1045" s="1310" t="s">
        <v>1611</v>
      </c>
      <c r="Y1045" s="1310" t="s">
        <v>1532</v>
      </c>
      <c r="Z1045" s="1310" t="s">
        <v>1558</v>
      </c>
      <c r="AA1045" s="1310" t="s">
        <v>1651</v>
      </c>
      <c r="AB1045" s="1310" t="s">
        <v>265</v>
      </c>
      <c r="AC1045" s="1310" t="s">
        <v>1528</v>
      </c>
      <c r="AD1045" s="1310" t="s">
        <v>1489</v>
      </c>
      <c r="AE1045" s="1310" t="s">
        <v>119</v>
      </c>
      <c r="AF1045" s="1310" t="s">
        <v>1495</v>
      </c>
    </row>
    <row r="1046" spans="1:32" x14ac:dyDescent="0.3">
      <c r="A1046" s="1310" t="s">
        <v>1561</v>
      </c>
      <c r="B1046" s="1310" t="s">
        <v>1647</v>
      </c>
      <c r="C1046" s="1310" t="s">
        <v>1511</v>
      </c>
      <c r="D1046" s="1310" t="s">
        <v>1548</v>
      </c>
      <c r="E1046" s="1310" t="s">
        <v>1556</v>
      </c>
      <c r="F1046" s="1310" t="s">
        <v>1456</v>
      </c>
      <c r="G1046" s="1310" t="s">
        <v>1027</v>
      </c>
      <c r="H1046" s="1310" t="s">
        <v>1563</v>
      </c>
      <c r="I1046" s="1310" t="s">
        <v>1477</v>
      </c>
      <c r="J1046" s="1310" t="s">
        <v>1617</v>
      </c>
      <c r="K1046" s="1310" t="s">
        <v>122</v>
      </c>
      <c r="L1046" s="1310" t="s">
        <v>1579</v>
      </c>
      <c r="M1046" s="1310" t="s">
        <v>1476</v>
      </c>
      <c r="N1046" s="1310" t="s">
        <v>127</v>
      </c>
      <c r="O1046" s="1310" t="s">
        <v>1648</v>
      </c>
      <c r="P1046" s="1310" t="s">
        <v>471</v>
      </c>
      <c r="Q1046" s="1310" t="s">
        <v>1488</v>
      </c>
      <c r="R1046" s="1310" t="s">
        <v>1468</v>
      </c>
      <c r="S1046" s="1310" t="s">
        <v>1506</v>
      </c>
      <c r="T1046" s="1310" t="s">
        <v>131</v>
      </c>
      <c r="U1046" s="1310" t="s">
        <v>1577</v>
      </c>
      <c r="V1046" s="1310" t="s">
        <v>1647</v>
      </c>
      <c r="W1046" s="1310" t="s">
        <v>1473</v>
      </c>
      <c r="X1046" s="1310" t="s">
        <v>1443</v>
      </c>
      <c r="Y1046" s="1310" t="s">
        <v>1450</v>
      </c>
      <c r="Z1046" s="1310" t="s">
        <v>1601</v>
      </c>
      <c r="AA1046" s="1310" t="s">
        <v>1472</v>
      </c>
      <c r="AB1046" s="1310" t="s">
        <v>1626</v>
      </c>
      <c r="AC1046" s="1310" t="s">
        <v>1454</v>
      </c>
      <c r="AD1046" s="1310" t="s">
        <v>1590</v>
      </c>
      <c r="AE1046" s="1310" t="s">
        <v>1561</v>
      </c>
      <c r="AF1046" s="1310" t="s">
        <v>1462</v>
      </c>
    </row>
    <row r="1047" spans="1:32" x14ac:dyDescent="0.3">
      <c r="A1047" s="1310" t="s">
        <v>1561</v>
      </c>
      <c r="B1047" s="1310" t="s">
        <v>1483</v>
      </c>
      <c r="C1047" s="1310" t="s">
        <v>1474</v>
      </c>
      <c r="D1047" s="1310" t="s">
        <v>1615</v>
      </c>
      <c r="E1047" s="1310" t="s">
        <v>6</v>
      </c>
      <c r="F1047" s="1310" t="s">
        <v>1611</v>
      </c>
      <c r="G1047" s="1310" t="s">
        <v>1639</v>
      </c>
      <c r="H1047" s="1310" t="s">
        <v>1557</v>
      </c>
      <c r="I1047" s="1310" t="s">
        <v>1646</v>
      </c>
      <c r="J1047" s="1310" t="s">
        <v>1510</v>
      </c>
      <c r="K1047" s="1310" t="s">
        <v>1526</v>
      </c>
      <c r="L1047" s="1310" t="s">
        <v>1567</v>
      </c>
      <c r="M1047" s="1310" t="s">
        <v>1577</v>
      </c>
      <c r="N1047" s="1310" t="s">
        <v>1549</v>
      </c>
      <c r="O1047" s="1310" t="s">
        <v>1545</v>
      </c>
      <c r="P1047" s="1310" t="s">
        <v>122</v>
      </c>
      <c r="Q1047" s="1310" t="s">
        <v>1586</v>
      </c>
      <c r="R1047" s="1310" t="s">
        <v>1559</v>
      </c>
      <c r="S1047" s="1310" t="s">
        <v>262</v>
      </c>
      <c r="T1047" s="1310" t="s">
        <v>1450</v>
      </c>
      <c r="U1047" s="1310" t="s">
        <v>122</v>
      </c>
      <c r="V1047" s="1310" t="s">
        <v>1657</v>
      </c>
      <c r="W1047" s="1310" t="s">
        <v>1554</v>
      </c>
      <c r="X1047" s="1310" t="s">
        <v>1475</v>
      </c>
      <c r="Y1047" s="1310" t="s">
        <v>1582</v>
      </c>
      <c r="Z1047" s="1310" t="s">
        <v>1629</v>
      </c>
      <c r="AA1047" s="1310" t="s">
        <v>1534</v>
      </c>
      <c r="AB1047" s="1310" t="s">
        <v>1498</v>
      </c>
      <c r="AC1047" s="1310" t="s">
        <v>1468</v>
      </c>
      <c r="AD1047" s="1310" t="s">
        <v>1599</v>
      </c>
      <c r="AE1047" s="1310" t="s">
        <v>1637</v>
      </c>
      <c r="AF1047" s="1310" t="s">
        <v>1590</v>
      </c>
    </row>
    <row r="1048" spans="1:32" x14ac:dyDescent="0.3">
      <c r="A1048" s="1310" t="s">
        <v>1488</v>
      </c>
      <c r="B1048" s="1310" t="s">
        <v>1602</v>
      </c>
      <c r="C1048" s="1310" t="s">
        <v>1635</v>
      </c>
      <c r="D1048" s="1310" t="s">
        <v>1620</v>
      </c>
      <c r="E1048" s="1310" t="s">
        <v>1501</v>
      </c>
      <c r="F1048" s="1310" t="s">
        <v>1027</v>
      </c>
      <c r="G1048" s="1310" t="s">
        <v>1627</v>
      </c>
      <c r="H1048" s="1310" t="s">
        <v>1649</v>
      </c>
      <c r="I1048" s="1310" t="s">
        <v>1444</v>
      </c>
      <c r="J1048" s="1310" t="s">
        <v>1477</v>
      </c>
      <c r="K1048" s="1310" t="s">
        <v>1555</v>
      </c>
      <c r="L1048" s="1310" t="s">
        <v>1578</v>
      </c>
      <c r="M1048" s="1310" t="s">
        <v>1538</v>
      </c>
      <c r="N1048" s="1310" t="s">
        <v>1494</v>
      </c>
      <c r="O1048" s="1310" t="s">
        <v>1560</v>
      </c>
      <c r="P1048" s="1310" t="s">
        <v>1631</v>
      </c>
      <c r="Q1048" s="1310" t="s">
        <v>1651</v>
      </c>
      <c r="R1048" s="1310" t="s">
        <v>1639</v>
      </c>
      <c r="S1048" s="1310" t="s">
        <v>1576</v>
      </c>
      <c r="T1048" s="1310" t="s">
        <v>1597</v>
      </c>
      <c r="U1048" s="1310" t="s">
        <v>1476</v>
      </c>
      <c r="V1048" s="1310" t="s">
        <v>1564</v>
      </c>
      <c r="W1048" s="1310" t="s">
        <v>1645</v>
      </c>
      <c r="X1048" s="1310" t="s">
        <v>132</v>
      </c>
      <c r="Y1048" s="1310" t="s">
        <v>131</v>
      </c>
      <c r="Z1048" s="1310" t="s">
        <v>262</v>
      </c>
      <c r="AA1048" s="1310" t="s">
        <v>1576</v>
      </c>
      <c r="AB1048" s="1310" t="s">
        <v>1576</v>
      </c>
      <c r="AC1048" s="1310" t="s">
        <v>112</v>
      </c>
      <c r="AD1048" s="1310" t="s">
        <v>1613</v>
      </c>
      <c r="AE1048" s="1310" t="s">
        <v>1518</v>
      </c>
      <c r="AF1048" s="1310" t="s">
        <v>1613</v>
      </c>
    </row>
    <row r="1049" spans="1:32" x14ac:dyDescent="0.3">
      <c r="A1049" s="1310" t="s">
        <v>1603</v>
      </c>
      <c r="B1049" s="1310" t="s">
        <v>1563</v>
      </c>
      <c r="C1049" s="1310" t="s">
        <v>1504</v>
      </c>
      <c r="D1049" s="1310" t="s">
        <v>465</v>
      </c>
      <c r="E1049" s="1310" t="s">
        <v>1573</v>
      </c>
      <c r="F1049" s="1310" t="s">
        <v>1510</v>
      </c>
      <c r="G1049" s="1310" t="s">
        <v>1512</v>
      </c>
      <c r="H1049" s="1310" t="s">
        <v>1631</v>
      </c>
      <c r="I1049" s="1310" t="s">
        <v>1494</v>
      </c>
      <c r="J1049" s="1310" t="s">
        <v>1570</v>
      </c>
      <c r="K1049" s="1310" t="s">
        <v>1540</v>
      </c>
      <c r="L1049" s="1310" t="s">
        <v>6</v>
      </c>
      <c r="M1049" s="1310" t="s">
        <v>1597</v>
      </c>
      <c r="N1049" s="1310" t="s">
        <v>132</v>
      </c>
      <c r="O1049" s="1310" t="s">
        <v>1532</v>
      </c>
      <c r="P1049" s="1310" t="s">
        <v>121</v>
      </c>
      <c r="Q1049" s="1310" t="s">
        <v>1608</v>
      </c>
      <c r="R1049" s="1310" t="s">
        <v>1502</v>
      </c>
      <c r="S1049" s="1310" t="s">
        <v>1443</v>
      </c>
      <c r="T1049" s="1310" t="s">
        <v>1450</v>
      </c>
      <c r="U1049" s="1310" t="s">
        <v>1629</v>
      </c>
      <c r="V1049" s="1310" t="s">
        <v>1503</v>
      </c>
      <c r="W1049" s="1310" t="s">
        <v>1517</v>
      </c>
      <c r="X1049" s="1310" t="s">
        <v>1503</v>
      </c>
      <c r="Y1049" s="1310" t="s">
        <v>1525</v>
      </c>
      <c r="Z1049" s="1310" t="s">
        <v>1643</v>
      </c>
      <c r="AA1049" s="1310" t="s">
        <v>1502</v>
      </c>
      <c r="AB1049" s="1310" t="s">
        <v>1636</v>
      </c>
      <c r="AC1049" s="1310" t="s">
        <v>1619</v>
      </c>
      <c r="AD1049" s="1310" t="s">
        <v>1474</v>
      </c>
      <c r="AE1049" s="1310" t="s">
        <v>1443</v>
      </c>
      <c r="AF1049" s="1310" t="s">
        <v>1450</v>
      </c>
    </row>
    <row r="1050" spans="1:32" x14ac:dyDescent="0.3">
      <c r="A1050" s="1310" t="s">
        <v>128</v>
      </c>
      <c r="B1050" s="1310" t="s">
        <v>1466</v>
      </c>
      <c r="C1050" s="1310" t="s">
        <v>1597</v>
      </c>
      <c r="D1050" s="1310" t="s">
        <v>1503</v>
      </c>
      <c r="E1050" s="1310" t="s">
        <v>1517</v>
      </c>
      <c r="F1050" s="1310" t="s">
        <v>1531</v>
      </c>
      <c r="G1050" s="1310" t="s">
        <v>1490</v>
      </c>
      <c r="H1050" s="1310" t="s">
        <v>1636</v>
      </c>
      <c r="I1050" s="1310" t="s">
        <v>1571</v>
      </c>
      <c r="J1050" s="1310" t="s">
        <v>1530</v>
      </c>
      <c r="K1050" s="1310" t="s">
        <v>1639</v>
      </c>
      <c r="L1050" s="1310" t="s">
        <v>1588</v>
      </c>
      <c r="M1050" s="1310" t="s">
        <v>1623</v>
      </c>
      <c r="N1050" s="1310" t="s">
        <v>131</v>
      </c>
      <c r="O1050" s="1310" t="s">
        <v>1479</v>
      </c>
      <c r="P1050" s="1310" t="s">
        <v>1587</v>
      </c>
      <c r="Q1050" s="1310" t="s">
        <v>1591</v>
      </c>
      <c r="R1050" s="1310" t="s">
        <v>1615</v>
      </c>
      <c r="S1050" s="1310" t="s">
        <v>1517</v>
      </c>
      <c r="T1050" s="1310" t="s">
        <v>1540</v>
      </c>
      <c r="U1050" s="1310" t="s">
        <v>1637</v>
      </c>
      <c r="V1050" s="1310" t="s">
        <v>1619</v>
      </c>
      <c r="W1050" s="1310" t="s">
        <v>1498</v>
      </c>
      <c r="X1050" s="1310" t="s">
        <v>1468</v>
      </c>
      <c r="Y1050" s="1310" t="s">
        <v>1611</v>
      </c>
      <c r="Z1050" s="1310" t="s">
        <v>132</v>
      </c>
      <c r="AA1050" s="1310" t="s">
        <v>1568</v>
      </c>
      <c r="AB1050" s="1310" t="s">
        <v>1561</v>
      </c>
      <c r="AC1050" s="1310" t="s">
        <v>1654</v>
      </c>
      <c r="AD1050" s="1310" t="s">
        <v>1557</v>
      </c>
      <c r="AE1050" s="1310" t="s">
        <v>1583</v>
      </c>
      <c r="AF1050" s="1310" t="s">
        <v>1580</v>
      </c>
    </row>
    <row r="1051" spans="1:32" x14ac:dyDescent="0.3">
      <c r="A1051" s="1310" t="s">
        <v>1551</v>
      </c>
      <c r="B1051" s="1310" t="s">
        <v>1654</v>
      </c>
      <c r="C1051" s="1310" t="s">
        <v>1608</v>
      </c>
      <c r="D1051" s="1310" t="s">
        <v>1456</v>
      </c>
      <c r="E1051" s="1310" t="s">
        <v>465</v>
      </c>
      <c r="F1051" s="1310" t="s">
        <v>1513</v>
      </c>
      <c r="G1051" s="1310" t="s">
        <v>265</v>
      </c>
      <c r="H1051" s="1310" t="s">
        <v>1586</v>
      </c>
      <c r="I1051" s="1310" t="s">
        <v>1630</v>
      </c>
      <c r="J1051" s="1310" t="s">
        <v>1619</v>
      </c>
      <c r="K1051" s="1310" t="s">
        <v>1503</v>
      </c>
      <c r="L1051" s="1310" t="s">
        <v>1638</v>
      </c>
      <c r="M1051" s="1310" t="s">
        <v>1577</v>
      </c>
      <c r="N1051" s="1310" t="s">
        <v>1637</v>
      </c>
      <c r="O1051" s="1310" t="s">
        <v>1624</v>
      </c>
      <c r="P1051" s="1310" t="s">
        <v>1445</v>
      </c>
      <c r="Q1051" s="1310" t="s">
        <v>1030</v>
      </c>
      <c r="R1051" s="1310" t="s">
        <v>1626</v>
      </c>
      <c r="S1051" s="1310" t="s">
        <v>1027</v>
      </c>
      <c r="T1051" s="1310" t="s">
        <v>1579</v>
      </c>
      <c r="U1051" s="1310" t="s">
        <v>267</v>
      </c>
      <c r="V1051" s="1310" t="s">
        <v>1490</v>
      </c>
      <c r="W1051" s="1310" t="s">
        <v>1645</v>
      </c>
      <c r="X1051" s="1310" t="s">
        <v>1564</v>
      </c>
      <c r="Y1051" s="1310" t="s">
        <v>1522</v>
      </c>
      <c r="Z1051" s="1310" t="s">
        <v>1647</v>
      </c>
      <c r="AA1051" s="1310" t="s">
        <v>1539</v>
      </c>
      <c r="AB1051" s="1310" t="s">
        <v>1595</v>
      </c>
      <c r="AC1051" s="1310" t="s">
        <v>1469</v>
      </c>
      <c r="AD1051" s="1310" t="s">
        <v>110</v>
      </c>
      <c r="AE1051" s="1310" t="s">
        <v>1618</v>
      </c>
      <c r="AF1051" s="1310" t="s">
        <v>1468</v>
      </c>
    </row>
    <row r="1052" spans="1:32" x14ac:dyDescent="0.3">
      <c r="A1052" s="1310" t="s">
        <v>1559</v>
      </c>
      <c r="B1052" s="1310" t="s">
        <v>1623</v>
      </c>
      <c r="C1052" s="1310" t="s">
        <v>265</v>
      </c>
      <c r="D1052" s="1310" t="s">
        <v>1496</v>
      </c>
      <c r="E1052" s="1310" t="s">
        <v>1588</v>
      </c>
      <c r="F1052" s="1310" t="s">
        <v>1558</v>
      </c>
      <c r="G1052" s="1310" t="s">
        <v>110</v>
      </c>
      <c r="H1052" s="1310" t="s">
        <v>1532</v>
      </c>
      <c r="I1052" s="1310" t="s">
        <v>1521</v>
      </c>
      <c r="J1052" s="1310" t="s">
        <v>1557</v>
      </c>
      <c r="K1052" s="1310" t="s">
        <v>1501</v>
      </c>
      <c r="L1052" s="1310" t="s">
        <v>1516</v>
      </c>
      <c r="M1052" s="1310" t="s">
        <v>1448</v>
      </c>
      <c r="N1052" s="1310" t="s">
        <v>1567</v>
      </c>
      <c r="O1052" s="1310" t="s">
        <v>1522</v>
      </c>
      <c r="P1052" s="1310" t="s">
        <v>266</v>
      </c>
      <c r="Q1052" s="1310" t="s">
        <v>1516</v>
      </c>
      <c r="R1052" s="1310" t="s">
        <v>1629</v>
      </c>
      <c r="S1052" s="1310" t="s">
        <v>122</v>
      </c>
      <c r="T1052" s="1310" t="s">
        <v>1586</v>
      </c>
      <c r="U1052" s="1310" t="s">
        <v>1601</v>
      </c>
      <c r="V1052" s="1310" t="s">
        <v>1515</v>
      </c>
      <c r="W1052" s="1310" t="s">
        <v>1529</v>
      </c>
      <c r="X1052" s="1310" t="s">
        <v>1631</v>
      </c>
      <c r="Y1052" s="1310" t="s">
        <v>127</v>
      </c>
      <c r="Z1052" s="1310" t="s">
        <v>1453</v>
      </c>
      <c r="AA1052" s="1310" t="s">
        <v>1536</v>
      </c>
      <c r="AB1052" s="1310" t="s">
        <v>1549</v>
      </c>
      <c r="AC1052" s="1310" t="s">
        <v>1456</v>
      </c>
      <c r="AD1052" s="1310" t="s">
        <v>1642</v>
      </c>
      <c r="AE1052" s="1310" t="s">
        <v>1523</v>
      </c>
      <c r="AF1052" s="1310" t="s">
        <v>1494</v>
      </c>
    </row>
    <row r="1053" spans="1:32" x14ac:dyDescent="0.3">
      <c r="A1053" s="1310" t="s">
        <v>1525</v>
      </c>
      <c r="B1053" s="1310" t="s">
        <v>1632</v>
      </c>
      <c r="C1053" s="1310" t="s">
        <v>1595</v>
      </c>
      <c r="D1053" s="1310" t="s">
        <v>1649</v>
      </c>
      <c r="E1053" s="1310" t="s">
        <v>1597</v>
      </c>
      <c r="F1053" s="1310" t="s">
        <v>1546</v>
      </c>
      <c r="G1053" s="1310" t="s">
        <v>1581</v>
      </c>
      <c r="H1053" s="1310" t="s">
        <v>1591</v>
      </c>
      <c r="I1053" s="1310" t="s">
        <v>1525</v>
      </c>
      <c r="J1053" s="1310" t="s">
        <v>1509</v>
      </c>
      <c r="K1053" s="1310" t="s">
        <v>1647</v>
      </c>
      <c r="L1053" s="1310" t="s">
        <v>1578</v>
      </c>
      <c r="M1053" s="1310" t="s">
        <v>1580</v>
      </c>
      <c r="N1053" s="1310" t="s">
        <v>1601</v>
      </c>
      <c r="O1053" s="1310" t="s">
        <v>1645</v>
      </c>
      <c r="P1053" s="1310" t="s">
        <v>1624</v>
      </c>
      <c r="Q1053" s="1310" t="s">
        <v>1560</v>
      </c>
      <c r="R1053" s="1310" t="s">
        <v>1575</v>
      </c>
      <c r="S1053" s="1310" t="s">
        <v>132</v>
      </c>
      <c r="T1053" s="1310" t="s">
        <v>1590</v>
      </c>
      <c r="U1053" s="1310" t="s">
        <v>1619</v>
      </c>
      <c r="V1053" s="1310" t="s">
        <v>1541</v>
      </c>
      <c r="W1053" s="1310" t="s">
        <v>1589</v>
      </c>
      <c r="X1053" s="1310" t="s">
        <v>1653</v>
      </c>
      <c r="Y1053" s="1310" t="s">
        <v>1596</v>
      </c>
      <c r="Z1053" s="1310" t="s">
        <v>1584</v>
      </c>
      <c r="AA1053" s="1310" t="s">
        <v>1617</v>
      </c>
      <c r="AB1053" s="1310" t="s">
        <v>1462</v>
      </c>
      <c r="AC1053" s="1310" t="s">
        <v>1030</v>
      </c>
      <c r="AD1053" s="1310" t="s">
        <v>1027</v>
      </c>
      <c r="AE1053" s="1310" t="s">
        <v>1553</v>
      </c>
      <c r="AF1053" s="1310" t="s">
        <v>1554</v>
      </c>
    </row>
    <row r="1054" spans="1:32" x14ac:dyDescent="0.3">
      <c r="A1054" s="1310" t="s">
        <v>1521</v>
      </c>
      <c r="B1054" s="1310" t="s">
        <v>1609</v>
      </c>
      <c r="C1054" s="1310" t="s">
        <v>1484</v>
      </c>
      <c r="D1054" s="1310" t="s">
        <v>1449</v>
      </c>
      <c r="E1054" s="1310" t="s">
        <v>1556</v>
      </c>
      <c r="F1054" s="1310" t="s">
        <v>1644</v>
      </c>
      <c r="G1054" s="1310" t="s">
        <v>1659</v>
      </c>
      <c r="H1054" s="1310" t="s">
        <v>1561</v>
      </c>
      <c r="I1054" s="1310" t="s">
        <v>1574</v>
      </c>
      <c r="J1054" s="1310" t="s">
        <v>127</v>
      </c>
      <c r="K1054" s="1310" t="s">
        <v>1595</v>
      </c>
      <c r="L1054" s="1310" t="s">
        <v>1599</v>
      </c>
      <c r="M1054" s="1310" t="s">
        <v>1523</v>
      </c>
      <c r="N1054" s="1310" t="s">
        <v>1457</v>
      </c>
      <c r="O1054" s="1310" t="s">
        <v>1648</v>
      </c>
      <c r="P1054" s="1310" t="s">
        <v>1514</v>
      </c>
      <c r="Q1054" s="1310" t="s">
        <v>1480</v>
      </c>
      <c r="R1054" s="1310" t="s">
        <v>1523</v>
      </c>
      <c r="S1054" s="1310" t="s">
        <v>127</v>
      </c>
      <c r="T1054" s="1310" t="s">
        <v>1555</v>
      </c>
      <c r="U1054" s="1310" t="s">
        <v>1528</v>
      </c>
      <c r="V1054" s="1310" t="s">
        <v>1027</v>
      </c>
      <c r="W1054" s="1310" t="s">
        <v>116</v>
      </c>
      <c r="X1054" s="1310" t="s">
        <v>1637</v>
      </c>
      <c r="Y1054" s="1310" t="s">
        <v>1462</v>
      </c>
      <c r="Z1054" s="1310" t="s">
        <v>270</v>
      </c>
      <c r="AA1054" s="1310" t="s">
        <v>1526</v>
      </c>
      <c r="AB1054" s="1310" t="s">
        <v>1591</v>
      </c>
      <c r="AC1054" s="1310" t="s">
        <v>132</v>
      </c>
      <c r="AD1054" s="1310" t="s">
        <v>1564</v>
      </c>
      <c r="AE1054" s="1310" t="s">
        <v>1474</v>
      </c>
      <c r="AF1054" s="1310" t="s">
        <v>1554</v>
      </c>
    </row>
    <row r="1055" spans="1:32" x14ac:dyDescent="0.3">
      <c r="A1055" s="1310" t="s">
        <v>1504</v>
      </c>
      <c r="B1055" s="1310" t="s">
        <v>1484</v>
      </c>
      <c r="C1055" s="1310" t="s">
        <v>1444</v>
      </c>
      <c r="D1055" s="1310" t="s">
        <v>1562</v>
      </c>
      <c r="E1055" s="1310" t="s">
        <v>1602</v>
      </c>
      <c r="F1055" s="1310" t="s">
        <v>1539</v>
      </c>
      <c r="G1055" s="1310" t="s">
        <v>1500</v>
      </c>
      <c r="H1055" s="1310" t="s">
        <v>1536</v>
      </c>
      <c r="I1055" s="1310" t="s">
        <v>1536</v>
      </c>
      <c r="J1055" s="1310" t="s">
        <v>1538</v>
      </c>
      <c r="K1055" s="1310" t="s">
        <v>1528</v>
      </c>
      <c r="L1055" s="1310" t="s">
        <v>1631</v>
      </c>
      <c r="M1055" s="1310" t="s">
        <v>1602</v>
      </c>
      <c r="N1055" s="1310" t="s">
        <v>1656</v>
      </c>
      <c r="O1055" s="1310" t="s">
        <v>1559</v>
      </c>
      <c r="P1055" s="1310" t="s">
        <v>1459</v>
      </c>
      <c r="Q1055" s="1310" t="s">
        <v>1532</v>
      </c>
      <c r="R1055" s="1310" t="s">
        <v>1604</v>
      </c>
      <c r="S1055" s="1310" t="s">
        <v>1488</v>
      </c>
      <c r="T1055" s="1310" t="s">
        <v>130</v>
      </c>
      <c r="U1055" s="1310" t="s">
        <v>1598</v>
      </c>
      <c r="V1055" s="1310" t="s">
        <v>1514</v>
      </c>
      <c r="W1055" s="1310" t="s">
        <v>1642</v>
      </c>
      <c r="X1055" s="1310" t="s">
        <v>1610</v>
      </c>
      <c r="Y1055" s="1310" t="s">
        <v>1650</v>
      </c>
      <c r="Z1055" s="1310" t="s">
        <v>1614</v>
      </c>
      <c r="AA1055" s="1310" t="s">
        <v>120</v>
      </c>
      <c r="AB1055" s="1310" t="s">
        <v>1613</v>
      </c>
      <c r="AC1055" s="1310" t="s">
        <v>1490</v>
      </c>
      <c r="AD1055" s="1310" t="s">
        <v>1563</v>
      </c>
      <c r="AE1055" s="1310" t="s">
        <v>111</v>
      </c>
      <c r="AF1055" s="1310" t="s">
        <v>118</v>
      </c>
    </row>
    <row r="1056" spans="1:32" x14ac:dyDescent="0.3">
      <c r="A1056" s="1310" t="s">
        <v>1629</v>
      </c>
      <c r="B1056" s="1310" t="s">
        <v>1455</v>
      </c>
      <c r="C1056" s="1310" t="s">
        <v>123</v>
      </c>
      <c r="D1056" s="1310" t="s">
        <v>270</v>
      </c>
      <c r="E1056" s="1310" t="s">
        <v>1603</v>
      </c>
      <c r="F1056" s="1310" t="s">
        <v>1517</v>
      </c>
      <c r="G1056" s="1310" t="s">
        <v>1655</v>
      </c>
      <c r="H1056" s="1310" t="s">
        <v>1655</v>
      </c>
      <c r="I1056" s="1310" t="s">
        <v>1501</v>
      </c>
      <c r="J1056" s="1310" t="s">
        <v>132</v>
      </c>
      <c r="K1056" s="1310" t="s">
        <v>1507</v>
      </c>
      <c r="L1056" s="1310" t="s">
        <v>1605</v>
      </c>
      <c r="M1056" s="1310" t="s">
        <v>123</v>
      </c>
      <c r="N1056" s="1310" t="s">
        <v>1561</v>
      </c>
      <c r="O1056" s="1310" t="s">
        <v>1603</v>
      </c>
      <c r="P1056" s="1310" t="s">
        <v>1491</v>
      </c>
      <c r="Q1056" s="1310" t="s">
        <v>1653</v>
      </c>
      <c r="R1056" s="1310" t="s">
        <v>1570</v>
      </c>
      <c r="S1056" s="1310" t="s">
        <v>1575</v>
      </c>
      <c r="T1056" s="1310" t="s">
        <v>1640</v>
      </c>
      <c r="U1056" s="1310" t="s">
        <v>1502</v>
      </c>
      <c r="V1056" s="1310" t="s">
        <v>1532</v>
      </c>
      <c r="W1056" s="1310" t="s">
        <v>1489</v>
      </c>
      <c r="X1056" s="1310" t="s">
        <v>1551</v>
      </c>
      <c r="Y1056" s="1310" t="s">
        <v>1505</v>
      </c>
      <c r="Z1056" s="1310" t="s">
        <v>1633</v>
      </c>
      <c r="AA1056" s="1310" t="s">
        <v>1027</v>
      </c>
      <c r="AB1056" s="1310" t="s">
        <v>1470</v>
      </c>
      <c r="AC1056" s="1310" t="s">
        <v>1551</v>
      </c>
      <c r="AD1056" s="1310" t="s">
        <v>1580</v>
      </c>
      <c r="AE1056" s="1310" t="s">
        <v>1556</v>
      </c>
      <c r="AF1056" s="1310" t="s">
        <v>1654</v>
      </c>
    </row>
    <row r="1057" spans="1:32" x14ac:dyDescent="0.3">
      <c r="A1057" s="1310" t="s">
        <v>1535</v>
      </c>
      <c r="B1057" s="1310" t="s">
        <v>1540</v>
      </c>
      <c r="C1057" s="1310" t="s">
        <v>1581</v>
      </c>
      <c r="D1057" s="1310" t="s">
        <v>1475</v>
      </c>
      <c r="E1057" s="1310" t="s">
        <v>129</v>
      </c>
      <c r="F1057" s="1310" t="s">
        <v>1524</v>
      </c>
      <c r="G1057" s="1310" t="s">
        <v>1480</v>
      </c>
      <c r="H1057" s="1310" t="s">
        <v>1453</v>
      </c>
      <c r="I1057" s="1310" t="s">
        <v>1457</v>
      </c>
      <c r="J1057" s="1310" t="s">
        <v>1483</v>
      </c>
      <c r="K1057" s="1310" t="s">
        <v>1512</v>
      </c>
      <c r="L1057" s="1310" t="s">
        <v>111</v>
      </c>
      <c r="M1057" s="1310" t="s">
        <v>1577</v>
      </c>
      <c r="N1057" s="1310" t="s">
        <v>1560</v>
      </c>
      <c r="O1057" s="1310" t="s">
        <v>1027</v>
      </c>
      <c r="P1057" s="1310" t="s">
        <v>1525</v>
      </c>
      <c r="Q1057" s="1310" t="s">
        <v>1552</v>
      </c>
      <c r="R1057" s="1310" t="s">
        <v>1506</v>
      </c>
      <c r="S1057" s="1310" t="s">
        <v>1571</v>
      </c>
      <c r="T1057" s="1310" t="s">
        <v>1507</v>
      </c>
      <c r="U1057" s="1310" t="s">
        <v>1566</v>
      </c>
      <c r="V1057" s="1310" t="s">
        <v>1579</v>
      </c>
      <c r="W1057" s="1310" t="s">
        <v>1470</v>
      </c>
      <c r="X1057" s="1310" t="s">
        <v>1577</v>
      </c>
      <c r="Y1057" s="1310" t="s">
        <v>1575</v>
      </c>
      <c r="Z1057" s="1310" t="s">
        <v>1566</v>
      </c>
      <c r="AA1057" s="1310" t="s">
        <v>1500</v>
      </c>
      <c r="AB1057" s="1310" t="s">
        <v>1581</v>
      </c>
      <c r="AC1057" s="1310" t="s">
        <v>1457</v>
      </c>
      <c r="AD1057" s="1310" t="s">
        <v>117</v>
      </c>
      <c r="AE1057" s="1310" t="s">
        <v>1521</v>
      </c>
      <c r="AF1057" s="1310" t="s">
        <v>1641</v>
      </c>
    </row>
    <row r="1058" spans="1:32" x14ac:dyDescent="0.3">
      <c r="A1058" s="1310" t="s">
        <v>1607</v>
      </c>
      <c r="B1058" s="1310" t="s">
        <v>1449</v>
      </c>
      <c r="C1058" s="1310" t="s">
        <v>1554</v>
      </c>
      <c r="D1058" s="1310" t="s">
        <v>1449</v>
      </c>
      <c r="E1058" s="1310" t="s">
        <v>1646</v>
      </c>
      <c r="F1058" s="1310" t="s">
        <v>115</v>
      </c>
      <c r="G1058" s="1310" t="s">
        <v>133</v>
      </c>
      <c r="H1058" s="1310" t="s">
        <v>120</v>
      </c>
      <c r="I1058" s="1310" t="s">
        <v>268</v>
      </c>
      <c r="J1058" s="1310" t="s">
        <v>1594</v>
      </c>
      <c r="K1058" s="1310" t="s">
        <v>1660</v>
      </c>
      <c r="L1058" s="1310" t="s">
        <v>1459</v>
      </c>
      <c r="M1058" s="1310" t="s">
        <v>1603</v>
      </c>
      <c r="N1058" s="1310" t="s">
        <v>1579</v>
      </c>
      <c r="O1058" s="1310" t="s">
        <v>1566</v>
      </c>
      <c r="P1058" s="1310" t="s">
        <v>1486</v>
      </c>
      <c r="Q1058" s="1310" t="s">
        <v>116</v>
      </c>
      <c r="R1058" s="1310" t="s">
        <v>1649</v>
      </c>
      <c r="S1058" s="1310" t="s">
        <v>1636</v>
      </c>
      <c r="T1058" s="1310" t="s">
        <v>1490</v>
      </c>
      <c r="U1058" s="1310" t="s">
        <v>1603</v>
      </c>
      <c r="V1058" s="1310" t="s">
        <v>1550</v>
      </c>
      <c r="W1058" s="1310" t="s">
        <v>1511</v>
      </c>
      <c r="X1058" s="1310" t="s">
        <v>124</v>
      </c>
      <c r="Y1058" s="1310" t="s">
        <v>1455</v>
      </c>
      <c r="Z1058" s="1310" t="s">
        <v>1515</v>
      </c>
      <c r="AA1058" s="1310" t="s">
        <v>1574</v>
      </c>
      <c r="AB1058" s="1310" t="s">
        <v>1624</v>
      </c>
      <c r="AC1058" s="1310" t="s">
        <v>1466</v>
      </c>
      <c r="AD1058" s="1310" t="s">
        <v>1499</v>
      </c>
      <c r="AE1058" s="1310" t="s">
        <v>1534</v>
      </c>
      <c r="AF1058" s="1310" t="s">
        <v>1445</v>
      </c>
    </row>
    <row r="1059" spans="1:32" x14ac:dyDescent="0.3">
      <c r="A1059" s="1310" t="s">
        <v>1526</v>
      </c>
      <c r="B1059" s="1310" t="s">
        <v>1030</v>
      </c>
      <c r="C1059" s="1310" t="s">
        <v>1614</v>
      </c>
      <c r="D1059" s="1310" t="s">
        <v>1528</v>
      </c>
      <c r="E1059" s="1310" t="s">
        <v>133</v>
      </c>
      <c r="F1059" s="1310" t="s">
        <v>1590</v>
      </c>
      <c r="G1059" s="1310" t="s">
        <v>1561</v>
      </c>
      <c r="H1059" s="1310" t="s">
        <v>1443</v>
      </c>
      <c r="I1059" s="1310" t="s">
        <v>1450</v>
      </c>
      <c r="J1059" s="1310" t="s">
        <v>1653</v>
      </c>
      <c r="K1059" s="1310" t="s">
        <v>1466</v>
      </c>
      <c r="L1059" s="1310" t="s">
        <v>1491</v>
      </c>
      <c r="M1059" s="1310" t="s">
        <v>1580</v>
      </c>
      <c r="N1059" s="1310" t="s">
        <v>1491</v>
      </c>
      <c r="O1059" s="1310" t="s">
        <v>1501</v>
      </c>
      <c r="P1059" s="1310" t="s">
        <v>1570</v>
      </c>
      <c r="Q1059" s="1310" t="s">
        <v>1459</v>
      </c>
      <c r="R1059" s="1310" t="s">
        <v>1653</v>
      </c>
      <c r="S1059" s="1310" t="s">
        <v>1657</v>
      </c>
      <c r="T1059" s="1310" t="s">
        <v>1654</v>
      </c>
      <c r="U1059" s="1310" t="s">
        <v>1474</v>
      </c>
      <c r="V1059" s="1310" t="s">
        <v>1640</v>
      </c>
      <c r="W1059" s="1310" t="s">
        <v>1463</v>
      </c>
      <c r="X1059" s="1310" t="s">
        <v>1621</v>
      </c>
      <c r="Y1059" s="1310" t="s">
        <v>1554</v>
      </c>
      <c r="Z1059" s="1310" t="s">
        <v>1554</v>
      </c>
      <c r="AA1059" s="1310" t="s">
        <v>111</v>
      </c>
      <c r="AB1059" s="1310" t="s">
        <v>1644</v>
      </c>
      <c r="AC1059" s="1310" t="s">
        <v>1653</v>
      </c>
      <c r="AD1059" s="1310" t="s">
        <v>1619</v>
      </c>
      <c r="AE1059" s="1310" t="s">
        <v>1550</v>
      </c>
      <c r="AF1059" s="1310" t="s">
        <v>1635</v>
      </c>
    </row>
    <row r="1060" spans="1:32" x14ac:dyDescent="0.3">
      <c r="A1060" s="1310" t="s">
        <v>1513</v>
      </c>
      <c r="B1060" s="1310" t="s">
        <v>1500</v>
      </c>
      <c r="C1060" s="1310" t="s">
        <v>1590</v>
      </c>
      <c r="D1060" s="1310" t="s">
        <v>1615</v>
      </c>
      <c r="E1060" s="1310" t="s">
        <v>1599</v>
      </c>
      <c r="F1060" s="1310" t="s">
        <v>1566</v>
      </c>
      <c r="G1060" s="1310" t="s">
        <v>1649</v>
      </c>
      <c r="H1060" s="1310" t="s">
        <v>1584</v>
      </c>
      <c r="I1060" s="1310" t="s">
        <v>1494</v>
      </c>
      <c r="J1060" s="1310" t="s">
        <v>1643</v>
      </c>
      <c r="K1060" s="1310" t="s">
        <v>1526</v>
      </c>
      <c r="L1060" s="1310" t="s">
        <v>1464</v>
      </c>
      <c r="M1060" s="1310" t="s">
        <v>1604</v>
      </c>
      <c r="N1060" s="1310" t="s">
        <v>1528</v>
      </c>
      <c r="O1060" s="1310" t="s">
        <v>1594</v>
      </c>
      <c r="P1060" s="1310" t="s">
        <v>1563</v>
      </c>
      <c r="Q1060" s="1310" t="s">
        <v>1457</v>
      </c>
      <c r="R1060" s="1310" t="s">
        <v>1513</v>
      </c>
      <c r="S1060" s="1310" t="s">
        <v>1516</v>
      </c>
      <c r="T1060" s="1310" t="s">
        <v>1572</v>
      </c>
      <c r="U1060" s="1310" t="s">
        <v>1546</v>
      </c>
      <c r="V1060" s="1310" t="s">
        <v>1631</v>
      </c>
      <c r="W1060" s="1310" t="s">
        <v>1646</v>
      </c>
      <c r="X1060" s="1310" t="s">
        <v>1640</v>
      </c>
      <c r="Y1060" s="1310" t="s">
        <v>131</v>
      </c>
      <c r="Z1060" s="1310" t="s">
        <v>1650</v>
      </c>
      <c r="AA1060" s="1310" t="s">
        <v>1502</v>
      </c>
      <c r="AB1060" s="1310" t="s">
        <v>1535</v>
      </c>
      <c r="AC1060" s="1310" t="s">
        <v>1605</v>
      </c>
      <c r="AD1060" s="1310" t="s">
        <v>1544</v>
      </c>
      <c r="AE1060" s="1310" t="s">
        <v>1486</v>
      </c>
      <c r="AF1060" s="1310" t="s">
        <v>1527</v>
      </c>
    </row>
    <row r="1061" spans="1:32" x14ac:dyDescent="0.3">
      <c r="A1061" s="1310" t="s">
        <v>1523</v>
      </c>
      <c r="B1061" s="1310" t="s">
        <v>1622</v>
      </c>
      <c r="C1061" s="1310" t="s">
        <v>1537</v>
      </c>
      <c r="D1061" s="1310" t="s">
        <v>1612</v>
      </c>
      <c r="E1061" s="1310" t="s">
        <v>1561</v>
      </c>
      <c r="F1061" s="1310" t="s">
        <v>1641</v>
      </c>
      <c r="G1061" s="1310" t="s">
        <v>1488</v>
      </c>
      <c r="H1061" s="1310" t="s">
        <v>131</v>
      </c>
      <c r="I1061" s="1310" t="s">
        <v>1641</v>
      </c>
      <c r="J1061" s="1310" t="s">
        <v>131</v>
      </c>
      <c r="K1061" s="1310" t="s">
        <v>126</v>
      </c>
      <c r="L1061" s="1310" t="s">
        <v>1637</v>
      </c>
      <c r="M1061" s="1310" t="s">
        <v>1643</v>
      </c>
      <c r="N1061" s="1310" t="s">
        <v>1647</v>
      </c>
      <c r="O1061" s="1310" t="s">
        <v>1527</v>
      </c>
      <c r="P1061" s="1310" t="s">
        <v>133</v>
      </c>
      <c r="Q1061" s="1310" t="s">
        <v>1533</v>
      </c>
      <c r="R1061" s="1310" t="s">
        <v>1588</v>
      </c>
      <c r="S1061" s="1310" t="s">
        <v>1611</v>
      </c>
      <c r="T1061" s="1310" t="s">
        <v>1493</v>
      </c>
      <c r="U1061" s="1310" t="s">
        <v>1505</v>
      </c>
      <c r="V1061" s="1310" t="s">
        <v>1478</v>
      </c>
      <c r="W1061" s="1310" t="s">
        <v>1463</v>
      </c>
      <c r="X1061" s="1310" t="s">
        <v>1571</v>
      </c>
      <c r="Y1061" s="1310" t="s">
        <v>1501</v>
      </c>
      <c r="Z1061" s="1310" t="s">
        <v>1569</v>
      </c>
      <c r="AA1061" s="1310" t="s">
        <v>1475</v>
      </c>
      <c r="AB1061" s="1310" t="s">
        <v>1628</v>
      </c>
      <c r="AC1061" s="1310" t="s">
        <v>1573</v>
      </c>
      <c r="AD1061" s="1310" t="s">
        <v>1570</v>
      </c>
      <c r="AE1061" s="1310" t="s">
        <v>1545</v>
      </c>
      <c r="AF1061" s="1310" t="s">
        <v>270</v>
      </c>
    </row>
    <row r="1062" spans="1:32" x14ac:dyDescent="0.3">
      <c r="A1062" s="1310" t="s">
        <v>1556</v>
      </c>
      <c r="B1062" s="1310" t="s">
        <v>1477</v>
      </c>
      <c r="C1062" s="1310" t="s">
        <v>1501</v>
      </c>
      <c r="D1062" s="1310" t="s">
        <v>1584</v>
      </c>
      <c r="E1062" s="1310" t="s">
        <v>1511</v>
      </c>
      <c r="F1062" s="1310" t="s">
        <v>111</v>
      </c>
      <c r="G1062" s="1310" t="s">
        <v>1658</v>
      </c>
      <c r="H1062" s="1310" t="s">
        <v>1556</v>
      </c>
      <c r="I1062" s="1310" t="s">
        <v>1476</v>
      </c>
      <c r="J1062" s="1310" t="s">
        <v>1524</v>
      </c>
      <c r="K1062" s="1310" t="s">
        <v>1452</v>
      </c>
      <c r="L1062" s="1310" t="s">
        <v>1495</v>
      </c>
      <c r="M1062" s="1310" t="s">
        <v>1449</v>
      </c>
      <c r="N1062" s="1310" t="s">
        <v>1582</v>
      </c>
      <c r="O1062" s="1310" t="s">
        <v>115</v>
      </c>
      <c r="P1062" s="1310" t="s">
        <v>1655</v>
      </c>
      <c r="Q1062" s="1310" t="s">
        <v>1655</v>
      </c>
      <c r="R1062" s="1310" t="s">
        <v>115</v>
      </c>
      <c r="S1062" s="1310" t="s">
        <v>127</v>
      </c>
      <c r="T1062" s="1310" t="s">
        <v>1613</v>
      </c>
      <c r="U1062" s="1310" t="s">
        <v>1471</v>
      </c>
      <c r="V1062" s="1310" t="s">
        <v>1577</v>
      </c>
      <c r="W1062" s="1310" t="s">
        <v>1558</v>
      </c>
      <c r="X1062" s="1310" t="s">
        <v>1534</v>
      </c>
      <c r="Y1062" s="1310" t="s">
        <v>1446</v>
      </c>
      <c r="Z1062" s="1310" t="s">
        <v>1590</v>
      </c>
      <c r="AA1062" s="1310" t="s">
        <v>1502</v>
      </c>
      <c r="AB1062" s="1310" t="s">
        <v>1445</v>
      </c>
      <c r="AC1062" s="1310" t="s">
        <v>1595</v>
      </c>
      <c r="AD1062" s="1310" t="s">
        <v>1644</v>
      </c>
      <c r="AE1062" s="1310" t="s">
        <v>1521</v>
      </c>
      <c r="AF1062" s="1310" t="s">
        <v>1624</v>
      </c>
    </row>
    <row r="1063" spans="1:32" x14ac:dyDescent="0.3">
      <c r="A1063" s="1310" t="s">
        <v>1501</v>
      </c>
      <c r="B1063" s="1310" t="s">
        <v>1590</v>
      </c>
      <c r="C1063" s="1310" t="s">
        <v>125</v>
      </c>
      <c r="D1063" s="1310" t="s">
        <v>1590</v>
      </c>
      <c r="E1063" s="1310" t="s">
        <v>1633</v>
      </c>
      <c r="F1063" s="1310" t="s">
        <v>1569</v>
      </c>
      <c r="G1063" s="1310" t="s">
        <v>1474</v>
      </c>
      <c r="H1063" s="1310" t="s">
        <v>1546</v>
      </c>
      <c r="I1063" s="1310" t="s">
        <v>1580</v>
      </c>
      <c r="J1063" s="1310" t="s">
        <v>1492</v>
      </c>
      <c r="K1063" s="1310" t="s">
        <v>1443</v>
      </c>
      <c r="L1063" s="1310" t="s">
        <v>1450</v>
      </c>
      <c r="M1063" s="1310" t="s">
        <v>1459</v>
      </c>
      <c r="N1063" s="1310" t="s">
        <v>1456</v>
      </c>
      <c r="O1063" s="1310" t="s">
        <v>132</v>
      </c>
      <c r="P1063" s="1310" t="s">
        <v>267</v>
      </c>
      <c r="Q1063" s="1310" t="s">
        <v>1501</v>
      </c>
      <c r="R1063" s="1310" t="s">
        <v>1599</v>
      </c>
      <c r="S1063" s="1310" t="s">
        <v>1625</v>
      </c>
      <c r="T1063" s="1310" t="s">
        <v>112</v>
      </c>
      <c r="U1063" s="1310" t="s">
        <v>1620</v>
      </c>
      <c r="V1063" s="1310" t="s">
        <v>1474</v>
      </c>
      <c r="W1063" s="1310" t="s">
        <v>1654</v>
      </c>
      <c r="X1063" s="1310" t="s">
        <v>1579</v>
      </c>
      <c r="Y1063" s="1310" t="s">
        <v>110</v>
      </c>
      <c r="Z1063" s="1310" t="s">
        <v>1656</v>
      </c>
      <c r="AA1063" s="1310" t="s">
        <v>121</v>
      </c>
      <c r="AB1063" s="1310" t="s">
        <v>1499</v>
      </c>
      <c r="AC1063" s="1310" t="s">
        <v>1475</v>
      </c>
      <c r="AD1063" s="1310" t="s">
        <v>1457</v>
      </c>
      <c r="AE1063" s="1310" t="s">
        <v>1650</v>
      </c>
      <c r="AF1063" s="1310" t="s">
        <v>1519</v>
      </c>
    </row>
    <row r="1064" spans="1:32" x14ac:dyDescent="0.3">
      <c r="A1064" s="1310" t="s">
        <v>1572</v>
      </c>
      <c r="B1064" s="1310" t="s">
        <v>1583</v>
      </c>
      <c r="C1064" s="1310" t="s">
        <v>1660</v>
      </c>
      <c r="D1064" s="1310" t="s">
        <v>117</v>
      </c>
      <c r="E1064" s="1310" t="s">
        <v>1612</v>
      </c>
      <c r="F1064" s="1310" t="s">
        <v>1623</v>
      </c>
      <c r="G1064" s="1310" t="s">
        <v>1599</v>
      </c>
      <c r="H1064" s="1310" t="s">
        <v>1478</v>
      </c>
      <c r="I1064" s="1310" t="s">
        <v>1655</v>
      </c>
      <c r="J1064" s="1310" t="s">
        <v>1589</v>
      </c>
      <c r="K1064" s="1310" t="s">
        <v>1639</v>
      </c>
      <c r="L1064" s="1310" t="s">
        <v>1544</v>
      </c>
      <c r="M1064" s="1310" t="s">
        <v>1588</v>
      </c>
      <c r="N1064" s="1310" t="s">
        <v>127</v>
      </c>
      <c r="O1064" s="1310" t="s">
        <v>465</v>
      </c>
      <c r="P1064" s="1310" t="s">
        <v>1577</v>
      </c>
      <c r="Q1064" s="1310" t="s">
        <v>1605</v>
      </c>
      <c r="R1064" s="1310" t="s">
        <v>1505</v>
      </c>
      <c r="S1064" s="1310" t="s">
        <v>1454</v>
      </c>
      <c r="T1064" s="1310" t="s">
        <v>1460</v>
      </c>
      <c r="U1064" s="1310" t="s">
        <v>126</v>
      </c>
      <c r="V1064" s="1310" t="s">
        <v>1645</v>
      </c>
      <c r="W1064" s="1310" t="s">
        <v>1630</v>
      </c>
      <c r="X1064" s="1310" t="s">
        <v>1554</v>
      </c>
      <c r="Y1064" s="1310" t="s">
        <v>1583</v>
      </c>
      <c r="Z1064" s="1310" t="s">
        <v>1478</v>
      </c>
      <c r="AA1064" s="1310" t="s">
        <v>1630</v>
      </c>
      <c r="AB1064" s="1310" t="s">
        <v>1449</v>
      </c>
      <c r="AC1064" s="1310" t="s">
        <v>1619</v>
      </c>
      <c r="AD1064" s="1310" t="s">
        <v>1486</v>
      </c>
      <c r="AE1064" s="1310" t="s">
        <v>1519</v>
      </c>
      <c r="AF1064" s="1310" t="s">
        <v>1592</v>
      </c>
    </row>
    <row r="1065" spans="1:32" x14ac:dyDescent="0.3">
      <c r="A1065" s="1310" t="s">
        <v>121</v>
      </c>
      <c r="B1065" s="1310" t="s">
        <v>1603</v>
      </c>
      <c r="C1065" s="1310" t="s">
        <v>1566</v>
      </c>
      <c r="D1065" s="1310" t="s">
        <v>1030</v>
      </c>
      <c r="E1065" s="1310" t="s">
        <v>1645</v>
      </c>
      <c r="F1065" s="1310" t="s">
        <v>1444</v>
      </c>
      <c r="G1065" s="1310" t="s">
        <v>1629</v>
      </c>
      <c r="H1065" s="1310" t="s">
        <v>1636</v>
      </c>
      <c r="I1065" s="1310" t="s">
        <v>1519</v>
      </c>
      <c r="J1065" s="1310" t="s">
        <v>1647</v>
      </c>
      <c r="K1065" s="1310" t="s">
        <v>1538</v>
      </c>
      <c r="L1065" s="1310" t="s">
        <v>1575</v>
      </c>
      <c r="M1065" s="1310" t="s">
        <v>1646</v>
      </c>
      <c r="N1065" s="1310" t="s">
        <v>1617</v>
      </c>
      <c r="O1065" s="1310" t="s">
        <v>1655</v>
      </c>
      <c r="P1065" s="1310" t="s">
        <v>1643</v>
      </c>
      <c r="Q1065" s="1310" t="s">
        <v>1635</v>
      </c>
      <c r="R1065" s="1310" t="s">
        <v>1510</v>
      </c>
      <c r="S1065" s="1310" t="s">
        <v>1633</v>
      </c>
      <c r="T1065" s="1310" t="s">
        <v>1637</v>
      </c>
      <c r="U1065" s="1310" t="s">
        <v>1539</v>
      </c>
      <c r="V1065" s="1310" t="s">
        <v>1529</v>
      </c>
      <c r="W1065" s="1310" t="s">
        <v>1511</v>
      </c>
      <c r="X1065" s="1310" t="s">
        <v>1656</v>
      </c>
      <c r="Y1065" s="1310" t="s">
        <v>1545</v>
      </c>
      <c r="Z1065" s="1310" t="s">
        <v>1604</v>
      </c>
      <c r="AA1065" s="1310" t="s">
        <v>1553</v>
      </c>
      <c r="AB1065" s="1310" t="s">
        <v>1577</v>
      </c>
      <c r="AC1065" s="1310" t="s">
        <v>1579</v>
      </c>
      <c r="AD1065" s="1310" t="s">
        <v>1450</v>
      </c>
      <c r="AE1065" s="1310" t="s">
        <v>1608</v>
      </c>
      <c r="AF1065" s="1310" t="s">
        <v>1602</v>
      </c>
    </row>
    <row r="1066" spans="1:32" x14ac:dyDescent="0.3">
      <c r="A1066" s="1310" t="s">
        <v>119</v>
      </c>
      <c r="B1066" s="1310" t="s">
        <v>1615</v>
      </c>
      <c r="C1066" s="1310" t="s">
        <v>119</v>
      </c>
      <c r="D1066" s="1310" t="s">
        <v>1462</v>
      </c>
      <c r="E1066" s="1310" t="s">
        <v>1628</v>
      </c>
      <c r="F1066" s="1310" t="s">
        <v>1494</v>
      </c>
      <c r="G1066" s="1310" t="s">
        <v>1461</v>
      </c>
      <c r="H1066" s="1310" t="s">
        <v>115</v>
      </c>
      <c r="I1066" s="1310" t="s">
        <v>116</v>
      </c>
      <c r="J1066" s="1310" t="s">
        <v>1580</v>
      </c>
      <c r="K1066" s="1310" t="s">
        <v>1542</v>
      </c>
      <c r="L1066" s="1310" t="s">
        <v>1512</v>
      </c>
      <c r="M1066" s="1310" t="s">
        <v>1657</v>
      </c>
      <c r="N1066" s="1310" t="s">
        <v>1494</v>
      </c>
      <c r="O1066" s="1310" t="s">
        <v>1637</v>
      </c>
      <c r="P1066" s="1310" t="s">
        <v>265</v>
      </c>
      <c r="Q1066" s="1310" t="s">
        <v>110</v>
      </c>
      <c r="R1066" s="1310" t="s">
        <v>1508</v>
      </c>
      <c r="S1066" s="1310" t="s">
        <v>1480</v>
      </c>
      <c r="T1066" s="1310" t="s">
        <v>1620</v>
      </c>
      <c r="U1066" s="1310" t="s">
        <v>1456</v>
      </c>
      <c r="V1066" s="1310" t="s">
        <v>115</v>
      </c>
      <c r="W1066" s="1310" t="s">
        <v>1517</v>
      </c>
      <c r="X1066" s="1310" t="s">
        <v>1492</v>
      </c>
      <c r="Y1066" s="1310" t="s">
        <v>1486</v>
      </c>
      <c r="Z1066" s="1310" t="s">
        <v>1631</v>
      </c>
      <c r="AA1066" s="1310" t="s">
        <v>1443</v>
      </c>
      <c r="AB1066" s="1310" t="s">
        <v>1450</v>
      </c>
      <c r="AC1066" s="1310" t="s">
        <v>1489</v>
      </c>
      <c r="AD1066" s="1310" t="s">
        <v>1603</v>
      </c>
      <c r="AE1066" s="1310" t="s">
        <v>1562</v>
      </c>
      <c r="AF1066" s="1310" t="s">
        <v>1564</v>
      </c>
    </row>
    <row r="1067" spans="1:32" x14ac:dyDescent="0.3">
      <c r="A1067" s="1310" t="s">
        <v>1622</v>
      </c>
      <c r="B1067" s="1310" t="s">
        <v>471</v>
      </c>
      <c r="C1067" s="1310" t="s">
        <v>1614</v>
      </c>
      <c r="D1067" s="1310" t="s">
        <v>1570</v>
      </c>
      <c r="E1067" s="1310" t="s">
        <v>1603</v>
      </c>
      <c r="F1067" s="1310" t="s">
        <v>1469</v>
      </c>
      <c r="G1067" s="1310" t="s">
        <v>1614</v>
      </c>
      <c r="H1067" s="1310" t="s">
        <v>1590</v>
      </c>
      <c r="I1067" s="1310" t="s">
        <v>1502</v>
      </c>
      <c r="J1067" s="1310" t="s">
        <v>1468</v>
      </c>
      <c r="K1067" s="1310" t="s">
        <v>126</v>
      </c>
      <c r="L1067" s="1310" t="s">
        <v>1468</v>
      </c>
      <c r="M1067" s="1310" t="s">
        <v>1643</v>
      </c>
      <c r="N1067" s="1310" t="s">
        <v>124</v>
      </c>
      <c r="O1067" s="1310" t="s">
        <v>1625</v>
      </c>
      <c r="P1067" s="1310" t="s">
        <v>1660</v>
      </c>
      <c r="Q1067" s="1310" t="s">
        <v>1584</v>
      </c>
      <c r="R1067" s="1310" t="s">
        <v>1603</v>
      </c>
      <c r="S1067" s="1310" t="s">
        <v>1556</v>
      </c>
      <c r="T1067" s="1310" t="s">
        <v>1613</v>
      </c>
      <c r="U1067" s="1310" t="s">
        <v>1516</v>
      </c>
      <c r="V1067" s="1310" t="s">
        <v>1479</v>
      </c>
      <c r="W1067" s="1310" t="s">
        <v>1030</v>
      </c>
      <c r="X1067" s="1310" t="s">
        <v>1494</v>
      </c>
      <c r="Y1067" s="1310" t="s">
        <v>1638</v>
      </c>
      <c r="Z1067" s="1310" t="s">
        <v>1635</v>
      </c>
      <c r="AA1067" s="1310" t="s">
        <v>1577</v>
      </c>
      <c r="AB1067" s="1310" t="s">
        <v>1647</v>
      </c>
      <c r="AC1067" s="1310" t="s">
        <v>1566</v>
      </c>
      <c r="AD1067" s="1310" t="s">
        <v>1509</v>
      </c>
      <c r="AE1067" s="1310" t="s">
        <v>1616</v>
      </c>
      <c r="AF1067" s="1310" t="s">
        <v>1655</v>
      </c>
    </row>
    <row r="1068" spans="1:32" x14ac:dyDescent="0.3">
      <c r="A1068" s="1310" t="s">
        <v>1539</v>
      </c>
      <c r="B1068" s="1310" t="s">
        <v>130</v>
      </c>
      <c r="C1068" s="1310" t="s">
        <v>1444</v>
      </c>
      <c r="D1068" s="1310" t="s">
        <v>1659</v>
      </c>
      <c r="E1068" s="1310" t="s">
        <v>269</v>
      </c>
      <c r="F1068" s="1310" t="s">
        <v>1637</v>
      </c>
      <c r="G1068" s="1310" t="s">
        <v>1627</v>
      </c>
      <c r="H1068" s="1310" t="s">
        <v>1495</v>
      </c>
      <c r="I1068" s="1310" t="s">
        <v>1526</v>
      </c>
      <c r="J1068" s="1310" t="s">
        <v>1507</v>
      </c>
      <c r="K1068" s="1310" t="s">
        <v>266</v>
      </c>
      <c r="L1068" s="1310" t="s">
        <v>1634</v>
      </c>
      <c r="M1068" s="1310" t="s">
        <v>1473</v>
      </c>
      <c r="N1068" s="1310" t="s">
        <v>1498</v>
      </c>
      <c r="O1068" s="1310" t="s">
        <v>1612</v>
      </c>
      <c r="P1068" s="1310" t="s">
        <v>1649</v>
      </c>
      <c r="Q1068" s="1310" t="s">
        <v>1507</v>
      </c>
      <c r="R1068" s="1310" t="s">
        <v>1525</v>
      </c>
      <c r="S1068" s="1310" t="s">
        <v>1540</v>
      </c>
      <c r="T1068" s="1310" t="s">
        <v>1553</v>
      </c>
      <c r="U1068" s="1310" t="s">
        <v>1460</v>
      </c>
      <c r="V1068" s="1310" t="s">
        <v>1494</v>
      </c>
      <c r="W1068" s="1310" t="s">
        <v>1653</v>
      </c>
      <c r="X1068" s="1310" t="s">
        <v>1462</v>
      </c>
      <c r="Y1068" s="1310" t="s">
        <v>1649</v>
      </c>
      <c r="Z1068" s="1310" t="s">
        <v>119</v>
      </c>
      <c r="AA1068" s="1310" t="s">
        <v>1562</v>
      </c>
      <c r="AB1068" s="1310" t="s">
        <v>1580</v>
      </c>
      <c r="AC1068" s="1310" t="s">
        <v>115</v>
      </c>
      <c r="AD1068" s="1310" t="s">
        <v>120</v>
      </c>
      <c r="AE1068" s="1310" t="s">
        <v>1573</v>
      </c>
      <c r="AF1068" s="1310" t="s">
        <v>1572</v>
      </c>
    </row>
    <row r="1069" spans="1:32" x14ac:dyDescent="0.3">
      <c r="A1069" s="1310" t="s">
        <v>1604</v>
      </c>
      <c r="B1069" s="1310" t="s">
        <v>1552</v>
      </c>
      <c r="C1069" s="1310" t="s">
        <v>1617</v>
      </c>
      <c r="D1069" s="1310" t="s">
        <v>1470</v>
      </c>
      <c r="E1069" s="1310" t="s">
        <v>126</v>
      </c>
      <c r="F1069" s="1310" t="s">
        <v>1658</v>
      </c>
      <c r="G1069" s="1310" t="s">
        <v>1602</v>
      </c>
      <c r="H1069" s="1310" t="s">
        <v>1516</v>
      </c>
      <c r="I1069" s="1310" t="s">
        <v>1521</v>
      </c>
      <c r="J1069" s="1310" t="s">
        <v>1610</v>
      </c>
      <c r="K1069" s="1310" t="s">
        <v>1566</v>
      </c>
      <c r="L1069" s="1310" t="s">
        <v>1590</v>
      </c>
      <c r="M1069" s="1310" t="s">
        <v>1590</v>
      </c>
      <c r="N1069" s="1310" t="s">
        <v>1641</v>
      </c>
      <c r="O1069" s="1310" t="s">
        <v>1030</v>
      </c>
      <c r="P1069" s="1310" t="s">
        <v>125</v>
      </c>
      <c r="Q1069" s="1310" t="s">
        <v>1572</v>
      </c>
      <c r="R1069" s="1310" t="s">
        <v>1558</v>
      </c>
      <c r="S1069" s="1310" t="s">
        <v>1568</v>
      </c>
      <c r="T1069" s="1310" t="s">
        <v>1584</v>
      </c>
      <c r="U1069" s="1310" t="s">
        <v>1445</v>
      </c>
      <c r="V1069" s="1310" t="s">
        <v>1501</v>
      </c>
      <c r="W1069" s="1310" t="s">
        <v>1516</v>
      </c>
      <c r="X1069" s="1310" t="s">
        <v>1521</v>
      </c>
      <c r="Y1069" s="1310" t="s">
        <v>119</v>
      </c>
      <c r="Z1069" s="1310" t="s">
        <v>1633</v>
      </c>
      <c r="AA1069" s="1310" t="s">
        <v>1501</v>
      </c>
      <c r="AB1069" s="1310" t="s">
        <v>1499</v>
      </c>
      <c r="AC1069" s="1310" t="s">
        <v>1485</v>
      </c>
      <c r="AD1069" s="1310" t="s">
        <v>1596</v>
      </c>
      <c r="AE1069" s="1310" t="s">
        <v>1447</v>
      </c>
      <c r="AF1069" s="1310" t="s">
        <v>1610</v>
      </c>
    </row>
    <row r="1070" spans="1:32" x14ac:dyDescent="0.3">
      <c r="A1070" s="1310" t="s">
        <v>1498</v>
      </c>
      <c r="B1070" s="1310" t="s">
        <v>1448</v>
      </c>
      <c r="C1070" s="1310" t="s">
        <v>1521</v>
      </c>
      <c r="D1070" s="1310" t="s">
        <v>1577</v>
      </c>
      <c r="E1070" s="1310" t="s">
        <v>1651</v>
      </c>
      <c r="F1070" s="1310" t="s">
        <v>471</v>
      </c>
      <c r="G1070" s="1310" t="s">
        <v>1616</v>
      </c>
      <c r="H1070" s="1310" t="s">
        <v>1636</v>
      </c>
      <c r="I1070" s="1310" t="s">
        <v>1473</v>
      </c>
      <c r="J1070" s="1310" t="s">
        <v>1580</v>
      </c>
      <c r="K1070" s="1310" t="s">
        <v>126</v>
      </c>
      <c r="L1070" s="1310" t="s">
        <v>471</v>
      </c>
      <c r="M1070" s="1310" t="s">
        <v>1586</v>
      </c>
      <c r="N1070" s="1310" t="s">
        <v>1573</v>
      </c>
      <c r="O1070" s="1310" t="s">
        <v>132</v>
      </c>
      <c r="P1070" s="1310" t="s">
        <v>1485</v>
      </c>
      <c r="Q1070" s="1310" t="s">
        <v>1606</v>
      </c>
      <c r="R1070" s="1310" t="s">
        <v>1542</v>
      </c>
      <c r="S1070" s="1310" t="s">
        <v>1556</v>
      </c>
      <c r="T1070" s="1310" t="s">
        <v>131</v>
      </c>
      <c r="U1070" s="1310" t="s">
        <v>1489</v>
      </c>
      <c r="V1070" s="1310" t="s">
        <v>1523</v>
      </c>
      <c r="W1070" s="1310" t="s">
        <v>1645</v>
      </c>
      <c r="X1070" s="1310" t="s">
        <v>1548</v>
      </c>
      <c r="Y1070" s="1310" t="s">
        <v>1444</v>
      </c>
      <c r="Z1070" s="1310" t="s">
        <v>1616</v>
      </c>
      <c r="AA1070" s="1310" t="s">
        <v>1581</v>
      </c>
      <c r="AB1070" s="1310" t="s">
        <v>1607</v>
      </c>
      <c r="AC1070" s="1310" t="s">
        <v>1606</v>
      </c>
      <c r="AD1070" s="1310" t="s">
        <v>1613</v>
      </c>
      <c r="AE1070" s="1310" t="s">
        <v>127</v>
      </c>
      <c r="AF1070" s="1310" t="s">
        <v>1637</v>
      </c>
    </row>
    <row r="1071" spans="1:32" x14ac:dyDescent="0.3">
      <c r="A1071" s="1310" t="s">
        <v>1577</v>
      </c>
      <c r="B1071" s="1310" t="s">
        <v>1462</v>
      </c>
      <c r="C1071" s="1310" t="s">
        <v>1544</v>
      </c>
      <c r="D1071" s="1310" t="s">
        <v>1628</v>
      </c>
      <c r="E1071" s="1310" t="s">
        <v>1592</v>
      </c>
      <c r="F1071" s="1310" t="s">
        <v>1517</v>
      </c>
      <c r="G1071" s="1310" t="s">
        <v>1446</v>
      </c>
      <c r="H1071" s="1310" t="s">
        <v>1504</v>
      </c>
      <c r="I1071" s="1310" t="s">
        <v>1591</v>
      </c>
      <c r="J1071" s="1310" t="s">
        <v>1574</v>
      </c>
      <c r="K1071" s="1310" t="s">
        <v>1641</v>
      </c>
      <c r="L1071" s="1310" t="s">
        <v>1502</v>
      </c>
      <c r="M1071" s="1310" t="s">
        <v>1529</v>
      </c>
      <c r="N1071" s="1310" t="s">
        <v>1472</v>
      </c>
      <c r="O1071" s="1310" t="s">
        <v>1660</v>
      </c>
      <c r="P1071" s="1310" t="s">
        <v>1553</v>
      </c>
      <c r="Q1071" s="1310" t="s">
        <v>1615</v>
      </c>
      <c r="R1071" s="1310" t="s">
        <v>1635</v>
      </c>
      <c r="S1071" s="1310" t="s">
        <v>1575</v>
      </c>
      <c r="T1071" s="1310" t="s">
        <v>130</v>
      </c>
      <c r="U1071" s="1310" t="s">
        <v>1577</v>
      </c>
      <c r="V1071" s="1310" t="s">
        <v>123</v>
      </c>
      <c r="W1071" s="1310" t="s">
        <v>119</v>
      </c>
      <c r="X1071" s="1310" t="s">
        <v>1626</v>
      </c>
      <c r="Y1071" s="1310" t="s">
        <v>1654</v>
      </c>
      <c r="Z1071" s="1310" t="s">
        <v>1548</v>
      </c>
      <c r="AA1071" s="1310" t="s">
        <v>1563</v>
      </c>
      <c r="AB1071" s="1310" t="s">
        <v>1489</v>
      </c>
      <c r="AC1071" s="1310" t="s">
        <v>1632</v>
      </c>
      <c r="AD1071" s="1310" t="s">
        <v>1627</v>
      </c>
      <c r="AE1071" s="1310" t="s">
        <v>1619</v>
      </c>
      <c r="AF1071" s="1310" t="s">
        <v>1489</v>
      </c>
    </row>
    <row r="1072" spans="1:32" x14ac:dyDescent="0.3">
      <c r="A1072" s="1310" t="s">
        <v>1617</v>
      </c>
      <c r="B1072" s="1310" t="s">
        <v>1611</v>
      </c>
      <c r="C1072" s="1310" t="s">
        <v>1471</v>
      </c>
      <c r="D1072" s="1310" t="s">
        <v>1629</v>
      </c>
      <c r="E1072" s="1310" t="s">
        <v>1601</v>
      </c>
      <c r="F1072" s="1310" t="s">
        <v>1585</v>
      </c>
      <c r="G1072" s="1310" t="s">
        <v>1460</v>
      </c>
      <c r="H1072" s="1310" t="s">
        <v>1590</v>
      </c>
      <c r="I1072" s="1310" t="s">
        <v>1557</v>
      </c>
      <c r="J1072" s="1310" t="s">
        <v>1517</v>
      </c>
      <c r="K1072" s="1310" t="s">
        <v>1560</v>
      </c>
      <c r="L1072" s="1310" t="s">
        <v>1626</v>
      </c>
      <c r="M1072" s="1310" t="s">
        <v>131</v>
      </c>
      <c r="N1072" s="1310" t="s">
        <v>1590</v>
      </c>
      <c r="O1072" s="1310" t="s">
        <v>1641</v>
      </c>
      <c r="P1072" s="1310" t="s">
        <v>1583</v>
      </c>
      <c r="Q1072" s="1310" t="s">
        <v>1470</v>
      </c>
      <c r="R1072" s="1310" t="s">
        <v>1445</v>
      </c>
      <c r="S1072" s="1310" t="s">
        <v>1588</v>
      </c>
      <c r="T1072" s="1310" t="s">
        <v>1588</v>
      </c>
      <c r="U1072" s="1310" t="s">
        <v>1501</v>
      </c>
      <c r="V1072" s="1310" t="s">
        <v>1457</v>
      </c>
      <c r="W1072" s="1310" t="s">
        <v>1567</v>
      </c>
      <c r="X1072" s="1310" t="s">
        <v>1560</v>
      </c>
      <c r="Y1072" s="1310" t="s">
        <v>1572</v>
      </c>
      <c r="Z1072" s="1310" t="s">
        <v>1449</v>
      </c>
      <c r="AA1072" s="1310" t="s">
        <v>1565</v>
      </c>
      <c r="AB1072" s="1310" t="s">
        <v>1596</v>
      </c>
      <c r="AC1072" s="1310" t="s">
        <v>1654</v>
      </c>
      <c r="AD1072" s="1310" t="s">
        <v>1503</v>
      </c>
      <c r="AE1072" s="1310" t="s">
        <v>1547</v>
      </c>
      <c r="AF1072" s="1310" t="s">
        <v>1585</v>
      </c>
    </row>
    <row r="1073" spans="1:32" x14ac:dyDescent="0.3">
      <c r="A1073" s="1310" t="s">
        <v>1452</v>
      </c>
      <c r="B1073" s="1310" t="s">
        <v>1586</v>
      </c>
      <c r="C1073" s="1310" t="s">
        <v>1572</v>
      </c>
      <c r="D1073" s="1310" t="s">
        <v>1599</v>
      </c>
      <c r="E1073" s="1310" t="s">
        <v>1505</v>
      </c>
      <c r="F1073" s="1310" t="s">
        <v>1543</v>
      </c>
      <c r="G1073" s="1310" t="s">
        <v>123</v>
      </c>
      <c r="H1073" s="1310" t="s">
        <v>1633</v>
      </c>
      <c r="I1073" s="1310" t="s">
        <v>1493</v>
      </c>
      <c r="J1073" s="1310" t="s">
        <v>122</v>
      </c>
      <c r="K1073" s="1310" t="s">
        <v>1465</v>
      </c>
      <c r="L1073" s="1310" t="s">
        <v>1538</v>
      </c>
      <c r="M1073" s="1310" t="s">
        <v>1592</v>
      </c>
      <c r="N1073" s="1310" t="s">
        <v>1574</v>
      </c>
      <c r="O1073" s="1310" t="s">
        <v>1634</v>
      </c>
      <c r="P1073" s="1310" t="s">
        <v>1533</v>
      </c>
      <c r="Q1073" s="1310" t="s">
        <v>1449</v>
      </c>
      <c r="R1073" s="1310" t="s">
        <v>1455</v>
      </c>
      <c r="S1073" s="1310" t="s">
        <v>1478</v>
      </c>
      <c r="T1073" s="1310" t="s">
        <v>1616</v>
      </c>
      <c r="U1073" s="1310" t="s">
        <v>111</v>
      </c>
      <c r="V1073" s="1310" t="s">
        <v>113</v>
      </c>
      <c r="W1073" s="1310" t="s">
        <v>1561</v>
      </c>
      <c r="X1073" s="1310" t="s">
        <v>1502</v>
      </c>
      <c r="Y1073" s="1310" t="s">
        <v>1496</v>
      </c>
      <c r="Z1073" s="1310" t="s">
        <v>1645</v>
      </c>
      <c r="AA1073" s="1310" t="s">
        <v>1604</v>
      </c>
      <c r="AB1073" s="1310" t="s">
        <v>1517</v>
      </c>
      <c r="AC1073" s="1310" t="s">
        <v>1570</v>
      </c>
      <c r="AD1073" s="1310" t="s">
        <v>1453</v>
      </c>
      <c r="AE1073" s="1310" t="s">
        <v>1443</v>
      </c>
      <c r="AF1073" s="1310" t="s">
        <v>1450</v>
      </c>
    </row>
    <row r="1074" spans="1:32" x14ac:dyDescent="0.3">
      <c r="A1074" s="1310" t="s">
        <v>1486</v>
      </c>
      <c r="B1074" s="1310" t="s">
        <v>133</v>
      </c>
      <c r="C1074" s="1310" t="s">
        <v>1583</v>
      </c>
      <c r="D1074" s="1310" t="s">
        <v>1528</v>
      </c>
      <c r="E1074" s="1310" t="s">
        <v>1638</v>
      </c>
      <c r="F1074" s="1310" t="s">
        <v>1463</v>
      </c>
      <c r="G1074" s="1310" t="s">
        <v>1548</v>
      </c>
      <c r="H1074" s="1310" t="s">
        <v>1551</v>
      </c>
      <c r="I1074" s="1310" t="s">
        <v>1643</v>
      </c>
      <c r="J1074" s="1310" t="s">
        <v>1451</v>
      </c>
      <c r="K1074" s="1310" t="s">
        <v>1502</v>
      </c>
      <c r="L1074" s="1310" t="s">
        <v>1648</v>
      </c>
      <c r="M1074" s="1310" t="s">
        <v>1571</v>
      </c>
      <c r="N1074" s="1310" t="s">
        <v>1454</v>
      </c>
      <c r="O1074" s="1310" t="s">
        <v>1482</v>
      </c>
      <c r="P1074" s="1310" t="s">
        <v>1556</v>
      </c>
      <c r="Q1074" s="1310" t="s">
        <v>1567</v>
      </c>
      <c r="R1074" s="1310" t="s">
        <v>1463</v>
      </c>
      <c r="S1074" s="1310" t="s">
        <v>1629</v>
      </c>
      <c r="T1074" s="1310" t="s">
        <v>1530</v>
      </c>
      <c r="U1074" s="1310" t="s">
        <v>112</v>
      </c>
      <c r="V1074" s="1310" t="s">
        <v>1599</v>
      </c>
      <c r="W1074" s="1310" t="s">
        <v>1586</v>
      </c>
      <c r="X1074" s="1310" t="s">
        <v>1650</v>
      </c>
      <c r="Y1074" s="1310" t="s">
        <v>1567</v>
      </c>
      <c r="Z1074" s="1310" t="s">
        <v>1539</v>
      </c>
      <c r="AA1074" s="1310" t="s">
        <v>1529</v>
      </c>
      <c r="AB1074" s="1310" t="s">
        <v>1627</v>
      </c>
      <c r="AC1074" s="1310" t="s">
        <v>1546</v>
      </c>
      <c r="AD1074" s="1310" t="s">
        <v>1578</v>
      </c>
      <c r="AE1074" s="1310" t="s">
        <v>1543</v>
      </c>
      <c r="AF1074" s="1310" t="s">
        <v>1515</v>
      </c>
    </row>
    <row r="1075" spans="1:32" x14ac:dyDescent="0.3">
      <c r="A1075" s="1310" t="s">
        <v>1496</v>
      </c>
      <c r="B1075" s="1310" t="s">
        <v>1495</v>
      </c>
      <c r="C1075" s="1310" t="s">
        <v>126</v>
      </c>
      <c r="D1075" s="1310" t="s">
        <v>1569</v>
      </c>
      <c r="E1075" s="1310" t="s">
        <v>1489</v>
      </c>
      <c r="F1075" s="1310" t="s">
        <v>1448</v>
      </c>
      <c r="G1075" s="1310" t="s">
        <v>1615</v>
      </c>
      <c r="H1075" s="1310" t="s">
        <v>1462</v>
      </c>
      <c r="I1075" s="1310" t="s">
        <v>1580</v>
      </c>
      <c r="J1075" s="1310" t="s">
        <v>1543</v>
      </c>
      <c r="K1075" s="1310" t="s">
        <v>1458</v>
      </c>
      <c r="L1075" s="1310" t="s">
        <v>1586</v>
      </c>
      <c r="M1075" s="1310" t="s">
        <v>122</v>
      </c>
      <c r="N1075" s="1310" t="s">
        <v>1529</v>
      </c>
      <c r="O1075" s="1310" t="s">
        <v>1631</v>
      </c>
      <c r="P1075" s="1310" t="s">
        <v>1614</v>
      </c>
      <c r="Q1075" s="1310" t="s">
        <v>1605</v>
      </c>
      <c r="R1075" s="1310" t="s">
        <v>123</v>
      </c>
      <c r="S1075" s="1310" t="s">
        <v>1636</v>
      </c>
      <c r="T1075" s="1310" t="s">
        <v>269</v>
      </c>
      <c r="U1075" s="1310" t="s">
        <v>1604</v>
      </c>
      <c r="V1075" s="1310" t="s">
        <v>1481</v>
      </c>
      <c r="W1075" s="1310" t="s">
        <v>1592</v>
      </c>
      <c r="X1075" s="1310" t="s">
        <v>1568</v>
      </c>
      <c r="Y1075" s="1310" t="s">
        <v>1606</v>
      </c>
      <c r="Z1075" s="1310" t="s">
        <v>1630</v>
      </c>
      <c r="AA1075" s="1310" t="s">
        <v>1599</v>
      </c>
      <c r="AB1075" s="1310" t="s">
        <v>1544</v>
      </c>
      <c r="AC1075" s="1310" t="s">
        <v>268</v>
      </c>
      <c r="AD1075" s="1310" t="s">
        <v>1654</v>
      </c>
      <c r="AE1075" s="1310" t="s">
        <v>1583</v>
      </c>
      <c r="AF1075" s="1310" t="s">
        <v>1571</v>
      </c>
    </row>
    <row r="1076" spans="1:32" x14ac:dyDescent="0.3">
      <c r="A1076" s="1310" t="s">
        <v>1655</v>
      </c>
      <c r="B1076" s="1310" t="s">
        <v>1576</v>
      </c>
      <c r="C1076" s="1310" t="s">
        <v>1619</v>
      </c>
      <c r="D1076" s="1310" t="s">
        <v>1602</v>
      </c>
      <c r="E1076" s="1310" t="s">
        <v>1561</v>
      </c>
      <c r="F1076" s="1310" t="s">
        <v>1636</v>
      </c>
      <c r="G1076" s="1310" t="s">
        <v>128</v>
      </c>
      <c r="H1076" s="1310" t="s">
        <v>1475</v>
      </c>
      <c r="I1076" s="1310" t="s">
        <v>1552</v>
      </c>
      <c r="J1076" s="1310" t="s">
        <v>1483</v>
      </c>
      <c r="K1076" s="1310" t="s">
        <v>1548</v>
      </c>
      <c r="L1076" s="1310" t="s">
        <v>1568</v>
      </c>
      <c r="M1076" s="1310" t="s">
        <v>1612</v>
      </c>
      <c r="N1076" s="1310" t="s">
        <v>1567</v>
      </c>
      <c r="O1076" s="1310" t="s">
        <v>1583</v>
      </c>
      <c r="P1076" s="1310" t="s">
        <v>114</v>
      </c>
      <c r="Q1076" s="1310" t="s">
        <v>1548</v>
      </c>
      <c r="R1076" s="1310" t="s">
        <v>1030</v>
      </c>
      <c r="S1076" s="1310" t="s">
        <v>1606</v>
      </c>
      <c r="T1076" s="1310" t="s">
        <v>1550</v>
      </c>
      <c r="U1076" s="1310" t="s">
        <v>1606</v>
      </c>
      <c r="V1076" s="1310" t="s">
        <v>126</v>
      </c>
      <c r="W1076" s="1310" t="s">
        <v>1540</v>
      </c>
      <c r="X1076" s="1310" t="s">
        <v>1592</v>
      </c>
      <c r="Y1076" s="1310" t="s">
        <v>1450</v>
      </c>
      <c r="Z1076" s="1310" t="s">
        <v>130</v>
      </c>
      <c r="AA1076" s="1310" t="s">
        <v>1473</v>
      </c>
      <c r="AB1076" s="1310" t="s">
        <v>1636</v>
      </c>
      <c r="AC1076" s="1310" t="s">
        <v>1512</v>
      </c>
      <c r="AD1076" s="1310" t="s">
        <v>1645</v>
      </c>
      <c r="AE1076" s="1310" t="s">
        <v>1561</v>
      </c>
      <c r="AF1076" s="1310" t="s">
        <v>1568</v>
      </c>
    </row>
    <row r="1077" spans="1:32" x14ac:dyDescent="0.3">
      <c r="A1077" s="1310" t="s">
        <v>1622</v>
      </c>
      <c r="B1077" s="1310" t="s">
        <v>1030</v>
      </c>
      <c r="C1077" s="1310" t="s">
        <v>1617</v>
      </c>
      <c r="D1077" s="1310" t="s">
        <v>122</v>
      </c>
      <c r="E1077" s="1310" t="s">
        <v>1583</v>
      </c>
      <c r="F1077" s="1310" t="s">
        <v>124</v>
      </c>
      <c r="G1077" s="1310" t="s">
        <v>1617</v>
      </c>
      <c r="H1077" s="1310" t="s">
        <v>131</v>
      </c>
      <c r="I1077" s="1310" t="s">
        <v>1600</v>
      </c>
      <c r="J1077" s="1310" t="s">
        <v>6</v>
      </c>
      <c r="K1077" s="1310" t="s">
        <v>1608</v>
      </c>
      <c r="L1077" s="1310" t="s">
        <v>1627</v>
      </c>
      <c r="M1077" s="1310" t="s">
        <v>1443</v>
      </c>
      <c r="N1077" s="1310" t="s">
        <v>1450</v>
      </c>
      <c r="O1077" s="1310" t="s">
        <v>1629</v>
      </c>
      <c r="P1077" s="1310" t="s">
        <v>123</v>
      </c>
      <c r="Q1077" s="1310" t="s">
        <v>131</v>
      </c>
      <c r="R1077" s="1310" t="s">
        <v>1528</v>
      </c>
      <c r="S1077" s="1310" t="s">
        <v>1555</v>
      </c>
      <c r="T1077" s="1310" t="s">
        <v>1544</v>
      </c>
      <c r="U1077" s="1310" t="s">
        <v>1479</v>
      </c>
      <c r="V1077" s="1310" t="s">
        <v>1517</v>
      </c>
      <c r="W1077" s="1310" t="s">
        <v>1640</v>
      </c>
      <c r="X1077" s="1310" t="s">
        <v>1516</v>
      </c>
      <c r="Y1077" s="1310" t="s">
        <v>1535</v>
      </c>
      <c r="Z1077" s="1310" t="s">
        <v>1501</v>
      </c>
      <c r="AA1077" s="1310" t="s">
        <v>1591</v>
      </c>
      <c r="AB1077" s="1310" t="s">
        <v>1596</v>
      </c>
      <c r="AC1077" s="1310" t="s">
        <v>1499</v>
      </c>
      <c r="AD1077" s="1310" t="s">
        <v>1620</v>
      </c>
      <c r="AE1077" s="1310" t="s">
        <v>268</v>
      </c>
      <c r="AF1077" s="1310" t="s">
        <v>1537</v>
      </c>
    </row>
    <row r="1078" spans="1:32" x14ac:dyDescent="0.3">
      <c r="A1078" s="1310" t="s">
        <v>1447</v>
      </c>
      <c r="B1078" s="1310" t="s">
        <v>1523</v>
      </c>
      <c r="C1078" s="1310" t="s">
        <v>1543</v>
      </c>
      <c r="D1078" s="1310" t="s">
        <v>1469</v>
      </c>
      <c r="E1078" s="1310" t="s">
        <v>1624</v>
      </c>
      <c r="F1078" s="1310" t="s">
        <v>1579</v>
      </c>
      <c r="G1078" s="1310" t="s">
        <v>1462</v>
      </c>
      <c r="H1078" s="1310" t="s">
        <v>1569</v>
      </c>
      <c r="I1078" s="1310" t="s">
        <v>1533</v>
      </c>
      <c r="J1078" s="1310" t="s">
        <v>1571</v>
      </c>
      <c r="K1078" s="1310" t="s">
        <v>1528</v>
      </c>
      <c r="L1078" s="1310" t="s">
        <v>1549</v>
      </c>
      <c r="M1078" s="1310" t="s">
        <v>1510</v>
      </c>
      <c r="N1078" s="1310" t="s">
        <v>1591</v>
      </c>
      <c r="O1078" s="1310" t="s">
        <v>1511</v>
      </c>
      <c r="P1078" s="1310" t="s">
        <v>1464</v>
      </c>
      <c r="Q1078" s="1310" t="s">
        <v>123</v>
      </c>
      <c r="R1078" s="1310" t="s">
        <v>1660</v>
      </c>
      <c r="S1078" s="1310" t="s">
        <v>1534</v>
      </c>
      <c r="T1078" s="1310" t="s">
        <v>132</v>
      </c>
      <c r="U1078" s="1310" t="s">
        <v>1633</v>
      </c>
      <c r="V1078" s="1310" t="s">
        <v>1573</v>
      </c>
      <c r="W1078" s="1310" t="s">
        <v>1647</v>
      </c>
      <c r="X1078" s="1310" t="s">
        <v>262</v>
      </c>
      <c r="Y1078" s="1310" t="s">
        <v>1509</v>
      </c>
      <c r="Z1078" s="1310" t="s">
        <v>1603</v>
      </c>
      <c r="AA1078" s="1310" t="s">
        <v>1516</v>
      </c>
      <c r="AB1078" s="1310" t="s">
        <v>1443</v>
      </c>
      <c r="AC1078" s="1310" t="s">
        <v>1450</v>
      </c>
      <c r="AD1078" s="1310" t="s">
        <v>1656</v>
      </c>
      <c r="AE1078" s="1310" t="s">
        <v>1532</v>
      </c>
      <c r="AF1078" s="1310" t="s">
        <v>1572</v>
      </c>
    </row>
    <row r="1079" spans="1:32" x14ac:dyDescent="0.3">
      <c r="A1079" s="1310" t="s">
        <v>1622</v>
      </c>
      <c r="B1079" s="1310" t="s">
        <v>1461</v>
      </c>
      <c r="C1079" s="1310" t="s">
        <v>1658</v>
      </c>
      <c r="D1079" s="1310" t="s">
        <v>1630</v>
      </c>
      <c r="E1079" s="1310" t="s">
        <v>1602</v>
      </c>
      <c r="F1079" s="1310" t="s">
        <v>1459</v>
      </c>
      <c r="G1079" s="1310" t="s">
        <v>1549</v>
      </c>
      <c r="H1079" s="1310" t="s">
        <v>262</v>
      </c>
      <c r="I1079" s="1310" t="s">
        <v>1512</v>
      </c>
      <c r="J1079" s="1310" t="s">
        <v>1556</v>
      </c>
      <c r="K1079" s="1310" t="s">
        <v>268</v>
      </c>
      <c r="L1079" s="1310" t="s">
        <v>1636</v>
      </c>
      <c r="M1079" s="1310" t="s">
        <v>1590</v>
      </c>
      <c r="N1079" s="1310" t="s">
        <v>1538</v>
      </c>
      <c r="O1079" s="1310" t="s">
        <v>1520</v>
      </c>
      <c r="P1079" s="1310" t="s">
        <v>1660</v>
      </c>
      <c r="Q1079" s="1310" t="s">
        <v>1542</v>
      </c>
      <c r="R1079" s="1310" t="s">
        <v>1468</v>
      </c>
      <c r="S1079" s="1310" t="s">
        <v>1617</v>
      </c>
      <c r="T1079" s="1310" t="s">
        <v>1521</v>
      </c>
      <c r="U1079" s="1310" t="s">
        <v>130</v>
      </c>
      <c r="V1079" s="1310" t="s">
        <v>1499</v>
      </c>
      <c r="W1079" s="1310" t="s">
        <v>120</v>
      </c>
      <c r="X1079" s="1310" t="s">
        <v>120</v>
      </c>
      <c r="Y1079" s="1310" t="s">
        <v>1486</v>
      </c>
      <c r="Z1079" s="1310" t="s">
        <v>1517</v>
      </c>
      <c r="AA1079" s="1310" t="s">
        <v>465</v>
      </c>
      <c r="AB1079" s="1310" t="s">
        <v>1590</v>
      </c>
      <c r="AC1079" s="1310" t="s">
        <v>123</v>
      </c>
      <c r="AD1079" s="1310" t="s">
        <v>112</v>
      </c>
      <c r="AE1079" s="1310" t="s">
        <v>1499</v>
      </c>
      <c r="AF1079" s="1310" t="s">
        <v>1625</v>
      </c>
    </row>
    <row r="1080" spans="1:32" x14ac:dyDescent="0.3">
      <c r="A1080" s="1310" t="s">
        <v>1515</v>
      </c>
      <c r="B1080" s="1310" t="s">
        <v>1506</v>
      </c>
      <c r="C1080" s="1310" t="s">
        <v>1577</v>
      </c>
      <c r="D1080" s="1310" t="s">
        <v>131</v>
      </c>
      <c r="E1080" s="1310" t="s">
        <v>1474</v>
      </c>
      <c r="F1080" s="1310" t="s">
        <v>1637</v>
      </c>
      <c r="G1080" s="1310" t="s">
        <v>1491</v>
      </c>
      <c r="H1080" s="1310" t="s">
        <v>1655</v>
      </c>
      <c r="I1080" s="1310" t="s">
        <v>1577</v>
      </c>
      <c r="J1080" s="1310" t="s">
        <v>1556</v>
      </c>
      <c r="K1080" s="1310" t="s">
        <v>1522</v>
      </c>
      <c r="L1080" s="1310" t="s">
        <v>1547</v>
      </c>
      <c r="M1080" s="1310" t="s">
        <v>1638</v>
      </c>
      <c r="N1080" s="1310" t="s">
        <v>1489</v>
      </c>
      <c r="O1080" s="1310" t="s">
        <v>262</v>
      </c>
      <c r="P1080" s="1310" t="s">
        <v>1553</v>
      </c>
      <c r="Q1080" s="1310" t="s">
        <v>126</v>
      </c>
      <c r="R1080" s="1310" t="s">
        <v>1562</v>
      </c>
      <c r="S1080" s="1310" t="s">
        <v>122</v>
      </c>
      <c r="T1080" s="1310" t="s">
        <v>6</v>
      </c>
      <c r="U1080" s="1310" t="s">
        <v>1561</v>
      </c>
      <c r="V1080" s="1310" t="s">
        <v>1541</v>
      </c>
      <c r="W1080" s="1310" t="s">
        <v>1642</v>
      </c>
      <c r="X1080" s="1310" t="s">
        <v>1471</v>
      </c>
      <c r="Y1080" s="1310" t="s">
        <v>1522</v>
      </c>
      <c r="Z1080" s="1310" t="s">
        <v>1561</v>
      </c>
      <c r="AA1080" s="1310" t="s">
        <v>1609</v>
      </c>
      <c r="AB1080" s="1310" t="s">
        <v>1644</v>
      </c>
      <c r="AC1080" s="1310" t="s">
        <v>1445</v>
      </c>
      <c r="AD1080" s="1310" t="s">
        <v>1445</v>
      </c>
      <c r="AE1080" s="1310" t="s">
        <v>1573</v>
      </c>
      <c r="AF1080" s="1310" t="s">
        <v>1547</v>
      </c>
    </row>
    <row r="1081" spans="1:32" x14ac:dyDescent="0.3">
      <c r="A1081" s="1310" t="s">
        <v>1624</v>
      </c>
      <c r="B1081" s="1310" t="s">
        <v>1550</v>
      </c>
      <c r="C1081" s="1310" t="s">
        <v>1631</v>
      </c>
      <c r="D1081" s="1310" t="s">
        <v>1496</v>
      </c>
      <c r="E1081" s="1310" t="s">
        <v>1622</v>
      </c>
      <c r="F1081" s="1310" t="s">
        <v>1479</v>
      </c>
      <c r="G1081" s="1310" t="s">
        <v>126</v>
      </c>
      <c r="H1081" s="1310" t="s">
        <v>1494</v>
      </c>
      <c r="I1081" s="1310" t="s">
        <v>1476</v>
      </c>
      <c r="J1081" s="1310" t="s">
        <v>1479</v>
      </c>
      <c r="K1081" s="1310" t="s">
        <v>1645</v>
      </c>
      <c r="L1081" s="1310" t="s">
        <v>1598</v>
      </c>
      <c r="M1081" s="1310" t="s">
        <v>1646</v>
      </c>
      <c r="N1081" s="1310" t="s">
        <v>1528</v>
      </c>
      <c r="O1081" s="1310" t="s">
        <v>1453</v>
      </c>
      <c r="P1081" s="1310" t="s">
        <v>1512</v>
      </c>
      <c r="Q1081" s="1310" t="s">
        <v>1631</v>
      </c>
      <c r="R1081" s="1310" t="s">
        <v>1474</v>
      </c>
      <c r="S1081" s="1310" t="s">
        <v>1628</v>
      </c>
      <c r="T1081" s="1310" t="s">
        <v>1491</v>
      </c>
      <c r="U1081" s="1310" t="s">
        <v>127</v>
      </c>
      <c r="V1081" s="1310" t="s">
        <v>1500</v>
      </c>
      <c r="W1081" s="1310" t="s">
        <v>1486</v>
      </c>
      <c r="X1081" s="1310" t="s">
        <v>1590</v>
      </c>
      <c r="Y1081" s="1310" t="s">
        <v>1608</v>
      </c>
      <c r="Z1081" s="1310" t="s">
        <v>1473</v>
      </c>
      <c r="AA1081" s="1310" t="s">
        <v>1556</v>
      </c>
      <c r="AB1081" s="1310" t="s">
        <v>1562</v>
      </c>
      <c r="AC1081" s="1310" t="s">
        <v>1577</v>
      </c>
      <c r="AD1081" s="1310" t="s">
        <v>1495</v>
      </c>
      <c r="AE1081" s="1310" t="s">
        <v>1614</v>
      </c>
      <c r="AF1081" s="1310" t="s">
        <v>1649</v>
      </c>
    </row>
    <row r="1082" spans="1:32" x14ac:dyDescent="0.3">
      <c r="A1082" s="1310" t="s">
        <v>1444</v>
      </c>
      <c r="B1082" s="1310" t="s">
        <v>130</v>
      </c>
      <c r="C1082" s="1310" t="s">
        <v>1491</v>
      </c>
      <c r="D1082" s="1310" t="s">
        <v>1625</v>
      </c>
      <c r="E1082" s="1310" t="s">
        <v>1617</v>
      </c>
      <c r="F1082" s="1310" t="s">
        <v>1588</v>
      </c>
      <c r="G1082" s="1310" t="s">
        <v>1516</v>
      </c>
      <c r="H1082" s="1310" t="s">
        <v>1551</v>
      </c>
      <c r="I1082" s="1310" t="s">
        <v>1643</v>
      </c>
      <c r="J1082" s="1310" t="s">
        <v>1455</v>
      </c>
      <c r="K1082" s="1310" t="s">
        <v>1489</v>
      </c>
      <c r="L1082" s="1310" t="s">
        <v>1640</v>
      </c>
      <c r="M1082" s="1310" t="s">
        <v>1506</v>
      </c>
      <c r="N1082" s="1310" t="s">
        <v>1515</v>
      </c>
      <c r="O1082" s="1310" t="s">
        <v>1638</v>
      </c>
      <c r="P1082" s="1310" t="s">
        <v>1566</v>
      </c>
      <c r="Q1082" s="1310" t="s">
        <v>1493</v>
      </c>
      <c r="R1082" s="1310" t="s">
        <v>1454</v>
      </c>
      <c r="S1082" s="1310" t="s">
        <v>1567</v>
      </c>
      <c r="T1082" s="1310" t="s">
        <v>1535</v>
      </c>
      <c r="U1082" s="1310" t="s">
        <v>1648</v>
      </c>
      <c r="V1082" s="1310" t="s">
        <v>1469</v>
      </c>
      <c r="W1082" s="1310" t="s">
        <v>121</v>
      </c>
      <c r="X1082" s="1310" t="s">
        <v>1448</v>
      </c>
      <c r="Y1082" s="1310" t="s">
        <v>1630</v>
      </c>
      <c r="Z1082" s="1310" t="s">
        <v>1606</v>
      </c>
      <c r="AA1082" s="1310" t="s">
        <v>1466</v>
      </c>
      <c r="AB1082" s="1310" t="s">
        <v>1473</v>
      </c>
      <c r="AC1082" s="1310" t="s">
        <v>1646</v>
      </c>
      <c r="AD1082" s="1310" t="s">
        <v>111</v>
      </c>
      <c r="AE1082" s="1310" t="s">
        <v>1643</v>
      </c>
      <c r="AF1082" s="1310" t="s">
        <v>1625</v>
      </c>
    </row>
    <row r="1083" spans="1:32" x14ac:dyDescent="0.3">
      <c r="A1083" s="1310" t="s">
        <v>269</v>
      </c>
      <c r="B1083" s="1310" t="s">
        <v>1462</v>
      </c>
      <c r="C1083" s="1310" t="s">
        <v>1650</v>
      </c>
      <c r="D1083" s="1310" t="s">
        <v>1578</v>
      </c>
      <c r="E1083" s="1310" t="s">
        <v>1561</v>
      </c>
      <c r="F1083" s="1310" t="s">
        <v>118</v>
      </c>
      <c r="G1083" s="1310" t="s">
        <v>1627</v>
      </c>
      <c r="H1083" s="1310" t="s">
        <v>1445</v>
      </c>
      <c r="I1083" s="1310" t="s">
        <v>1481</v>
      </c>
      <c r="J1083" s="1310" t="s">
        <v>1495</v>
      </c>
      <c r="K1083" s="1310" t="s">
        <v>1474</v>
      </c>
      <c r="L1083" s="1310" t="s">
        <v>1546</v>
      </c>
      <c r="M1083" s="1310" t="s">
        <v>1578</v>
      </c>
      <c r="N1083" s="1310" t="s">
        <v>1551</v>
      </c>
      <c r="O1083" s="1310" t="s">
        <v>1559</v>
      </c>
      <c r="P1083" s="1310" t="s">
        <v>1652</v>
      </c>
      <c r="Q1083" s="1310" t="s">
        <v>1583</v>
      </c>
      <c r="R1083" s="1310" t="s">
        <v>1620</v>
      </c>
      <c r="S1083" s="1310" t="s">
        <v>1472</v>
      </c>
      <c r="T1083" s="1310" t="s">
        <v>1569</v>
      </c>
      <c r="U1083" s="1310" t="s">
        <v>1452</v>
      </c>
      <c r="V1083" s="1310" t="s">
        <v>1459</v>
      </c>
      <c r="W1083" s="1310" t="s">
        <v>1564</v>
      </c>
      <c r="X1083" s="1310" t="s">
        <v>1559</v>
      </c>
      <c r="Y1083" s="1310" t="s">
        <v>1565</v>
      </c>
      <c r="Z1083" s="1310" t="s">
        <v>1466</v>
      </c>
      <c r="AA1083" s="1310" t="s">
        <v>1619</v>
      </c>
      <c r="AB1083" s="1310" t="s">
        <v>1512</v>
      </c>
      <c r="AC1083" s="1310" t="s">
        <v>1644</v>
      </c>
      <c r="AD1083" s="1310" t="s">
        <v>131</v>
      </c>
      <c r="AE1083" s="1310" t="s">
        <v>1660</v>
      </c>
      <c r="AF1083" s="1310" t="s">
        <v>1654</v>
      </c>
    </row>
    <row r="1084" spans="1:32" x14ac:dyDescent="0.3">
      <c r="A1084" s="1310" t="s">
        <v>1449</v>
      </c>
      <c r="B1084" s="1310" t="s">
        <v>1448</v>
      </c>
      <c r="C1084" s="1310" t="s">
        <v>1473</v>
      </c>
      <c r="D1084" s="1310" t="s">
        <v>122</v>
      </c>
      <c r="E1084" s="1310" t="s">
        <v>1494</v>
      </c>
      <c r="F1084" s="1310" t="s">
        <v>1537</v>
      </c>
      <c r="G1084" s="1310" t="s">
        <v>1522</v>
      </c>
      <c r="H1084" s="1310" t="s">
        <v>1583</v>
      </c>
      <c r="I1084" s="1310" t="s">
        <v>1463</v>
      </c>
      <c r="J1084" s="1310" t="s">
        <v>1511</v>
      </c>
      <c r="K1084" s="1310" t="s">
        <v>129</v>
      </c>
      <c r="L1084" s="1310" t="s">
        <v>1648</v>
      </c>
      <c r="M1084" s="1310" t="s">
        <v>1460</v>
      </c>
      <c r="N1084" s="1310" t="s">
        <v>1524</v>
      </c>
      <c r="O1084" s="1310" t="s">
        <v>1651</v>
      </c>
      <c r="P1084" s="1310" t="s">
        <v>127</v>
      </c>
      <c r="Q1084" s="1310" t="s">
        <v>1508</v>
      </c>
      <c r="R1084" s="1310" t="s">
        <v>1619</v>
      </c>
      <c r="S1084" s="1310" t="s">
        <v>1558</v>
      </c>
      <c r="T1084" s="1310" t="s">
        <v>1568</v>
      </c>
      <c r="U1084" s="1310" t="s">
        <v>120</v>
      </c>
      <c r="V1084" s="1310" t="s">
        <v>1625</v>
      </c>
      <c r="W1084" s="1310" t="s">
        <v>1453</v>
      </c>
      <c r="X1084" s="1310" t="s">
        <v>1460</v>
      </c>
      <c r="Y1084" s="1310" t="s">
        <v>125</v>
      </c>
      <c r="Z1084" s="1310" t="s">
        <v>1609</v>
      </c>
      <c r="AA1084" s="1310" t="s">
        <v>1644</v>
      </c>
      <c r="AB1084" s="1310" t="s">
        <v>1518</v>
      </c>
      <c r="AC1084" s="1310" t="s">
        <v>127</v>
      </c>
      <c r="AD1084" s="1310" t="s">
        <v>1505</v>
      </c>
      <c r="AE1084" s="1310" t="s">
        <v>1486</v>
      </c>
      <c r="AF1084" s="1310" t="s">
        <v>1453</v>
      </c>
    </row>
    <row r="1085" spans="1:32" x14ac:dyDescent="0.3">
      <c r="A1085" s="1310" t="s">
        <v>1480</v>
      </c>
      <c r="B1085" s="1310" t="s">
        <v>1525</v>
      </c>
      <c r="C1085" s="1310" t="s">
        <v>1595</v>
      </c>
      <c r="D1085" s="1310" t="s">
        <v>1644</v>
      </c>
      <c r="E1085" s="1310" t="s">
        <v>1647</v>
      </c>
      <c r="F1085" s="1310" t="s">
        <v>1507</v>
      </c>
      <c r="G1085" s="1310" t="s">
        <v>1556</v>
      </c>
      <c r="H1085" s="1310" t="s">
        <v>1445</v>
      </c>
      <c r="I1085" s="1310" t="s">
        <v>1648</v>
      </c>
      <c r="J1085" s="1310" t="s">
        <v>1559</v>
      </c>
      <c r="K1085" s="1310" t="s">
        <v>1556</v>
      </c>
      <c r="L1085" s="1310" t="s">
        <v>1573</v>
      </c>
      <c r="M1085" s="1310" t="s">
        <v>1517</v>
      </c>
      <c r="N1085" s="1310" t="s">
        <v>1507</v>
      </c>
      <c r="O1085" s="1310" t="s">
        <v>1529</v>
      </c>
      <c r="P1085" s="1310" t="s">
        <v>1521</v>
      </c>
      <c r="Q1085" s="1310" t="s">
        <v>1561</v>
      </c>
      <c r="R1085" s="1310" t="s">
        <v>1527</v>
      </c>
      <c r="S1085" s="1310" t="s">
        <v>1641</v>
      </c>
      <c r="T1085" s="1310" t="s">
        <v>1584</v>
      </c>
      <c r="U1085" s="1310" t="s">
        <v>1587</v>
      </c>
      <c r="V1085" s="1310" t="s">
        <v>1592</v>
      </c>
      <c r="W1085" s="1310" t="s">
        <v>1612</v>
      </c>
      <c r="X1085" s="1310" t="s">
        <v>1508</v>
      </c>
      <c r="Y1085" s="1310" t="s">
        <v>1635</v>
      </c>
      <c r="Z1085" s="1310" t="s">
        <v>1643</v>
      </c>
      <c r="AA1085" s="1310" t="s">
        <v>1493</v>
      </c>
      <c r="AB1085" s="1310" t="s">
        <v>1463</v>
      </c>
      <c r="AC1085" s="1310" t="s">
        <v>1638</v>
      </c>
      <c r="AD1085" s="1310" t="s">
        <v>1496</v>
      </c>
      <c r="AE1085" s="1310" t="s">
        <v>1463</v>
      </c>
      <c r="AF1085" s="1310" t="s">
        <v>1614</v>
      </c>
    </row>
    <row r="1086" spans="1:32" x14ac:dyDescent="0.3">
      <c r="A1086" s="1310" t="s">
        <v>1578</v>
      </c>
      <c r="B1086" s="1310" t="s">
        <v>1542</v>
      </c>
      <c r="C1086" s="1310" t="s">
        <v>116</v>
      </c>
      <c r="D1086" s="1310" t="s">
        <v>1529</v>
      </c>
      <c r="E1086" s="1310" t="s">
        <v>1488</v>
      </c>
      <c r="F1086" s="1310" t="s">
        <v>1625</v>
      </c>
      <c r="G1086" s="1310" t="s">
        <v>1547</v>
      </c>
      <c r="H1086" s="1310" t="s">
        <v>1592</v>
      </c>
      <c r="I1086" s="1310" t="s">
        <v>267</v>
      </c>
      <c r="J1086" s="1310" t="s">
        <v>1462</v>
      </c>
      <c r="K1086" s="1310" t="s">
        <v>1546</v>
      </c>
      <c r="L1086" s="1310" t="s">
        <v>1518</v>
      </c>
      <c r="M1086" s="1310" t="s">
        <v>1604</v>
      </c>
      <c r="N1086" s="1310" t="s">
        <v>1549</v>
      </c>
      <c r="O1086" s="1310" t="s">
        <v>1497</v>
      </c>
      <c r="P1086" s="1310" t="s">
        <v>1553</v>
      </c>
      <c r="Q1086" s="1310" t="s">
        <v>1446</v>
      </c>
      <c r="R1086" s="1310" t="s">
        <v>119</v>
      </c>
      <c r="S1086" s="1310" t="s">
        <v>1551</v>
      </c>
      <c r="T1086" s="1310" t="s">
        <v>127</v>
      </c>
      <c r="U1086" s="1310" t="s">
        <v>1445</v>
      </c>
      <c r="V1086" s="1310" t="s">
        <v>1561</v>
      </c>
      <c r="W1086" s="1310" t="s">
        <v>1582</v>
      </c>
      <c r="X1086" s="1310" t="s">
        <v>112</v>
      </c>
      <c r="Y1086" s="1310" t="s">
        <v>1535</v>
      </c>
      <c r="Z1086" s="1310" t="s">
        <v>1598</v>
      </c>
      <c r="AA1086" s="1310" t="s">
        <v>1635</v>
      </c>
      <c r="AB1086" s="1310" t="s">
        <v>1625</v>
      </c>
      <c r="AC1086" s="1310" t="s">
        <v>1448</v>
      </c>
      <c r="AD1086" s="1310" t="s">
        <v>1623</v>
      </c>
      <c r="AE1086" s="1310" t="s">
        <v>1550</v>
      </c>
      <c r="AF1086" s="1310" t="s">
        <v>1514</v>
      </c>
    </row>
    <row r="1087" spans="1:32" x14ac:dyDescent="0.3">
      <c r="A1087" s="1310" t="s">
        <v>1477</v>
      </c>
      <c r="B1087" s="1310" t="s">
        <v>1489</v>
      </c>
      <c r="C1087" s="1310" t="s">
        <v>1643</v>
      </c>
      <c r="D1087" s="1310" t="s">
        <v>1469</v>
      </c>
      <c r="E1087" s="1310" t="s">
        <v>1503</v>
      </c>
      <c r="F1087" s="1310" t="s">
        <v>1481</v>
      </c>
      <c r="G1087" s="1310" t="s">
        <v>126</v>
      </c>
      <c r="H1087" s="1310" t="s">
        <v>1532</v>
      </c>
      <c r="I1087" s="1310" t="s">
        <v>1463</v>
      </c>
      <c r="J1087" s="1310" t="s">
        <v>1545</v>
      </c>
      <c r="K1087" s="1310" t="s">
        <v>1499</v>
      </c>
      <c r="L1087" s="1310" t="s">
        <v>1657</v>
      </c>
      <c r="M1087" s="1310" t="s">
        <v>471</v>
      </c>
      <c r="N1087" s="1310" t="s">
        <v>1651</v>
      </c>
      <c r="O1087" s="1310" t="s">
        <v>1618</v>
      </c>
      <c r="P1087" s="1310" t="s">
        <v>1482</v>
      </c>
      <c r="Q1087" s="1310" t="s">
        <v>1447</v>
      </c>
      <c r="R1087" s="1310" t="s">
        <v>1444</v>
      </c>
      <c r="S1087" s="1310" t="s">
        <v>1557</v>
      </c>
      <c r="T1087" s="1310" t="s">
        <v>110</v>
      </c>
      <c r="U1087" s="1310" t="s">
        <v>1620</v>
      </c>
      <c r="V1087" s="1310" t="s">
        <v>1659</v>
      </c>
      <c r="W1087" s="1310" t="s">
        <v>1614</v>
      </c>
      <c r="X1087" s="1310" t="s">
        <v>1529</v>
      </c>
      <c r="Y1087" s="1310" t="s">
        <v>1480</v>
      </c>
      <c r="Z1087" s="1310" t="s">
        <v>125</v>
      </c>
      <c r="AA1087" s="1310" t="s">
        <v>1533</v>
      </c>
      <c r="AB1087" s="1310" t="s">
        <v>1631</v>
      </c>
      <c r="AC1087" s="1310" t="s">
        <v>1542</v>
      </c>
      <c r="AD1087" s="1310" t="s">
        <v>1481</v>
      </c>
      <c r="AE1087" s="1310" t="s">
        <v>1588</v>
      </c>
      <c r="AF1087" s="1310" t="s">
        <v>1630</v>
      </c>
    </row>
    <row r="1088" spans="1:32" x14ac:dyDescent="0.3">
      <c r="A1088" s="1310" t="s">
        <v>1531</v>
      </c>
      <c r="B1088" s="1310" t="s">
        <v>1604</v>
      </c>
      <c r="C1088" s="1310" t="s">
        <v>1450</v>
      </c>
      <c r="D1088" s="1310" t="s">
        <v>1528</v>
      </c>
      <c r="E1088" s="1310" t="s">
        <v>1611</v>
      </c>
      <c r="F1088" s="1310" t="s">
        <v>1528</v>
      </c>
      <c r="G1088" s="1310" t="s">
        <v>1586</v>
      </c>
      <c r="H1088" s="1310" t="s">
        <v>262</v>
      </c>
      <c r="I1088" s="1310" t="s">
        <v>1449</v>
      </c>
      <c r="J1088" s="1310" t="s">
        <v>1606</v>
      </c>
      <c r="K1088" s="1310" t="s">
        <v>1444</v>
      </c>
      <c r="L1088" s="1310" t="s">
        <v>1454</v>
      </c>
      <c r="M1088" s="1310" t="s">
        <v>1465</v>
      </c>
      <c r="N1088" s="1310" t="s">
        <v>1648</v>
      </c>
      <c r="O1088" s="1310" t="s">
        <v>1658</v>
      </c>
      <c r="P1088" s="1310" t="s">
        <v>1640</v>
      </c>
      <c r="Q1088" s="1310" t="s">
        <v>1522</v>
      </c>
      <c r="R1088" s="1310" t="s">
        <v>1594</v>
      </c>
      <c r="S1088" s="1310" t="s">
        <v>1496</v>
      </c>
      <c r="T1088" s="1310" t="s">
        <v>1603</v>
      </c>
      <c r="U1088" s="1310" t="s">
        <v>1448</v>
      </c>
      <c r="V1088" s="1310" t="s">
        <v>1480</v>
      </c>
      <c r="W1088" s="1310" t="s">
        <v>1463</v>
      </c>
      <c r="X1088" s="1310" t="s">
        <v>1550</v>
      </c>
      <c r="Y1088" s="1310" t="s">
        <v>1604</v>
      </c>
      <c r="Z1088" s="1310" t="s">
        <v>1471</v>
      </c>
      <c r="AA1088" s="1310" t="s">
        <v>1620</v>
      </c>
      <c r="AB1088" s="1310" t="s">
        <v>1603</v>
      </c>
      <c r="AC1088" s="1310" t="s">
        <v>1544</v>
      </c>
      <c r="AD1088" s="1310" t="s">
        <v>1577</v>
      </c>
      <c r="AE1088" s="1310" t="s">
        <v>1566</v>
      </c>
      <c r="AF1088" s="1310" t="s">
        <v>121</v>
      </c>
    </row>
    <row r="1089" spans="1:32" x14ac:dyDescent="0.3">
      <c r="A1089" s="1310" t="s">
        <v>1629</v>
      </c>
      <c r="B1089" s="1310" t="s">
        <v>1603</v>
      </c>
      <c r="C1089" s="1310" t="s">
        <v>1478</v>
      </c>
      <c r="D1089" s="1310" t="s">
        <v>1631</v>
      </c>
      <c r="E1089" s="1310" t="s">
        <v>1444</v>
      </c>
      <c r="F1089" s="1310" t="s">
        <v>6</v>
      </c>
      <c r="G1089" s="1310" t="s">
        <v>1550</v>
      </c>
      <c r="H1089" s="1310" t="s">
        <v>1551</v>
      </c>
      <c r="I1089" s="1310" t="s">
        <v>1607</v>
      </c>
      <c r="J1089" s="1310" t="s">
        <v>115</v>
      </c>
      <c r="K1089" s="1310" t="s">
        <v>1602</v>
      </c>
      <c r="L1089" s="1310" t="s">
        <v>1543</v>
      </c>
      <c r="M1089" s="1310" t="s">
        <v>1585</v>
      </c>
      <c r="N1089" s="1310" t="s">
        <v>1636</v>
      </c>
      <c r="O1089" s="1310" t="s">
        <v>1548</v>
      </c>
      <c r="P1089" s="1310" t="s">
        <v>1601</v>
      </c>
      <c r="Q1089" s="1310" t="s">
        <v>1534</v>
      </c>
      <c r="R1089" s="1310" t="s">
        <v>122</v>
      </c>
      <c r="S1089" s="1310" t="s">
        <v>1493</v>
      </c>
      <c r="T1089" s="1310" t="s">
        <v>1575</v>
      </c>
      <c r="U1089" s="1310" t="s">
        <v>115</v>
      </c>
      <c r="V1089" s="1310" t="s">
        <v>1494</v>
      </c>
      <c r="W1089" s="1310" t="s">
        <v>1544</v>
      </c>
      <c r="X1089" s="1310" t="s">
        <v>1601</v>
      </c>
      <c r="Y1089" s="1310" t="s">
        <v>1551</v>
      </c>
      <c r="Z1089" s="1310" t="s">
        <v>1549</v>
      </c>
      <c r="AA1089" s="1310" t="s">
        <v>1523</v>
      </c>
      <c r="AB1089" s="1310" t="s">
        <v>1502</v>
      </c>
      <c r="AC1089" s="1310" t="s">
        <v>1634</v>
      </c>
      <c r="AD1089" s="1310" t="s">
        <v>1449</v>
      </c>
      <c r="AE1089" s="1310" t="s">
        <v>1616</v>
      </c>
      <c r="AF1089" s="1310" t="s">
        <v>1451</v>
      </c>
    </row>
    <row r="1090" spans="1:32" x14ac:dyDescent="0.3">
      <c r="A1090" s="1310" t="s">
        <v>1584</v>
      </c>
      <c r="B1090" s="1310" t="s">
        <v>1650</v>
      </c>
      <c r="C1090" s="1310" t="s">
        <v>1650</v>
      </c>
      <c r="D1090" s="1310" t="s">
        <v>1506</v>
      </c>
      <c r="E1090" s="1310" t="s">
        <v>1495</v>
      </c>
      <c r="F1090" s="1310" t="s">
        <v>1503</v>
      </c>
      <c r="G1090" s="1310" t="s">
        <v>1532</v>
      </c>
      <c r="H1090" s="1310" t="s">
        <v>128</v>
      </c>
      <c r="I1090" s="1310" t="s">
        <v>1504</v>
      </c>
      <c r="J1090" s="1310" t="s">
        <v>1501</v>
      </c>
      <c r="K1090" s="1310" t="s">
        <v>263</v>
      </c>
      <c r="L1090" s="1310" t="s">
        <v>129</v>
      </c>
      <c r="M1090" s="1310" t="s">
        <v>114</v>
      </c>
      <c r="N1090" s="1310" t="s">
        <v>1595</v>
      </c>
      <c r="O1090" s="1310" t="s">
        <v>1659</v>
      </c>
      <c r="P1090" s="1310" t="s">
        <v>1569</v>
      </c>
      <c r="Q1090" s="1310" t="s">
        <v>1529</v>
      </c>
      <c r="R1090" s="1310" t="s">
        <v>1558</v>
      </c>
      <c r="S1090" s="1310" t="s">
        <v>1617</v>
      </c>
      <c r="T1090" s="1310" t="s">
        <v>1567</v>
      </c>
      <c r="U1090" s="1310" t="s">
        <v>123</v>
      </c>
      <c r="V1090" s="1310" t="s">
        <v>1640</v>
      </c>
      <c r="W1090" s="1310" t="s">
        <v>1616</v>
      </c>
      <c r="X1090" s="1310" t="s">
        <v>1472</v>
      </c>
      <c r="Y1090" s="1310" t="s">
        <v>1561</v>
      </c>
      <c r="Z1090" s="1310" t="s">
        <v>1647</v>
      </c>
      <c r="AA1090" s="1310" t="s">
        <v>1532</v>
      </c>
      <c r="AB1090" s="1310" t="s">
        <v>123</v>
      </c>
      <c r="AC1090" s="1310" t="s">
        <v>1638</v>
      </c>
      <c r="AD1090" s="1310" t="s">
        <v>1603</v>
      </c>
      <c r="AE1090" s="1310" t="s">
        <v>1482</v>
      </c>
      <c r="AF1090" s="1310" t="s">
        <v>1626</v>
      </c>
    </row>
    <row r="1091" spans="1:32" x14ac:dyDescent="0.3">
      <c r="A1091" s="1310" t="s">
        <v>117</v>
      </c>
      <c r="B1091" s="1310" t="s">
        <v>1599</v>
      </c>
      <c r="C1091" s="1310" t="s">
        <v>1629</v>
      </c>
      <c r="D1091" s="1310" t="s">
        <v>1573</v>
      </c>
      <c r="E1091" s="1310" t="s">
        <v>1464</v>
      </c>
      <c r="F1091" s="1310" t="s">
        <v>1595</v>
      </c>
      <c r="G1091" s="1310" t="s">
        <v>1622</v>
      </c>
      <c r="H1091" s="1310" t="s">
        <v>1602</v>
      </c>
      <c r="I1091" s="1310" t="s">
        <v>1451</v>
      </c>
      <c r="J1091" s="1310" t="s">
        <v>1641</v>
      </c>
      <c r="K1091" s="1310" t="s">
        <v>1620</v>
      </c>
      <c r="L1091" s="1310" t="s">
        <v>1447</v>
      </c>
      <c r="M1091" s="1310" t="s">
        <v>1570</v>
      </c>
      <c r="N1091" s="1310" t="s">
        <v>1585</v>
      </c>
      <c r="O1091" s="1310" t="s">
        <v>110</v>
      </c>
      <c r="P1091" s="1310" t="s">
        <v>1648</v>
      </c>
      <c r="Q1091" s="1310" t="s">
        <v>1656</v>
      </c>
      <c r="R1091" s="1310" t="s">
        <v>1648</v>
      </c>
      <c r="S1091" s="1310" t="s">
        <v>1660</v>
      </c>
      <c r="T1091" s="1310" t="s">
        <v>1537</v>
      </c>
      <c r="U1091" s="1310" t="s">
        <v>1619</v>
      </c>
      <c r="V1091" s="1310" t="s">
        <v>114</v>
      </c>
      <c r="W1091" s="1310" t="s">
        <v>126</v>
      </c>
      <c r="X1091" s="1310" t="s">
        <v>1640</v>
      </c>
      <c r="Y1091" s="1310" t="s">
        <v>1558</v>
      </c>
      <c r="Z1091" s="1310" t="s">
        <v>1554</v>
      </c>
      <c r="AA1091" s="1310" t="s">
        <v>1577</v>
      </c>
      <c r="AB1091" s="1310" t="s">
        <v>1651</v>
      </c>
      <c r="AC1091" s="1310" t="s">
        <v>1635</v>
      </c>
      <c r="AD1091" s="1310" t="s">
        <v>1658</v>
      </c>
      <c r="AE1091" s="1310" t="s">
        <v>1534</v>
      </c>
      <c r="AF1091" s="1310" t="s">
        <v>262</v>
      </c>
    </row>
    <row r="1092" spans="1:32" x14ac:dyDescent="0.3">
      <c r="A1092" s="1310" t="s">
        <v>124</v>
      </c>
      <c r="B1092" s="1310" t="s">
        <v>1483</v>
      </c>
      <c r="C1092" s="1310" t="s">
        <v>1612</v>
      </c>
      <c r="D1092" s="1310" t="s">
        <v>114</v>
      </c>
      <c r="E1092" s="1310" t="s">
        <v>1505</v>
      </c>
      <c r="F1092" s="1310" t="s">
        <v>1491</v>
      </c>
      <c r="G1092" s="1310" t="s">
        <v>1625</v>
      </c>
      <c r="H1092" s="1310" t="s">
        <v>1530</v>
      </c>
      <c r="I1092" s="1310" t="s">
        <v>1521</v>
      </c>
      <c r="J1092" s="1310" t="s">
        <v>1650</v>
      </c>
      <c r="K1092" s="1310" t="s">
        <v>1623</v>
      </c>
      <c r="L1092" s="1310" t="s">
        <v>1470</v>
      </c>
      <c r="M1092" s="1310" t="s">
        <v>1443</v>
      </c>
      <c r="N1092" s="1310" t="s">
        <v>1450</v>
      </c>
      <c r="O1092" s="1310" t="s">
        <v>1574</v>
      </c>
      <c r="P1092" s="1310" t="s">
        <v>1502</v>
      </c>
      <c r="Q1092" s="1310" t="s">
        <v>1622</v>
      </c>
      <c r="R1092" s="1310" t="s">
        <v>1581</v>
      </c>
      <c r="S1092" s="1310" t="s">
        <v>471</v>
      </c>
      <c r="T1092" s="1310" t="s">
        <v>1563</v>
      </c>
      <c r="U1092" s="1310" t="s">
        <v>132</v>
      </c>
      <c r="V1092" s="1310" t="s">
        <v>128</v>
      </c>
      <c r="W1092" s="1310" t="s">
        <v>1594</v>
      </c>
      <c r="X1092" s="1310" t="s">
        <v>1652</v>
      </c>
      <c r="Y1092" s="1310" t="s">
        <v>1550</v>
      </c>
      <c r="Z1092" s="1310" t="s">
        <v>1566</v>
      </c>
      <c r="AA1092" s="1310" t="s">
        <v>125</v>
      </c>
      <c r="AB1092" s="1310" t="s">
        <v>111</v>
      </c>
      <c r="AC1092" s="1310" t="s">
        <v>1585</v>
      </c>
      <c r="AD1092" s="1310" t="s">
        <v>1578</v>
      </c>
      <c r="AE1092" s="1310" t="s">
        <v>1531</v>
      </c>
      <c r="AF1092" s="1310" t="s">
        <v>1506</v>
      </c>
    </row>
    <row r="1093" spans="1:32" x14ac:dyDescent="0.3">
      <c r="A1093" s="1310" t="s">
        <v>1604</v>
      </c>
      <c r="B1093" s="1310" t="s">
        <v>1612</v>
      </c>
      <c r="C1093" s="1310" t="s">
        <v>1525</v>
      </c>
      <c r="D1093" s="1310" t="s">
        <v>1600</v>
      </c>
      <c r="E1093" s="1310" t="s">
        <v>1477</v>
      </c>
      <c r="F1093" s="1310" t="s">
        <v>269</v>
      </c>
      <c r="G1093" s="1310" t="s">
        <v>1532</v>
      </c>
      <c r="H1093" s="1310" t="s">
        <v>1619</v>
      </c>
      <c r="I1093" s="1310" t="s">
        <v>1469</v>
      </c>
      <c r="J1093" s="1310" t="s">
        <v>1616</v>
      </c>
      <c r="K1093" s="1310" t="s">
        <v>1523</v>
      </c>
      <c r="L1093" s="1310" t="s">
        <v>133</v>
      </c>
      <c r="M1093" s="1310" t="s">
        <v>1561</v>
      </c>
      <c r="N1093" s="1310" t="s">
        <v>1605</v>
      </c>
      <c r="O1093" s="1310" t="s">
        <v>1653</v>
      </c>
      <c r="P1093" s="1310" t="s">
        <v>267</v>
      </c>
      <c r="Q1093" s="1310" t="s">
        <v>1579</v>
      </c>
      <c r="R1093" s="1310" t="s">
        <v>1601</v>
      </c>
      <c r="S1093" s="1310" t="s">
        <v>1451</v>
      </c>
      <c r="T1093" s="1310" t="s">
        <v>1504</v>
      </c>
      <c r="U1093" s="1310" t="s">
        <v>1549</v>
      </c>
      <c r="V1093" s="1310" t="s">
        <v>1644</v>
      </c>
      <c r="W1093" s="1310" t="s">
        <v>1632</v>
      </c>
      <c r="X1093" s="1310" t="s">
        <v>1600</v>
      </c>
      <c r="Y1093" s="1310" t="s">
        <v>1509</v>
      </c>
      <c r="Z1093" s="1310" t="s">
        <v>1554</v>
      </c>
      <c r="AA1093" s="1310" t="s">
        <v>1452</v>
      </c>
      <c r="AB1093" s="1310" t="s">
        <v>1621</v>
      </c>
      <c r="AC1093" s="1310" t="s">
        <v>1541</v>
      </c>
      <c r="AD1093" s="1310" t="s">
        <v>1444</v>
      </c>
      <c r="AE1093" s="1310" t="s">
        <v>465</v>
      </c>
      <c r="AF1093" s="1310" t="s">
        <v>114</v>
      </c>
    </row>
    <row r="1094" spans="1:32" x14ac:dyDescent="0.3">
      <c r="A1094" s="1310" t="s">
        <v>1488</v>
      </c>
      <c r="B1094" s="1310" t="s">
        <v>1455</v>
      </c>
      <c r="C1094" s="1310" t="s">
        <v>1635</v>
      </c>
      <c r="D1094" s="1310" t="s">
        <v>1549</v>
      </c>
      <c r="E1094" s="1310" t="s">
        <v>1644</v>
      </c>
      <c r="F1094" s="1310" t="s">
        <v>1632</v>
      </c>
      <c r="G1094" s="1310" t="s">
        <v>1600</v>
      </c>
      <c r="H1094" s="1310" t="s">
        <v>1509</v>
      </c>
      <c r="I1094" s="1310" t="s">
        <v>1554</v>
      </c>
      <c r="J1094" s="1310" t="s">
        <v>1452</v>
      </c>
      <c r="K1094" s="1310" t="s">
        <v>1443</v>
      </c>
      <c r="L1094" s="1310" t="s">
        <v>1450</v>
      </c>
      <c r="M1094" s="1310" t="s">
        <v>1443</v>
      </c>
      <c r="N1094" s="1310" t="s">
        <v>123</v>
      </c>
      <c r="O1094" s="1310" t="s">
        <v>1571</v>
      </c>
      <c r="P1094" s="1310" t="s">
        <v>1562</v>
      </c>
      <c r="Q1094" s="1310" t="s">
        <v>1452</v>
      </c>
      <c r="R1094" s="1310" t="s">
        <v>1621</v>
      </c>
      <c r="S1094" s="1310" t="s">
        <v>1541</v>
      </c>
      <c r="T1094" s="1310" t="s">
        <v>1444</v>
      </c>
      <c r="U1094" s="1310" t="s">
        <v>465</v>
      </c>
      <c r="V1094" s="1310" t="s">
        <v>114</v>
      </c>
      <c r="W1094" s="1310" t="s">
        <v>1488</v>
      </c>
      <c r="X1094" s="1310" t="s">
        <v>1455</v>
      </c>
      <c r="Y1094" s="1310" t="s">
        <v>1635</v>
      </c>
      <c r="Z1094" s="1310" t="s">
        <v>1549</v>
      </c>
      <c r="AA1094" s="1310" t="s">
        <v>1644</v>
      </c>
      <c r="AB1094" s="1310" t="s">
        <v>1632</v>
      </c>
      <c r="AC1094" s="1310" t="s">
        <v>1600</v>
      </c>
      <c r="AD1094" s="1310" t="s">
        <v>1509</v>
      </c>
      <c r="AE1094" s="1310" t="s">
        <v>1554</v>
      </c>
      <c r="AF1094" s="1310" t="s">
        <v>1452</v>
      </c>
    </row>
    <row r="1095" spans="1:32" x14ac:dyDescent="0.3">
      <c r="A1095" s="1310" t="s">
        <v>1621</v>
      </c>
      <c r="B1095" s="1310" t="s">
        <v>1541</v>
      </c>
      <c r="C1095" s="1310" t="s">
        <v>1444</v>
      </c>
      <c r="D1095" s="1310" t="s">
        <v>465</v>
      </c>
      <c r="E1095" s="1310" t="s">
        <v>114</v>
      </c>
      <c r="F1095" s="1310" t="s">
        <v>1488</v>
      </c>
      <c r="G1095" s="1310" t="s">
        <v>1455</v>
      </c>
      <c r="H1095" s="1310" t="s">
        <v>1027</v>
      </c>
      <c r="I1095" s="1310" t="s">
        <v>1563</v>
      </c>
      <c r="J1095" s="1310" t="s">
        <v>132</v>
      </c>
      <c r="K1095" s="1310" t="s">
        <v>1485</v>
      </c>
      <c r="L1095" s="1310" t="s">
        <v>1607</v>
      </c>
      <c r="M1095" s="1310" t="s">
        <v>1610</v>
      </c>
      <c r="N1095" s="1310" t="s">
        <v>1564</v>
      </c>
      <c r="O1095" s="1310" t="s">
        <v>1551</v>
      </c>
      <c r="P1095" s="1310" t="s">
        <v>1575</v>
      </c>
      <c r="Q1095" s="1310" t="s">
        <v>1529</v>
      </c>
      <c r="R1095" s="1310" t="s">
        <v>1542</v>
      </c>
      <c r="S1095" s="1310" t="s">
        <v>1474</v>
      </c>
      <c r="T1095" s="1310" t="s">
        <v>1539</v>
      </c>
      <c r="U1095" s="1310" t="s">
        <v>1638</v>
      </c>
      <c r="V1095" s="1310" t="s">
        <v>115</v>
      </c>
      <c r="W1095" s="1310" t="s">
        <v>1593</v>
      </c>
      <c r="X1095" s="1310" t="s">
        <v>125</v>
      </c>
      <c r="Y1095" s="1310" t="s">
        <v>114</v>
      </c>
      <c r="Z1095" s="1310" t="s">
        <v>1522</v>
      </c>
      <c r="AA1095" s="1310" t="s">
        <v>1642</v>
      </c>
      <c r="AB1095" s="1310" t="s">
        <v>1476</v>
      </c>
      <c r="AC1095" s="1310" t="s">
        <v>1636</v>
      </c>
      <c r="AD1095" s="1310" t="s">
        <v>124</v>
      </c>
      <c r="AE1095" s="1310" t="s">
        <v>1640</v>
      </c>
      <c r="AF1095" s="1310" t="s">
        <v>1531</v>
      </c>
    </row>
    <row r="1096" spans="1:32" x14ac:dyDescent="0.3">
      <c r="A1096" s="1310" t="s">
        <v>1559</v>
      </c>
      <c r="B1096" s="1310" t="s">
        <v>1575</v>
      </c>
      <c r="C1096" s="1310" t="s">
        <v>1653</v>
      </c>
      <c r="D1096" s="1310" t="s">
        <v>1507</v>
      </c>
      <c r="E1096" s="1310" t="s">
        <v>1632</v>
      </c>
      <c r="F1096" s="1310" t="s">
        <v>1575</v>
      </c>
      <c r="G1096" s="1310" t="s">
        <v>1454</v>
      </c>
      <c r="H1096" s="1310" t="s">
        <v>1468</v>
      </c>
      <c r="I1096" s="1310" t="s">
        <v>1617</v>
      </c>
      <c r="J1096" s="1310" t="s">
        <v>1561</v>
      </c>
      <c r="K1096" s="1310" t="s">
        <v>1623</v>
      </c>
      <c r="L1096" s="1310" t="s">
        <v>1530</v>
      </c>
      <c r="M1096" s="1310" t="s">
        <v>1607</v>
      </c>
      <c r="N1096" s="1310" t="s">
        <v>1619</v>
      </c>
      <c r="O1096" s="1310" t="s">
        <v>1448</v>
      </c>
      <c r="P1096" s="1310" t="s">
        <v>124</v>
      </c>
      <c r="Q1096" s="1310" t="s">
        <v>1655</v>
      </c>
      <c r="R1096" s="1310" t="s">
        <v>123</v>
      </c>
      <c r="S1096" s="1310" t="s">
        <v>465</v>
      </c>
      <c r="T1096" s="1310" t="s">
        <v>1650</v>
      </c>
      <c r="U1096" s="1310" t="s">
        <v>122</v>
      </c>
      <c r="V1096" s="1310" t="s">
        <v>1619</v>
      </c>
      <c r="W1096" s="1310" t="s">
        <v>1638</v>
      </c>
      <c r="X1096" s="1310" t="s">
        <v>1530</v>
      </c>
      <c r="Y1096" s="1310" t="s">
        <v>1655</v>
      </c>
      <c r="Z1096" s="1310" t="s">
        <v>1640</v>
      </c>
      <c r="AA1096" s="1310" t="s">
        <v>1650</v>
      </c>
      <c r="AB1096" s="1310" t="s">
        <v>1556</v>
      </c>
      <c r="AC1096" s="1310" t="s">
        <v>1656</v>
      </c>
      <c r="AD1096" s="1310" t="s">
        <v>1635</v>
      </c>
      <c r="AE1096" s="1310" t="s">
        <v>129</v>
      </c>
      <c r="AF1096" s="1310" t="s">
        <v>1616</v>
      </c>
    </row>
    <row r="1097" spans="1:32" x14ac:dyDescent="0.3">
      <c r="A1097" s="1310" t="s">
        <v>1467</v>
      </c>
      <c r="B1097" s="1310" t="s">
        <v>1562</v>
      </c>
      <c r="C1097" s="1310" t="s">
        <v>1477</v>
      </c>
      <c r="D1097" s="1310" t="s">
        <v>1478</v>
      </c>
      <c r="E1097" s="1310" t="s">
        <v>1461</v>
      </c>
      <c r="F1097" s="1310" t="s">
        <v>1609</v>
      </c>
      <c r="G1097" s="1310" t="s">
        <v>1643</v>
      </c>
      <c r="H1097" s="1310" t="s">
        <v>1578</v>
      </c>
      <c r="I1097" s="1310" t="s">
        <v>1536</v>
      </c>
      <c r="J1097" s="1310" t="s">
        <v>1448</v>
      </c>
      <c r="K1097" s="1310" t="s">
        <v>1553</v>
      </c>
      <c r="L1097" s="1310" t="s">
        <v>1545</v>
      </c>
      <c r="M1097" s="1310" t="s">
        <v>1649</v>
      </c>
      <c r="N1097" s="1310" t="s">
        <v>1554</v>
      </c>
      <c r="O1097" s="1310" t="s">
        <v>1640</v>
      </c>
      <c r="P1097" s="1310" t="s">
        <v>1619</v>
      </c>
      <c r="Q1097" s="1310" t="s">
        <v>1605</v>
      </c>
      <c r="R1097" s="1310" t="s">
        <v>1544</v>
      </c>
      <c r="S1097" s="1310" t="s">
        <v>1617</v>
      </c>
      <c r="T1097" s="1310" t="s">
        <v>1471</v>
      </c>
      <c r="U1097" s="1310" t="s">
        <v>133</v>
      </c>
      <c r="V1097" s="1310" t="s">
        <v>1580</v>
      </c>
      <c r="W1097" s="1310" t="s">
        <v>1645</v>
      </c>
      <c r="X1097" s="1310" t="s">
        <v>1448</v>
      </c>
      <c r="Y1097" s="1310" t="s">
        <v>1466</v>
      </c>
      <c r="Z1097" s="1310" t="s">
        <v>1632</v>
      </c>
      <c r="AA1097" s="1310" t="s">
        <v>1483</v>
      </c>
      <c r="AB1097" s="1310" t="s">
        <v>1629</v>
      </c>
      <c r="AC1097" s="1310" t="s">
        <v>1635</v>
      </c>
      <c r="AD1097" s="1310" t="s">
        <v>116</v>
      </c>
      <c r="AE1097" s="1310" t="s">
        <v>1494</v>
      </c>
      <c r="AF1097" s="1310" t="s">
        <v>1546</v>
      </c>
    </row>
    <row r="1098" spans="1:32" x14ac:dyDescent="0.3">
      <c r="A1098" s="1310" t="s">
        <v>1450</v>
      </c>
      <c r="B1098" s="1310" t="s">
        <v>1562</v>
      </c>
      <c r="C1098" s="1310" t="s">
        <v>1603</v>
      </c>
      <c r="D1098" s="1310" t="s">
        <v>1625</v>
      </c>
      <c r="E1098" s="1310" t="s">
        <v>1448</v>
      </c>
      <c r="F1098" s="1310" t="s">
        <v>1580</v>
      </c>
      <c r="G1098" s="1310" t="s">
        <v>1532</v>
      </c>
      <c r="H1098" s="1310" t="s">
        <v>125</v>
      </c>
      <c r="I1098" s="1310" t="s">
        <v>1601</v>
      </c>
      <c r="J1098" s="1310" t="s">
        <v>1456</v>
      </c>
      <c r="K1098" s="1310" t="s">
        <v>1644</v>
      </c>
      <c r="L1098" s="1310" t="s">
        <v>1630</v>
      </c>
      <c r="M1098" s="1310" t="s">
        <v>1640</v>
      </c>
      <c r="N1098" s="1310" t="s">
        <v>1506</v>
      </c>
      <c r="O1098" s="1310" t="s">
        <v>1619</v>
      </c>
      <c r="P1098" s="1310" t="s">
        <v>1587</v>
      </c>
      <c r="Q1098" s="1310" t="s">
        <v>1495</v>
      </c>
      <c r="R1098" s="1310" t="s">
        <v>1588</v>
      </c>
      <c r="S1098" s="1310" t="s">
        <v>1521</v>
      </c>
      <c r="T1098" s="1310" t="s">
        <v>1541</v>
      </c>
      <c r="U1098" s="1310" t="s">
        <v>1505</v>
      </c>
      <c r="V1098" s="1310" t="s">
        <v>1574</v>
      </c>
      <c r="W1098" s="1310" t="s">
        <v>1483</v>
      </c>
      <c r="X1098" s="1310" t="s">
        <v>1619</v>
      </c>
      <c r="Y1098" s="1310" t="s">
        <v>1564</v>
      </c>
      <c r="Z1098" s="1310" t="s">
        <v>1539</v>
      </c>
      <c r="AA1098" s="1310" t="s">
        <v>262</v>
      </c>
      <c r="AB1098" s="1310" t="s">
        <v>1602</v>
      </c>
      <c r="AC1098" s="1310" t="s">
        <v>1579</v>
      </c>
      <c r="AD1098" s="1310" t="s">
        <v>1560</v>
      </c>
      <c r="AE1098" s="1310" t="s">
        <v>1468</v>
      </c>
      <c r="AF1098" s="1310" t="s">
        <v>1538</v>
      </c>
    </row>
    <row r="1099" spans="1:32" x14ac:dyDescent="0.3">
      <c r="A1099" s="1310" t="s">
        <v>1483</v>
      </c>
      <c r="B1099" s="1310" t="s">
        <v>1629</v>
      </c>
      <c r="C1099" s="1310" t="s">
        <v>1559</v>
      </c>
      <c r="D1099" s="1310" t="s">
        <v>1448</v>
      </c>
      <c r="E1099" s="1310" t="s">
        <v>1505</v>
      </c>
      <c r="F1099" s="1310" t="s">
        <v>1529</v>
      </c>
      <c r="G1099" s="1310" t="s">
        <v>263</v>
      </c>
      <c r="H1099" s="1310" t="s">
        <v>1623</v>
      </c>
      <c r="I1099" s="1310" t="s">
        <v>1467</v>
      </c>
      <c r="J1099" s="1310" t="s">
        <v>1477</v>
      </c>
      <c r="K1099" s="1310" t="s">
        <v>1500</v>
      </c>
      <c r="L1099" s="1310" t="s">
        <v>1569</v>
      </c>
      <c r="M1099" s="1310" t="s">
        <v>1498</v>
      </c>
      <c r="N1099" s="1310" t="s">
        <v>1558</v>
      </c>
      <c r="O1099" s="1310" t="s">
        <v>1515</v>
      </c>
      <c r="P1099" s="1310" t="s">
        <v>268</v>
      </c>
      <c r="Q1099" s="1310" t="s">
        <v>1553</v>
      </c>
      <c r="R1099" s="1310" t="s">
        <v>1546</v>
      </c>
      <c r="S1099" s="1310" t="s">
        <v>1490</v>
      </c>
      <c r="T1099" s="1310" t="s">
        <v>471</v>
      </c>
      <c r="U1099" s="1310" t="s">
        <v>1643</v>
      </c>
      <c r="V1099" s="1310" t="s">
        <v>1643</v>
      </c>
      <c r="W1099" s="1310" t="s">
        <v>1446</v>
      </c>
      <c r="X1099" s="1310" t="s">
        <v>266</v>
      </c>
      <c r="Y1099" s="1310" t="s">
        <v>1592</v>
      </c>
      <c r="Z1099" s="1310" t="s">
        <v>1457</v>
      </c>
      <c r="AA1099" s="1310" t="s">
        <v>1575</v>
      </c>
      <c r="AB1099" s="1310" t="s">
        <v>1473</v>
      </c>
      <c r="AC1099" s="1310" t="s">
        <v>1561</v>
      </c>
      <c r="AD1099" s="1310" t="s">
        <v>1569</v>
      </c>
      <c r="AE1099" s="1310" t="s">
        <v>1624</v>
      </c>
      <c r="AF1099" s="1310" t="s">
        <v>1550</v>
      </c>
    </row>
    <row r="1100" spans="1:32" x14ac:dyDescent="0.3">
      <c r="A1100" s="1310" t="s">
        <v>1470</v>
      </c>
      <c r="B1100" s="1310" t="s">
        <v>1646</v>
      </c>
      <c r="C1100" s="1310" t="s">
        <v>1585</v>
      </c>
      <c r="D1100" s="1310" t="s">
        <v>1590</v>
      </c>
      <c r="E1100" s="1310" t="s">
        <v>1621</v>
      </c>
      <c r="F1100" s="1310" t="s">
        <v>471</v>
      </c>
      <c r="G1100" s="1310" t="s">
        <v>1542</v>
      </c>
      <c r="H1100" s="1310" t="s">
        <v>1463</v>
      </c>
      <c r="I1100" s="1310" t="s">
        <v>1470</v>
      </c>
      <c r="J1100" s="1310" t="s">
        <v>1533</v>
      </c>
      <c r="K1100" s="1310" t="s">
        <v>1474</v>
      </c>
      <c r="L1100" s="1310" t="s">
        <v>1462</v>
      </c>
      <c r="M1100" s="1310" t="s">
        <v>132</v>
      </c>
      <c r="N1100" s="1310" t="s">
        <v>1564</v>
      </c>
      <c r="O1100" s="1310" t="s">
        <v>1488</v>
      </c>
      <c r="P1100" s="1310" t="s">
        <v>1577</v>
      </c>
      <c r="Q1100" s="1310" t="s">
        <v>1480</v>
      </c>
      <c r="R1100" s="1310" t="s">
        <v>1634</v>
      </c>
      <c r="S1100" s="1310" t="s">
        <v>1620</v>
      </c>
      <c r="T1100" s="1310" t="s">
        <v>1517</v>
      </c>
      <c r="U1100" s="1310" t="s">
        <v>112</v>
      </c>
      <c r="V1100" s="1310" t="s">
        <v>1522</v>
      </c>
      <c r="W1100" s="1310" t="s">
        <v>1523</v>
      </c>
      <c r="X1100" s="1310" t="s">
        <v>127</v>
      </c>
      <c r="Y1100" s="1310" t="s">
        <v>1581</v>
      </c>
      <c r="Z1100" s="1310" t="s">
        <v>1571</v>
      </c>
      <c r="AA1100" s="1310" t="s">
        <v>1572</v>
      </c>
      <c r="AB1100" s="1310" t="s">
        <v>1482</v>
      </c>
      <c r="AC1100" s="1310" t="s">
        <v>1503</v>
      </c>
      <c r="AD1100" s="1310" t="s">
        <v>133</v>
      </c>
      <c r="AE1100" s="1310" t="s">
        <v>1592</v>
      </c>
      <c r="AF1100" s="1310" t="s">
        <v>1462</v>
      </c>
    </row>
    <row r="1101" spans="1:32" x14ac:dyDescent="0.3">
      <c r="A1101" s="1310" t="s">
        <v>1444</v>
      </c>
      <c r="B1101" s="1310" t="s">
        <v>1613</v>
      </c>
      <c r="C1101" s="1310" t="s">
        <v>110</v>
      </c>
      <c r="D1101" s="1310" t="s">
        <v>1562</v>
      </c>
      <c r="E1101" s="1310" t="s">
        <v>1592</v>
      </c>
      <c r="F1101" s="1310" t="s">
        <v>1479</v>
      </c>
      <c r="G1101" s="1310" t="s">
        <v>1606</v>
      </c>
      <c r="H1101" s="1310" t="s">
        <v>1576</v>
      </c>
      <c r="I1101" s="1310" t="s">
        <v>1455</v>
      </c>
      <c r="J1101" s="1310" t="s">
        <v>1546</v>
      </c>
      <c r="K1101" s="1310" t="s">
        <v>1628</v>
      </c>
      <c r="L1101" s="1310" t="s">
        <v>1612</v>
      </c>
      <c r="M1101" s="1310" t="s">
        <v>116</v>
      </c>
      <c r="N1101" s="1310" t="s">
        <v>1574</v>
      </c>
      <c r="O1101" s="1310" t="s">
        <v>1487</v>
      </c>
      <c r="P1101" s="1310" t="s">
        <v>1651</v>
      </c>
      <c r="Q1101" s="1310" t="s">
        <v>1621</v>
      </c>
      <c r="R1101" s="1310" t="s">
        <v>127</v>
      </c>
      <c r="S1101" s="1310" t="s">
        <v>1591</v>
      </c>
      <c r="T1101" s="1310" t="s">
        <v>1511</v>
      </c>
      <c r="U1101" s="1310" t="s">
        <v>1541</v>
      </c>
      <c r="V1101" s="1310" t="s">
        <v>1565</v>
      </c>
      <c r="W1101" s="1310" t="s">
        <v>1496</v>
      </c>
      <c r="X1101" s="1310" t="s">
        <v>1562</v>
      </c>
      <c r="Y1101" s="1310" t="s">
        <v>118</v>
      </c>
      <c r="Z1101" s="1310" t="s">
        <v>1649</v>
      </c>
      <c r="AA1101" s="1310" t="s">
        <v>1554</v>
      </c>
      <c r="AB1101" s="1310" t="s">
        <v>1549</v>
      </c>
      <c r="AC1101" s="1310" t="s">
        <v>1619</v>
      </c>
      <c r="AD1101" s="1310" t="s">
        <v>1565</v>
      </c>
      <c r="AE1101" s="1310" t="s">
        <v>1495</v>
      </c>
      <c r="AF1101" s="1310" t="s">
        <v>1444</v>
      </c>
    </row>
    <row r="1102" spans="1:32" x14ac:dyDescent="0.3">
      <c r="A1102" s="1310" t="s">
        <v>1657</v>
      </c>
      <c r="B1102" s="1310" t="s">
        <v>266</v>
      </c>
      <c r="C1102" s="1310" t="s">
        <v>1505</v>
      </c>
      <c r="D1102" s="1310" t="s">
        <v>1509</v>
      </c>
      <c r="E1102" s="1310" t="s">
        <v>1564</v>
      </c>
      <c r="F1102" s="1310" t="s">
        <v>1577</v>
      </c>
      <c r="G1102" s="1310" t="s">
        <v>1647</v>
      </c>
      <c r="H1102" s="1310" t="s">
        <v>1606</v>
      </c>
      <c r="I1102" s="1310" t="s">
        <v>1629</v>
      </c>
      <c r="J1102" s="1310" t="s">
        <v>1563</v>
      </c>
      <c r="K1102" s="1310" t="s">
        <v>120</v>
      </c>
      <c r="L1102" s="1310" t="s">
        <v>1632</v>
      </c>
      <c r="M1102" s="1310" t="s">
        <v>1557</v>
      </c>
      <c r="N1102" s="1310" t="s">
        <v>1461</v>
      </c>
      <c r="O1102" s="1310" t="s">
        <v>1579</v>
      </c>
      <c r="P1102" s="1310" t="s">
        <v>1593</v>
      </c>
      <c r="Q1102" s="1310" t="s">
        <v>1512</v>
      </c>
      <c r="R1102" s="1310" t="s">
        <v>1621</v>
      </c>
      <c r="S1102" s="1310" t="s">
        <v>126</v>
      </c>
      <c r="T1102" s="1310" t="s">
        <v>1027</v>
      </c>
      <c r="U1102" s="1310" t="s">
        <v>1563</v>
      </c>
      <c r="V1102" s="1310" t="s">
        <v>1644</v>
      </c>
      <c r="W1102" s="1310" t="s">
        <v>1465</v>
      </c>
      <c r="X1102" s="1310" t="s">
        <v>1541</v>
      </c>
      <c r="Y1102" s="1310" t="s">
        <v>1553</v>
      </c>
      <c r="Z1102" s="1310" t="s">
        <v>1505</v>
      </c>
      <c r="AA1102" s="1310" t="s">
        <v>1509</v>
      </c>
      <c r="AB1102" s="1310" t="s">
        <v>1585</v>
      </c>
      <c r="AC1102" s="1310" t="s">
        <v>1555</v>
      </c>
      <c r="AD1102" s="1310" t="s">
        <v>1604</v>
      </c>
      <c r="AE1102" s="1310" t="s">
        <v>1482</v>
      </c>
      <c r="AF1102" s="1310" t="s">
        <v>1462</v>
      </c>
    </row>
    <row r="1103" spans="1:32" x14ac:dyDescent="0.3">
      <c r="A1103" s="1310" t="s">
        <v>1558</v>
      </c>
      <c r="B1103" s="1310" t="s">
        <v>1444</v>
      </c>
      <c r="C1103" s="1310" t="s">
        <v>465</v>
      </c>
      <c r="D1103" s="1310" t="s">
        <v>1450</v>
      </c>
      <c r="E1103" s="1310" t="s">
        <v>124</v>
      </c>
      <c r="F1103" s="1310" t="s">
        <v>127</v>
      </c>
      <c r="G1103" s="1310" t="s">
        <v>112</v>
      </c>
      <c r="H1103" s="1310" t="s">
        <v>1539</v>
      </c>
      <c r="I1103" s="1310" t="s">
        <v>1452</v>
      </c>
      <c r="J1103" s="1310" t="s">
        <v>1568</v>
      </c>
      <c r="K1103" s="1310" t="s">
        <v>1551</v>
      </c>
      <c r="L1103" s="1310" t="s">
        <v>1462</v>
      </c>
      <c r="M1103" s="1310" t="s">
        <v>1482</v>
      </c>
      <c r="N1103" s="1310" t="s">
        <v>1541</v>
      </c>
      <c r="O1103" s="1310" t="s">
        <v>1633</v>
      </c>
      <c r="P1103" s="1310" t="s">
        <v>1509</v>
      </c>
      <c r="Q1103" s="1310" t="s">
        <v>1553</v>
      </c>
      <c r="R1103" s="1310" t="s">
        <v>1567</v>
      </c>
      <c r="S1103" s="1310" t="s">
        <v>1641</v>
      </c>
      <c r="T1103" s="1310" t="s">
        <v>1502</v>
      </c>
      <c r="U1103" s="1310" t="s">
        <v>1452</v>
      </c>
      <c r="V1103" s="1310" t="s">
        <v>1463</v>
      </c>
      <c r="W1103" s="1310" t="s">
        <v>1502</v>
      </c>
      <c r="X1103" s="1310" t="s">
        <v>1470</v>
      </c>
      <c r="Y1103" s="1310" t="s">
        <v>122</v>
      </c>
      <c r="Z1103" s="1310" t="s">
        <v>1608</v>
      </c>
      <c r="AA1103" s="1310" t="s">
        <v>122</v>
      </c>
      <c r="AB1103" s="1310" t="s">
        <v>1561</v>
      </c>
      <c r="AC1103" s="1310" t="s">
        <v>112</v>
      </c>
      <c r="AD1103" s="1310" t="s">
        <v>1477</v>
      </c>
      <c r="AE1103" s="1310" t="s">
        <v>1505</v>
      </c>
      <c r="AF1103" s="1310" t="s">
        <v>1540</v>
      </c>
    </row>
    <row r="1104" spans="1:32" x14ac:dyDescent="0.3">
      <c r="A1104" s="1310" t="s">
        <v>1566</v>
      </c>
      <c r="B1104" s="1310" t="s">
        <v>1585</v>
      </c>
      <c r="C1104" s="1310" t="s">
        <v>1596</v>
      </c>
      <c r="D1104" s="1310" t="s">
        <v>1499</v>
      </c>
      <c r="E1104" s="1310" t="s">
        <v>1470</v>
      </c>
      <c r="F1104" s="1310" t="s">
        <v>121</v>
      </c>
      <c r="G1104" s="1310" t="s">
        <v>1629</v>
      </c>
      <c r="H1104" s="1310" t="s">
        <v>1555</v>
      </c>
      <c r="I1104" s="1310" t="s">
        <v>1548</v>
      </c>
      <c r="J1104" s="1310" t="s">
        <v>1637</v>
      </c>
      <c r="K1104" s="1310" t="s">
        <v>1534</v>
      </c>
      <c r="L1104" s="1310" t="s">
        <v>1505</v>
      </c>
      <c r="M1104" s="1310" t="s">
        <v>1605</v>
      </c>
      <c r="N1104" s="1310" t="s">
        <v>465</v>
      </c>
      <c r="O1104" s="1310" t="s">
        <v>1562</v>
      </c>
      <c r="P1104" s="1310" t="s">
        <v>1530</v>
      </c>
      <c r="Q1104" s="1310" t="s">
        <v>1496</v>
      </c>
      <c r="R1104" s="1310" t="s">
        <v>1607</v>
      </c>
      <c r="S1104" s="1310" t="s">
        <v>1627</v>
      </c>
      <c r="T1104" s="1310" t="s">
        <v>1569</v>
      </c>
      <c r="U1104" s="1310" t="s">
        <v>1552</v>
      </c>
      <c r="V1104" s="1310" t="s">
        <v>1554</v>
      </c>
      <c r="W1104" s="1310" t="s">
        <v>1511</v>
      </c>
      <c r="X1104" s="1310" t="s">
        <v>6</v>
      </c>
      <c r="Y1104" s="1310" t="s">
        <v>1587</v>
      </c>
      <c r="Z1104" s="1310" t="s">
        <v>110</v>
      </c>
      <c r="AA1104" s="1310" t="s">
        <v>1639</v>
      </c>
      <c r="AB1104" s="1310" t="s">
        <v>1546</v>
      </c>
      <c r="AC1104" s="1310" t="s">
        <v>1601</v>
      </c>
      <c r="AD1104" s="1310" t="s">
        <v>1456</v>
      </c>
      <c r="AE1104" s="1310" t="s">
        <v>1538</v>
      </c>
      <c r="AF1104" s="1310" t="s">
        <v>1561</v>
      </c>
    </row>
    <row r="1105" spans="1:32" x14ac:dyDescent="0.3">
      <c r="A1105" s="1310" t="s">
        <v>1446</v>
      </c>
      <c r="B1105" s="1310" t="s">
        <v>1629</v>
      </c>
      <c r="C1105" s="1310" t="s">
        <v>1588</v>
      </c>
      <c r="D1105" s="1310" t="s">
        <v>1639</v>
      </c>
      <c r="E1105" s="1310" t="s">
        <v>1523</v>
      </c>
      <c r="F1105" s="1310" t="s">
        <v>1629</v>
      </c>
      <c r="G1105" s="1310" t="s">
        <v>1562</v>
      </c>
      <c r="H1105" s="1310" t="s">
        <v>1488</v>
      </c>
      <c r="I1105" s="1310" t="s">
        <v>1476</v>
      </c>
      <c r="J1105" s="1310" t="s">
        <v>1535</v>
      </c>
      <c r="K1105" s="1310" t="s">
        <v>1532</v>
      </c>
      <c r="L1105" s="1310" t="s">
        <v>1557</v>
      </c>
      <c r="M1105" s="1310" t="s">
        <v>1455</v>
      </c>
      <c r="N1105" s="1310" t="s">
        <v>1494</v>
      </c>
      <c r="O1105" s="1310" t="s">
        <v>1474</v>
      </c>
      <c r="P1105" s="1310" t="s">
        <v>263</v>
      </c>
      <c r="Q1105" s="1310" t="s">
        <v>1600</v>
      </c>
      <c r="R1105" s="1310" t="s">
        <v>1509</v>
      </c>
      <c r="S1105" s="1310" t="s">
        <v>1554</v>
      </c>
      <c r="T1105" s="1310" t="s">
        <v>1452</v>
      </c>
      <c r="U1105" s="1310" t="s">
        <v>1550</v>
      </c>
      <c r="V1105" s="1310" t="s">
        <v>1460</v>
      </c>
      <c r="W1105" s="1310" t="s">
        <v>1497</v>
      </c>
      <c r="X1105" s="1310" t="s">
        <v>1518</v>
      </c>
      <c r="Y1105" s="1310" t="s">
        <v>111</v>
      </c>
      <c r="Z1105" s="1310" t="s">
        <v>1460</v>
      </c>
      <c r="AA1105" s="1310" t="s">
        <v>1455</v>
      </c>
      <c r="AB1105" s="1310" t="s">
        <v>1452</v>
      </c>
      <c r="AC1105" s="1310" t="s">
        <v>1557</v>
      </c>
      <c r="AD1105" s="1310" t="s">
        <v>1503</v>
      </c>
      <c r="AE1105" s="1310" t="s">
        <v>1450</v>
      </c>
      <c r="AF1105" s="1310" t="s">
        <v>1648</v>
      </c>
    </row>
    <row r="1106" spans="1:32" x14ac:dyDescent="0.3">
      <c r="A1106" s="1310" t="s">
        <v>1606</v>
      </c>
      <c r="B1106" s="1310" t="s">
        <v>1532</v>
      </c>
      <c r="C1106" s="1310" t="s">
        <v>1455</v>
      </c>
      <c r="D1106" s="1310" t="s">
        <v>1652</v>
      </c>
      <c r="E1106" s="1310" t="s">
        <v>1599</v>
      </c>
      <c r="F1106" s="1310" t="s">
        <v>1585</v>
      </c>
      <c r="G1106" s="1310" t="s">
        <v>1476</v>
      </c>
      <c r="H1106" s="1310" t="s">
        <v>110</v>
      </c>
      <c r="I1106" s="1310" t="s">
        <v>1640</v>
      </c>
      <c r="J1106" s="1310" t="s">
        <v>1635</v>
      </c>
      <c r="K1106" s="1310" t="s">
        <v>1500</v>
      </c>
      <c r="L1106" s="1310" t="s">
        <v>1654</v>
      </c>
      <c r="M1106" s="1310" t="s">
        <v>1461</v>
      </c>
      <c r="N1106" s="1310" t="s">
        <v>1625</v>
      </c>
      <c r="O1106" s="1310" t="s">
        <v>1488</v>
      </c>
      <c r="P1106" s="1310" t="s">
        <v>1538</v>
      </c>
      <c r="Q1106" s="1310" t="s">
        <v>1518</v>
      </c>
      <c r="R1106" s="1310" t="s">
        <v>1534</v>
      </c>
      <c r="S1106" s="1310" t="s">
        <v>1564</v>
      </c>
      <c r="T1106" s="1310" t="s">
        <v>1519</v>
      </c>
      <c r="U1106" s="1310" t="s">
        <v>113</v>
      </c>
      <c r="V1106" s="1310" t="s">
        <v>119</v>
      </c>
      <c r="W1106" s="1310" t="s">
        <v>126</v>
      </c>
      <c r="X1106" s="1310" t="s">
        <v>1624</v>
      </c>
      <c r="Y1106" s="1310" t="s">
        <v>1633</v>
      </c>
      <c r="Z1106" s="1310" t="s">
        <v>1544</v>
      </c>
      <c r="AA1106" s="1310" t="s">
        <v>1488</v>
      </c>
      <c r="AB1106" s="1310" t="s">
        <v>1530</v>
      </c>
      <c r="AC1106" s="1310" t="s">
        <v>1603</v>
      </c>
      <c r="AD1106" s="1310" t="s">
        <v>1529</v>
      </c>
      <c r="AE1106" s="1310" t="s">
        <v>1443</v>
      </c>
      <c r="AF1106" s="1310" t="s">
        <v>1450</v>
      </c>
    </row>
    <row r="1107" spans="1:32" x14ac:dyDescent="0.3">
      <c r="A1107" s="1310" t="s">
        <v>132</v>
      </c>
      <c r="B1107" s="1310" t="s">
        <v>1537</v>
      </c>
      <c r="C1107" s="1310" t="s">
        <v>1560</v>
      </c>
      <c r="D1107" s="1310" t="s">
        <v>1619</v>
      </c>
      <c r="E1107" s="1310" t="s">
        <v>1455</v>
      </c>
      <c r="F1107" s="1310" t="s">
        <v>1649</v>
      </c>
      <c r="G1107" s="1310" t="s">
        <v>1549</v>
      </c>
      <c r="H1107" s="1310" t="s">
        <v>1583</v>
      </c>
      <c r="I1107" s="1310" t="s">
        <v>1546</v>
      </c>
      <c r="J1107" s="1310" t="s">
        <v>1655</v>
      </c>
      <c r="K1107" s="1310" t="s">
        <v>1648</v>
      </c>
      <c r="L1107" s="1310" t="s">
        <v>1443</v>
      </c>
      <c r="M1107" s="1310" t="s">
        <v>1450</v>
      </c>
      <c r="N1107" s="1310" t="s">
        <v>1579</v>
      </c>
      <c r="O1107" s="1310" t="s">
        <v>1503</v>
      </c>
      <c r="P1107" s="1310" t="s">
        <v>1526</v>
      </c>
      <c r="Q1107" s="1310" t="s">
        <v>1490</v>
      </c>
      <c r="R1107" s="1310" t="s">
        <v>1540</v>
      </c>
      <c r="S1107" s="1310" t="s">
        <v>1550</v>
      </c>
      <c r="T1107" s="1310" t="s">
        <v>1552</v>
      </c>
      <c r="U1107" s="1310" t="s">
        <v>1645</v>
      </c>
      <c r="V1107" s="1310" t="s">
        <v>1516</v>
      </c>
      <c r="W1107" s="1310" t="s">
        <v>1624</v>
      </c>
      <c r="X1107" s="1310" t="s">
        <v>123</v>
      </c>
      <c r="Y1107" s="1310" t="s">
        <v>1660</v>
      </c>
      <c r="Z1107" s="1310" t="s">
        <v>1584</v>
      </c>
      <c r="AA1107" s="1310" t="s">
        <v>1497</v>
      </c>
      <c r="AB1107" s="1310" t="s">
        <v>1515</v>
      </c>
      <c r="AC1107" s="1310" t="s">
        <v>1604</v>
      </c>
      <c r="AD1107" s="1310" t="s">
        <v>1519</v>
      </c>
      <c r="AE1107" s="1310" t="s">
        <v>1479</v>
      </c>
      <c r="AF1107" s="1310" t="s">
        <v>1615</v>
      </c>
    </row>
    <row r="1108" spans="1:32" x14ac:dyDescent="0.3">
      <c r="A1108" s="1310" t="s">
        <v>1510</v>
      </c>
      <c r="B1108" s="1310" t="s">
        <v>1444</v>
      </c>
      <c r="C1108" s="1310" t="s">
        <v>1538</v>
      </c>
      <c r="D1108" s="1310" t="s">
        <v>1516</v>
      </c>
      <c r="E1108" s="1310" t="s">
        <v>1596</v>
      </c>
      <c r="F1108" s="1310" t="s">
        <v>1594</v>
      </c>
      <c r="G1108" s="1310" t="s">
        <v>465</v>
      </c>
      <c r="H1108" s="1310" t="s">
        <v>1611</v>
      </c>
      <c r="I1108" s="1310" t="s">
        <v>121</v>
      </c>
      <c r="J1108" s="1310" t="s">
        <v>1613</v>
      </c>
      <c r="K1108" s="1310" t="s">
        <v>1569</v>
      </c>
      <c r="L1108" s="1310" t="s">
        <v>1562</v>
      </c>
      <c r="M1108" s="1310" t="s">
        <v>1647</v>
      </c>
      <c r="N1108" s="1310" t="s">
        <v>1588</v>
      </c>
      <c r="O1108" s="1310" t="s">
        <v>1497</v>
      </c>
      <c r="P1108" s="1310" t="s">
        <v>126</v>
      </c>
      <c r="Q1108" s="1310" t="s">
        <v>1637</v>
      </c>
      <c r="R1108" s="1310" t="s">
        <v>1593</v>
      </c>
      <c r="S1108" s="1310" t="s">
        <v>1576</v>
      </c>
      <c r="T1108" s="1310" t="s">
        <v>1539</v>
      </c>
      <c r="U1108" s="1310" t="s">
        <v>116</v>
      </c>
      <c r="V1108" s="1310" t="s">
        <v>1549</v>
      </c>
      <c r="W1108" s="1310" t="s">
        <v>1584</v>
      </c>
      <c r="X1108" s="1310" t="s">
        <v>1550</v>
      </c>
      <c r="Y1108" s="1310" t="s">
        <v>262</v>
      </c>
      <c r="Z1108" s="1310" t="s">
        <v>1450</v>
      </c>
      <c r="AA1108" s="1310" t="s">
        <v>1517</v>
      </c>
      <c r="AB1108" s="1310" t="s">
        <v>1602</v>
      </c>
      <c r="AC1108" s="1310" t="s">
        <v>1584</v>
      </c>
      <c r="AD1108" s="1310" t="s">
        <v>1571</v>
      </c>
      <c r="AE1108" s="1310" t="s">
        <v>1502</v>
      </c>
      <c r="AF1108" s="1310" t="s">
        <v>1601</v>
      </c>
    </row>
    <row r="1109" spans="1:32" x14ac:dyDescent="0.3">
      <c r="A1109" s="1310" t="s">
        <v>1446</v>
      </c>
      <c r="B1109" s="1310" t="s">
        <v>1560</v>
      </c>
      <c r="C1109" s="1310" t="s">
        <v>126</v>
      </c>
      <c r="D1109" s="1310" t="s">
        <v>1643</v>
      </c>
      <c r="E1109" s="1310" t="s">
        <v>125</v>
      </c>
      <c r="F1109" s="1310" t="s">
        <v>1564</v>
      </c>
      <c r="G1109" s="1310" t="s">
        <v>267</v>
      </c>
      <c r="H1109" s="1310" t="s">
        <v>110</v>
      </c>
      <c r="I1109" s="1310" t="s">
        <v>1639</v>
      </c>
      <c r="J1109" s="1310" t="s">
        <v>1517</v>
      </c>
      <c r="K1109" s="1310" t="s">
        <v>1584</v>
      </c>
      <c r="L1109" s="1310" t="s">
        <v>1623</v>
      </c>
      <c r="M1109" s="1310" t="s">
        <v>127</v>
      </c>
      <c r="N1109" s="1310" t="s">
        <v>1602</v>
      </c>
      <c r="O1109" s="1310" t="s">
        <v>1645</v>
      </c>
      <c r="P1109" s="1310" t="s">
        <v>1587</v>
      </c>
      <c r="Q1109" s="1310" t="s">
        <v>1494</v>
      </c>
      <c r="R1109" s="1310" t="s">
        <v>128</v>
      </c>
      <c r="S1109" s="1310" t="s">
        <v>1645</v>
      </c>
      <c r="T1109" s="1310" t="s">
        <v>1622</v>
      </c>
      <c r="U1109" s="1310" t="s">
        <v>1601</v>
      </c>
      <c r="V1109" s="1310" t="s">
        <v>1614</v>
      </c>
      <c r="W1109" s="1310" t="s">
        <v>1612</v>
      </c>
      <c r="X1109" s="1310" t="s">
        <v>128</v>
      </c>
      <c r="Y1109" s="1310" t="s">
        <v>1622</v>
      </c>
      <c r="Z1109" s="1310" t="s">
        <v>1526</v>
      </c>
      <c r="AA1109" s="1310" t="s">
        <v>1580</v>
      </c>
      <c r="AB1109" s="1310" t="s">
        <v>1637</v>
      </c>
      <c r="AC1109" s="1310" t="s">
        <v>1559</v>
      </c>
      <c r="AD1109" s="1310" t="s">
        <v>110</v>
      </c>
      <c r="AE1109" s="1310" t="s">
        <v>1443</v>
      </c>
      <c r="AF1109" s="1310" t="s">
        <v>1450</v>
      </c>
    </row>
    <row r="1110" spans="1:32" x14ac:dyDescent="0.3">
      <c r="A1110" s="1310" t="s">
        <v>1471</v>
      </c>
      <c r="B1110" s="1310" t="s">
        <v>1567</v>
      </c>
      <c r="C1110" s="1310" t="s">
        <v>1607</v>
      </c>
      <c r="D1110" s="1310" t="s">
        <v>1460</v>
      </c>
      <c r="E1110" s="1310" t="s">
        <v>1443</v>
      </c>
      <c r="F1110" s="1310" t="s">
        <v>1450</v>
      </c>
      <c r="G1110" s="1310" t="s">
        <v>1522</v>
      </c>
      <c r="H1110" s="1310" t="s">
        <v>1633</v>
      </c>
      <c r="I1110" s="1310" t="s">
        <v>1571</v>
      </c>
      <c r="J1110" s="1310" t="s">
        <v>1581</v>
      </c>
      <c r="K1110" s="1310" t="s">
        <v>1602</v>
      </c>
      <c r="L1110" s="1310" t="s">
        <v>1479</v>
      </c>
      <c r="M1110" s="1310" t="s">
        <v>1608</v>
      </c>
      <c r="N1110" s="1310" t="s">
        <v>1622</v>
      </c>
      <c r="O1110" s="1310" t="s">
        <v>1581</v>
      </c>
      <c r="P1110" s="1310" t="s">
        <v>1619</v>
      </c>
      <c r="Q1110" s="1310" t="s">
        <v>124</v>
      </c>
      <c r="R1110" s="1310" t="s">
        <v>1551</v>
      </c>
      <c r="S1110" s="1310" t="s">
        <v>1603</v>
      </c>
      <c r="T1110" s="1310" t="s">
        <v>1584</v>
      </c>
      <c r="U1110" s="1310" t="s">
        <v>1570</v>
      </c>
      <c r="V1110" s="1310" t="s">
        <v>1603</v>
      </c>
      <c r="W1110" s="1310" t="s">
        <v>1615</v>
      </c>
      <c r="X1110" s="1310" t="s">
        <v>1633</v>
      </c>
      <c r="Y1110" s="1310" t="s">
        <v>1601</v>
      </c>
      <c r="Z1110" s="1310" t="s">
        <v>1580</v>
      </c>
      <c r="AA1110" s="1310" t="s">
        <v>1461</v>
      </c>
      <c r="AB1110" s="1310" t="s">
        <v>1647</v>
      </c>
      <c r="AC1110" s="1310" t="s">
        <v>1451</v>
      </c>
      <c r="AD1110" s="1310" t="s">
        <v>1030</v>
      </c>
      <c r="AE1110" s="1310" t="s">
        <v>6</v>
      </c>
      <c r="AF1110" s="1310" t="s">
        <v>1457</v>
      </c>
    </row>
    <row r="1111" spans="1:32" x14ac:dyDescent="0.3">
      <c r="A1111" s="1310" t="s">
        <v>1608</v>
      </c>
      <c r="B1111" s="1310" t="s">
        <v>1576</v>
      </c>
      <c r="C1111" s="1310" t="s">
        <v>1548</v>
      </c>
      <c r="D1111" s="1310" t="s">
        <v>1555</v>
      </c>
      <c r="E1111" s="1310" t="s">
        <v>1638</v>
      </c>
      <c r="F1111" s="1310" t="s">
        <v>126</v>
      </c>
      <c r="G1111" s="1310" t="s">
        <v>1499</v>
      </c>
      <c r="H1111" s="1310" t="s">
        <v>1499</v>
      </c>
      <c r="I1111" s="1310" t="s">
        <v>1547</v>
      </c>
      <c r="J1111" s="1310" t="s">
        <v>1473</v>
      </c>
      <c r="K1111" s="1310" t="s">
        <v>1581</v>
      </c>
      <c r="L1111" s="1310" t="s">
        <v>1600</v>
      </c>
      <c r="M1111" s="1310" t="s">
        <v>1550</v>
      </c>
      <c r="N1111" s="1310" t="s">
        <v>1483</v>
      </c>
      <c r="O1111" s="1310" t="s">
        <v>1656</v>
      </c>
      <c r="P1111" s="1310" t="s">
        <v>1570</v>
      </c>
      <c r="Q1111" s="1310" t="s">
        <v>1478</v>
      </c>
      <c r="R1111" s="1310" t="s">
        <v>1473</v>
      </c>
      <c r="S1111" s="1310" t="s">
        <v>1490</v>
      </c>
      <c r="T1111" s="1310" t="s">
        <v>1638</v>
      </c>
      <c r="U1111" s="1310" t="s">
        <v>1472</v>
      </c>
      <c r="V1111" s="1310" t="s">
        <v>1566</v>
      </c>
      <c r="W1111" s="1310" t="s">
        <v>1030</v>
      </c>
      <c r="X1111" s="1310" t="s">
        <v>1659</v>
      </c>
      <c r="Y1111" s="1310" t="s">
        <v>1446</v>
      </c>
      <c r="Z1111" s="1310" t="s">
        <v>1481</v>
      </c>
      <c r="AA1111" s="1310" t="s">
        <v>1566</v>
      </c>
      <c r="AB1111" s="1310" t="s">
        <v>1550</v>
      </c>
      <c r="AC1111" s="1310" t="s">
        <v>1492</v>
      </c>
      <c r="AD1111" s="1310" t="s">
        <v>1653</v>
      </c>
      <c r="AE1111" s="1310" t="s">
        <v>1544</v>
      </c>
      <c r="AF1111" s="1310" t="s">
        <v>1649</v>
      </c>
    </row>
    <row r="1112" spans="1:32" x14ac:dyDescent="0.3">
      <c r="A1112" s="1310" t="s">
        <v>1580</v>
      </c>
      <c r="B1112" s="1310" t="s">
        <v>1537</v>
      </c>
      <c r="C1112" s="1310" t="s">
        <v>1464</v>
      </c>
      <c r="D1112" s="1310" t="s">
        <v>1490</v>
      </c>
      <c r="E1112" s="1310" t="s">
        <v>1631</v>
      </c>
      <c r="F1112" s="1310" t="s">
        <v>1639</v>
      </c>
      <c r="G1112" s="1310" t="s">
        <v>263</v>
      </c>
      <c r="H1112" s="1310" t="s">
        <v>1496</v>
      </c>
      <c r="I1112" s="1310" t="s">
        <v>1588</v>
      </c>
      <c r="J1112" s="1310" t="s">
        <v>1613</v>
      </c>
      <c r="K1112" s="1310" t="s">
        <v>465</v>
      </c>
      <c r="L1112" s="1310" t="s">
        <v>1628</v>
      </c>
      <c r="M1112" s="1310" t="s">
        <v>1607</v>
      </c>
      <c r="N1112" s="1310" t="s">
        <v>465</v>
      </c>
      <c r="O1112" s="1310" t="s">
        <v>1638</v>
      </c>
      <c r="P1112" s="1310" t="s">
        <v>1489</v>
      </c>
      <c r="Q1112" s="1310" t="s">
        <v>1581</v>
      </c>
      <c r="R1112" s="1310" t="s">
        <v>1548</v>
      </c>
      <c r="S1112" s="1310" t="s">
        <v>122</v>
      </c>
      <c r="T1112" s="1310" t="s">
        <v>1446</v>
      </c>
      <c r="U1112" s="1310" t="s">
        <v>1598</v>
      </c>
      <c r="V1112" s="1310" t="s">
        <v>1640</v>
      </c>
      <c r="W1112" s="1310" t="s">
        <v>1468</v>
      </c>
      <c r="X1112" s="1310" t="s">
        <v>131</v>
      </c>
      <c r="Y1112" s="1310" t="s">
        <v>1516</v>
      </c>
      <c r="Z1112" s="1310" t="s">
        <v>1451</v>
      </c>
      <c r="AA1112" s="1310" t="s">
        <v>1598</v>
      </c>
      <c r="AB1112" s="1310" t="s">
        <v>1655</v>
      </c>
      <c r="AC1112" s="1310" t="s">
        <v>1573</v>
      </c>
      <c r="AD1112" s="1310" t="s">
        <v>1474</v>
      </c>
      <c r="AE1112" s="1310" t="s">
        <v>263</v>
      </c>
      <c r="AF1112" s="1310" t="s">
        <v>1655</v>
      </c>
    </row>
    <row r="1113" spans="1:32" x14ac:dyDescent="0.3">
      <c r="A1113" s="1310" t="s">
        <v>1503</v>
      </c>
      <c r="B1113" s="1310" t="s">
        <v>1644</v>
      </c>
      <c r="C1113" s="1310" t="s">
        <v>1506</v>
      </c>
      <c r="D1113" s="1310" t="s">
        <v>1521</v>
      </c>
      <c r="E1113" s="1310" t="s">
        <v>1543</v>
      </c>
      <c r="F1113" s="1310" t="s">
        <v>1509</v>
      </c>
      <c r="G1113" s="1310" t="s">
        <v>1507</v>
      </c>
      <c r="H1113" s="1310" t="s">
        <v>262</v>
      </c>
      <c r="I1113" s="1310" t="s">
        <v>1517</v>
      </c>
      <c r="J1113" s="1310" t="s">
        <v>1467</v>
      </c>
      <c r="K1113" s="1310" t="s">
        <v>1458</v>
      </c>
      <c r="L1113" s="1310" t="s">
        <v>1467</v>
      </c>
      <c r="M1113" s="1310" t="s">
        <v>112</v>
      </c>
      <c r="N1113" s="1310" t="s">
        <v>1475</v>
      </c>
      <c r="O1113" s="1310" t="s">
        <v>1549</v>
      </c>
      <c r="P1113" s="1310" t="s">
        <v>1501</v>
      </c>
      <c r="Q1113" s="1310" t="s">
        <v>110</v>
      </c>
      <c r="R1113" s="1310" t="s">
        <v>1580</v>
      </c>
      <c r="S1113" s="1310" t="s">
        <v>132</v>
      </c>
      <c r="T1113" s="1310" t="s">
        <v>1595</v>
      </c>
      <c r="U1113" s="1310" t="s">
        <v>1608</v>
      </c>
      <c r="V1113" s="1310" t="s">
        <v>1576</v>
      </c>
      <c r="W1113" s="1310" t="s">
        <v>1589</v>
      </c>
      <c r="X1113" s="1310" t="s">
        <v>132</v>
      </c>
      <c r="Y1113" s="1310" t="s">
        <v>1510</v>
      </c>
      <c r="Z1113" s="1310" t="s">
        <v>1551</v>
      </c>
      <c r="AA1113" s="1310" t="s">
        <v>1566</v>
      </c>
      <c r="AB1113" s="1310" t="s">
        <v>1537</v>
      </c>
      <c r="AC1113" s="1310" t="s">
        <v>1468</v>
      </c>
      <c r="AD1113" s="1310" t="s">
        <v>1565</v>
      </c>
      <c r="AE1113" s="1310" t="s">
        <v>1647</v>
      </c>
      <c r="AF1113" s="1310" t="s">
        <v>1595</v>
      </c>
    </row>
    <row r="1114" spans="1:32" x14ac:dyDescent="0.3">
      <c r="A1114" s="1310" t="s">
        <v>1500</v>
      </c>
      <c r="B1114" s="1310" t="s">
        <v>1554</v>
      </c>
      <c r="C1114" s="1310" t="s">
        <v>1562</v>
      </c>
      <c r="D1114" s="1310" t="s">
        <v>1569</v>
      </c>
      <c r="E1114" s="1310" t="s">
        <v>1583</v>
      </c>
      <c r="F1114" s="1310" t="s">
        <v>1628</v>
      </c>
      <c r="G1114" s="1310" t="s">
        <v>1521</v>
      </c>
      <c r="H1114" s="1310" t="s">
        <v>1494</v>
      </c>
      <c r="I1114" s="1310" t="s">
        <v>1563</v>
      </c>
      <c r="J1114" s="1310" t="s">
        <v>1492</v>
      </c>
      <c r="K1114" s="1310" t="s">
        <v>1587</v>
      </c>
      <c r="L1114" s="1310" t="s">
        <v>471</v>
      </c>
      <c r="M1114" s="1310" t="s">
        <v>110</v>
      </c>
      <c r="N1114" s="1310" t="s">
        <v>1476</v>
      </c>
      <c r="O1114" s="1310" t="s">
        <v>124</v>
      </c>
      <c r="P1114" s="1310" t="s">
        <v>1486</v>
      </c>
      <c r="Q1114" s="1310" t="s">
        <v>1467</v>
      </c>
      <c r="R1114" s="1310" t="s">
        <v>1650</v>
      </c>
      <c r="S1114" s="1310" t="s">
        <v>1515</v>
      </c>
      <c r="T1114" s="1310" t="s">
        <v>1529</v>
      </c>
      <c r="U1114" s="1310" t="s">
        <v>1518</v>
      </c>
      <c r="V1114" s="1310" t="s">
        <v>1654</v>
      </c>
      <c r="W1114" s="1310" t="s">
        <v>1601</v>
      </c>
      <c r="X1114" s="1310" t="s">
        <v>1602</v>
      </c>
      <c r="Y1114" s="1310" t="s">
        <v>1591</v>
      </c>
      <c r="Z1114" s="1310" t="s">
        <v>1579</v>
      </c>
      <c r="AA1114" s="1310" t="s">
        <v>1531</v>
      </c>
      <c r="AB1114" s="1310" t="s">
        <v>1659</v>
      </c>
      <c r="AC1114" s="1310" t="s">
        <v>1643</v>
      </c>
      <c r="AD1114" s="1310" t="s">
        <v>1462</v>
      </c>
      <c r="AE1114" s="1310" t="s">
        <v>1465</v>
      </c>
      <c r="AF1114" s="1310" t="s">
        <v>1576</v>
      </c>
    </row>
    <row r="1115" spans="1:32" x14ac:dyDescent="0.3">
      <c r="A1115" s="1310" t="s">
        <v>1549</v>
      </c>
      <c r="B1115" s="1310" t="s">
        <v>1483</v>
      </c>
      <c r="C1115" s="1310" t="s">
        <v>1628</v>
      </c>
      <c r="D1115" s="1310" t="s">
        <v>1457</v>
      </c>
      <c r="E1115" s="1310" t="s">
        <v>1611</v>
      </c>
      <c r="F1115" s="1310" t="s">
        <v>1658</v>
      </c>
      <c r="G1115" s="1310" t="s">
        <v>1591</v>
      </c>
      <c r="H1115" s="1310" t="s">
        <v>1625</v>
      </c>
      <c r="I1115" s="1310" t="s">
        <v>1660</v>
      </c>
      <c r="J1115" s="1310" t="s">
        <v>1480</v>
      </c>
      <c r="K1115" s="1310" t="s">
        <v>1599</v>
      </c>
      <c r="L1115" s="1310" t="s">
        <v>1547</v>
      </c>
      <c r="M1115" s="1310" t="s">
        <v>1621</v>
      </c>
      <c r="N1115" s="1310" t="s">
        <v>1621</v>
      </c>
      <c r="O1115" s="1310" t="s">
        <v>1447</v>
      </c>
      <c r="P1115" s="1310" t="s">
        <v>1492</v>
      </c>
      <c r="Q1115" s="1310" t="s">
        <v>1597</v>
      </c>
      <c r="R1115" s="1310" t="s">
        <v>116</v>
      </c>
      <c r="S1115" s="1310" t="s">
        <v>1590</v>
      </c>
      <c r="T1115" s="1310" t="s">
        <v>1583</v>
      </c>
      <c r="U1115" s="1310" t="s">
        <v>1660</v>
      </c>
      <c r="V1115" s="1310" t="s">
        <v>112</v>
      </c>
      <c r="W1115" s="1310" t="s">
        <v>1490</v>
      </c>
      <c r="X1115" s="1310" t="s">
        <v>1620</v>
      </c>
      <c r="Y1115" s="1310" t="s">
        <v>114</v>
      </c>
      <c r="Z1115" s="1310" t="s">
        <v>119</v>
      </c>
      <c r="AA1115" s="1310" t="s">
        <v>1574</v>
      </c>
      <c r="AB1115" s="1310" t="s">
        <v>125</v>
      </c>
      <c r="AC1115" s="1310" t="s">
        <v>1603</v>
      </c>
      <c r="AD1115" s="1310" t="s">
        <v>1481</v>
      </c>
      <c r="AE1115" s="1310" t="s">
        <v>125</v>
      </c>
      <c r="AF1115" s="1310" t="s">
        <v>1544</v>
      </c>
    </row>
    <row r="1116" spans="1:32" x14ac:dyDescent="0.3">
      <c r="A1116" s="1310" t="s">
        <v>1575</v>
      </c>
      <c r="B1116" s="1310" t="s">
        <v>1607</v>
      </c>
      <c r="C1116" s="1310" t="s">
        <v>1654</v>
      </c>
      <c r="D1116" s="1310" t="s">
        <v>115</v>
      </c>
      <c r="E1116" s="1310" t="s">
        <v>1650</v>
      </c>
      <c r="F1116" s="1310" t="s">
        <v>1475</v>
      </c>
      <c r="G1116" s="1310" t="s">
        <v>1507</v>
      </c>
      <c r="H1116" s="1310" t="s">
        <v>1613</v>
      </c>
      <c r="I1116" s="1310" t="s">
        <v>1523</v>
      </c>
      <c r="J1116" s="1310" t="s">
        <v>1639</v>
      </c>
      <c r="K1116" s="1310" t="s">
        <v>1474</v>
      </c>
      <c r="L1116" s="1310" t="s">
        <v>1625</v>
      </c>
      <c r="M1116" s="1310" t="s">
        <v>1468</v>
      </c>
      <c r="N1116" s="1310" t="s">
        <v>1614</v>
      </c>
      <c r="O1116" s="1310" t="s">
        <v>1454</v>
      </c>
      <c r="P1116" s="1310" t="s">
        <v>128</v>
      </c>
      <c r="Q1116" s="1310" t="s">
        <v>1580</v>
      </c>
      <c r="R1116" s="1310" t="s">
        <v>1463</v>
      </c>
      <c r="S1116" s="1310" t="s">
        <v>1594</v>
      </c>
      <c r="T1116" s="1310" t="s">
        <v>1449</v>
      </c>
      <c r="U1116" s="1310" t="s">
        <v>1558</v>
      </c>
      <c r="V1116" s="1310" t="s">
        <v>1569</v>
      </c>
      <c r="W1116" s="1310" t="s">
        <v>1590</v>
      </c>
      <c r="X1116" s="1310" t="s">
        <v>1577</v>
      </c>
      <c r="Y1116" s="1310" t="s">
        <v>1446</v>
      </c>
      <c r="Z1116" s="1310" t="s">
        <v>1548</v>
      </c>
      <c r="AA1116" s="1310" t="s">
        <v>1617</v>
      </c>
      <c r="AB1116" s="1310" t="s">
        <v>1632</v>
      </c>
      <c r="AC1116" s="1310" t="s">
        <v>1601</v>
      </c>
      <c r="AD1116" s="1310" t="s">
        <v>1492</v>
      </c>
      <c r="AE1116" s="1310" t="s">
        <v>269</v>
      </c>
      <c r="AF1116" s="1310" t="s">
        <v>114</v>
      </c>
    </row>
    <row r="1117" spans="1:32" x14ac:dyDescent="0.3">
      <c r="A1117" s="1310" t="s">
        <v>1568</v>
      </c>
      <c r="B1117" s="1310" t="s">
        <v>1566</v>
      </c>
      <c r="C1117" s="1310" t="s">
        <v>266</v>
      </c>
      <c r="D1117" s="1310" t="s">
        <v>1513</v>
      </c>
      <c r="E1117" s="1310" t="s">
        <v>1449</v>
      </c>
      <c r="F1117" s="1310" t="s">
        <v>1593</v>
      </c>
      <c r="G1117" s="1310" t="s">
        <v>114</v>
      </c>
      <c r="H1117" s="1310" t="s">
        <v>1468</v>
      </c>
      <c r="I1117" s="1310" t="s">
        <v>1452</v>
      </c>
      <c r="J1117" s="1310" t="s">
        <v>111</v>
      </c>
      <c r="K1117" s="1310" t="s">
        <v>264</v>
      </c>
      <c r="L1117" s="1310" t="s">
        <v>1598</v>
      </c>
      <c r="M1117" s="1310" t="s">
        <v>1540</v>
      </c>
      <c r="N1117" s="1310" t="s">
        <v>1583</v>
      </c>
      <c r="O1117" s="1310" t="s">
        <v>132</v>
      </c>
      <c r="P1117" s="1310" t="s">
        <v>1468</v>
      </c>
      <c r="Q1117" s="1310" t="s">
        <v>1605</v>
      </c>
      <c r="R1117" s="1310" t="s">
        <v>116</v>
      </c>
      <c r="S1117" s="1310" t="s">
        <v>1515</v>
      </c>
      <c r="T1117" s="1310" t="s">
        <v>1489</v>
      </c>
      <c r="U1117" s="1310" t="s">
        <v>1474</v>
      </c>
      <c r="V1117" s="1310" t="s">
        <v>1592</v>
      </c>
      <c r="W1117" s="1310" t="s">
        <v>1562</v>
      </c>
      <c r="X1117" s="1310" t="s">
        <v>1604</v>
      </c>
      <c r="Y1117" s="1310" t="s">
        <v>1643</v>
      </c>
      <c r="Z1117" s="1310" t="s">
        <v>1622</v>
      </c>
      <c r="AA1117" s="1310" t="s">
        <v>1655</v>
      </c>
      <c r="AB1117" s="1310" t="s">
        <v>1594</v>
      </c>
      <c r="AC1117" s="1310" t="s">
        <v>1470</v>
      </c>
      <c r="AD1117" s="1310" t="s">
        <v>1618</v>
      </c>
      <c r="AE1117" s="1310" t="s">
        <v>1443</v>
      </c>
      <c r="AF1117" s="1310" t="s">
        <v>1450</v>
      </c>
    </row>
    <row r="1118" spans="1:32" x14ac:dyDescent="0.3">
      <c r="A1118" s="1310" t="s">
        <v>1532</v>
      </c>
      <c r="B1118" s="1310" t="s">
        <v>1468</v>
      </c>
      <c r="C1118" s="1310" t="s">
        <v>1603</v>
      </c>
      <c r="D1118" s="1310" t="s">
        <v>1621</v>
      </c>
      <c r="E1118" s="1310" t="s">
        <v>1596</v>
      </c>
      <c r="F1118" s="1310" t="s">
        <v>133</v>
      </c>
      <c r="G1118" s="1310" t="s">
        <v>1503</v>
      </c>
      <c r="H1118" s="1310" t="s">
        <v>1552</v>
      </c>
      <c r="I1118" s="1310" t="s">
        <v>1614</v>
      </c>
      <c r="J1118" s="1310" t="s">
        <v>1637</v>
      </c>
      <c r="K1118" s="1310" t="s">
        <v>1575</v>
      </c>
      <c r="L1118" s="1310" t="s">
        <v>1637</v>
      </c>
      <c r="M1118" s="1310" t="s">
        <v>1626</v>
      </c>
      <c r="N1118" s="1310" t="s">
        <v>1645</v>
      </c>
      <c r="O1118" s="1310" t="s">
        <v>1615</v>
      </c>
      <c r="P1118" s="1310" t="s">
        <v>1443</v>
      </c>
      <c r="Q1118" s="1310" t="s">
        <v>1450</v>
      </c>
      <c r="R1118" s="1310" t="s">
        <v>1615</v>
      </c>
      <c r="S1118" s="1310" t="s">
        <v>1474</v>
      </c>
      <c r="T1118" s="1310" t="s">
        <v>1459</v>
      </c>
      <c r="U1118" s="1310" t="s">
        <v>1636</v>
      </c>
      <c r="V1118" s="1310" t="s">
        <v>1481</v>
      </c>
      <c r="W1118" s="1310" t="s">
        <v>1622</v>
      </c>
      <c r="X1118" s="1310" t="s">
        <v>1615</v>
      </c>
      <c r="Y1118" s="1310" t="s">
        <v>126</v>
      </c>
      <c r="Z1118" s="1310" t="s">
        <v>1627</v>
      </c>
      <c r="AA1118" s="1310" t="s">
        <v>1657</v>
      </c>
      <c r="AB1118" s="1310" t="s">
        <v>1488</v>
      </c>
      <c r="AC1118" s="1310" t="s">
        <v>1639</v>
      </c>
      <c r="AD1118" s="1310" t="s">
        <v>1509</v>
      </c>
      <c r="AE1118" s="1310" t="s">
        <v>1627</v>
      </c>
      <c r="AF1118" s="1310" t="s">
        <v>1601</v>
      </c>
    </row>
    <row r="1119" spans="1:32" x14ac:dyDescent="0.3">
      <c r="A1119" s="1310" t="s">
        <v>1590</v>
      </c>
      <c r="B1119" s="1310" t="s">
        <v>1460</v>
      </c>
      <c r="C1119" s="1310" t="s">
        <v>1579</v>
      </c>
      <c r="D1119" s="1310" t="s">
        <v>1598</v>
      </c>
      <c r="E1119" s="1310" t="s">
        <v>1637</v>
      </c>
      <c r="F1119" s="1310" t="s">
        <v>1617</v>
      </c>
      <c r="G1119" s="1310" t="s">
        <v>120</v>
      </c>
      <c r="H1119" s="1310" t="s">
        <v>1493</v>
      </c>
      <c r="I1119" s="1310" t="s">
        <v>1528</v>
      </c>
      <c r="J1119" s="1310" t="s">
        <v>1483</v>
      </c>
      <c r="K1119" s="1310" t="s">
        <v>1612</v>
      </c>
      <c r="L1119" s="1310" t="s">
        <v>1549</v>
      </c>
      <c r="M1119" s="1310" t="s">
        <v>1625</v>
      </c>
      <c r="N1119" s="1310" t="s">
        <v>1578</v>
      </c>
      <c r="O1119" s="1310" t="s">
        <v>112</v>
      </c>
      <c r="P1119" s="1310" t="s">
        <v>1640</v>
      </c>
      <c r="Q1119" s="1310" t="s">
        <v>1521</v>
      </c>
      <c r="R1119" s="1310" t="s">
        <v>1525</v>
      </c>
      <c r="S1119" s="1310" t="s">
        <v>111</v>
      </c>
      <c r="T1119" s="1310" t="s">
        <v>1577</v>
      </c>
      <c r="U1119" s="1310" t="s">
        <v>1619</v>
      </c>
      <c r="V1119" s="1310" t="s">
        <v>111</v>
      </c>
      <c r="W1119" s="1310" t="s">
        <v>1494</v>
      </c>
      <c r="X1119" s="1310" t="s">
        <v>465</v>
      </c>
      <c r="Y1119" s="1310" t="s">
        <v>1563</v>
      </c>
      <c r="Z1119" s="1310" t="s">
        <v>1474</v>
      </c>
      <c r="AA1119" s="1310" t="s">
        <v>1638</v>
      </c>
      <c r="AB1119" s="1310" t="s">
        <v>1568</v>
      </c>
      <c r="AC1119" s="1310" t="s">
        <v>1638</v>
      </c>
      <c r="AD1119" s="1310" t="s">
        <v>1607</v>
      </c>
      <c r="AE1119" s="1310" t="s">
        <v>1613</v>
      </c>
      <c r="AF1119" s="1310" t="s">
        <v>1644</v>
      </c>
    </row>
    <row r="1120" spans="1:32" x14ac:dyDescent="0.3">
      <c r="A1120" s="1310" t="s">
        <v>1592</v>
      </c>
      <c r="B1120" s="1310" t="s">
        <v>1509</v>
      </c>
      <c r="C1120" s="1310" t="s">
        <v>1600</v>
      </c>
      <c r="D1120" s="1310" t="s">
        <v>1444</v>
      </c>
      <c r="E1120" s="1310" t="s">
        <v>1554</v>
      </c>
      <c r="F1120" s="1310" t="s">
        <v>267</v>
      </c>
      <c r="G1120" s="1310" t="s">
        <v>1475</v>
      </c>
      <c r="H1120" s="1310" t="s">
        <v>1612</v>
      </c>
      <c r="I1120" s="1310" t="s">
        <v>1477</v>
      </c>
      <c r="J1120" s="1310" t="s">
        <v>130</v>
      </c>
      <c r="K1120" s="1310" t="s">
        <v>115</v>
      </c>
      <c r="L1120" s="1310" t="s">
        <v>1510</v>
      </c>
      <c r="M1120" s="1310" t="s">
        <v>1538</v>
      </c>
      <c r="N1120" s="1310" t="s">
        <v>471</v>
      </c>
      <c r="O1120" s="1310" t="s">
        <v>1602</v>
      </c>
      <c r="P1120" s="1310" t="s">
        <v>1496</v>
      </c>
      <c r="Q1120" s="1310" t="s">
        <v>1568</v>
      </c>
      <c r="R1120" s="1310" t="s">
        <v>1636</v>
      </c>
      <c r="S1120" s="1310" t="s">
        <v>1452</v>
      </c>
      <c r="T1120" s="1310" t="s">
        <v>1501</v>
      </c>
      <c r="U1120" s="1310" t="s">
        <v>1503</v>
      </c>
      <c r="V1120" s="1310" t="s">
        <v>1623</v>
      </c>
      <c r="W1120" s="1310" t="s">
        <v>131</v>
      </c>
      <c r="X1120" s="1310" t="s">
        <v>1500</v>
      </c>
      <c r="Y1120" s="1310" t="s">
        <v>264</v>
      </c>
      <c r="Z1120" s="1310" t="s">
        <v>1601</v>
      </c>
      <c r="AA1120" s="1310" t="s">
        <v>1603</v>
      </c>
      <c r="AB1120" s="1310" t="s">
        <v>132</v>
      </c>
      <c r="AC1120" s="1310" t="s">
        <v>1537</v>
      </c>
      <c r="AD1120" s="1310" t="s">
        <v>1567</v>
      </c>
      <c r="AE1120" s="1310" t="s">
        <v>1030</v>
      </c>
      <c r="AF1120" s="1310" t="s">
        <v>1594</v>
      </c>
    </row>
    <row r="1121" spans="1:32" x14ac:dyDescent="0.3">
      <c r="A1121" s="1310" t="s">
        <v>1602</v>
      </c>
      <c r="B1121" s="1310" t="s">
        <v>1565</v>
      </c>
      <c r="C1121" s="1310" t="s">
        <v>1485</v>
      </c>
      <c r="D1121" s="1310" t="s">
        <v>1539</v>
      </c>
      <c r="E1121" s="1310" t="s">
        <v>1454</v>
      </c>
      <c r="F1121" s="1310" t="s">
        <v>1474</v>
      </c>
      <c r="G1121" s="1310" t="s">
        <v>1565</v>
      </c>
      <c r="H1121" s="1310" t="s">
        <v>1456</v>
      </c>
      <c r="I1121" s="1310" t="s">
        <v>1637</v>
      </c>
      <c r="J1121" s="1310" t="s">
        <v>1491</v>
      </c>
      <c r="K1121" s="1310" t="s">
        <v>1484</v>
      </c>
      <c r="L1121" s="1310" t="s">
        <v>1649</v>
      </c>
      <c r="M1121" s="1310" t="s">
        <v>1591</v>
      </c>
      <c r="N1121" s="1310" t="s">
        <v>1572</v>
      </c>
      <c r="O1121" s="1310" t="s">
        <v>1502</v>
      </c>
      <c r="P1121" s="1310" t="s">
        <v>465</v>
      </c>
      <c r="Q1121" s="1310" t="s">
        <v>1559</v>
      </c>
      <c r="R1121" s="1310" t="s">
        <v>1565</v>
      </c>
      <c r="S1121" s="1310" t="s">
        <v>1557</v>
      </c>
      <c r="T1121" s="1310" t="s">
        <v>130</v>
      </c>
      <c r="U1121" s="1310" t="s">
        <v>1528</v>
      </c>
      <c r="V1121" s="1310" t="s">
        <v>1573</v>
      </c>
      <c r="W1121" s="1310" t="s">
        <v>125</v>
      </c>
      <c r="X1121" s="1310" t="s">
        <v>1463</v>
      </c>
      <c r="Y1121" s="1310" t="s">
        <v>1653</v>
      </c>
      <c r="Z1121" s="1310" t="s">
        <v>1498</v>
      </c>
      <c r="AA1121" s="1310" t="s">
        <v>1622</v>
      </c>
      <c r="AB1121" s="1310" t="s">
        <v>269</v>
      </c>
      <c r="AC1121" s="1310" t="s">
        <v>1483</v>
      </c>
      <c r="AD1121" s="1310" t="s">
        <v>1568</v>
      </c>
      <c r="AE1121" s="1310" t="s">
        <v>1453</v>
      </c>
      <c r="AF1121" s="1310" t="s">
        <v>1560</v>
      </c>
    </row>
    <row r="1122" spans="1:32" x14ac:dyDescent="0.3">
      <c r="A1122" s="1310" t="s">
        <v>131</v>
      </c>
      <c r="B1122" s="1310" t="s">
        <v>1604</v>
      </c>
      <c r="C1122" s="1310" t="s">
        <v>1524</v>
      </c>
      <c r="D1122" s="1310" t="s">
        <v>1595</v>
      </c>
      <c r="E1122" s="1310" t="s">
        <v>130</v>
      </c>
      <c r="F1122" s="1310" t="s">
        <v>1502</v>
      </c>
      <c r="G1122" s="1310" t="s">
        <v>1456</v>
      </c>
      <c r="H1122" s="1310" t="s">
        <v>1460</v>
      </c>
      <c r="I1122" s="1310" t="s">
        <v>1568</v>
      </c>
      <c r="J1122" s="1310" t="s">
        <v>1490</v>
      </c>
      <c r="K1122" s="1310" t="s">
        <v>1617</v>
      </c>
      <c r="L1122" s="1310" t="s">
        <v>1623</v>
      </c>
      <c r="M1122" s="1310" t="s">
        <v>1557</v>
      </c>
      <c r="N1122" s="1310" t="s">
        <v>1643</v>
      </c>
      <c r="O1122" s="1310" t="s">
        <v>1574</v>
      </c>
      <c r="P1122" s="1310" t="s">
        <v>1656</v>
      </c>
      <c r="Q1122" s="1310" t="s">
        <v>1642</v>
      </c>
      <c r="R1122" s="1310" t="s">
        <v>1563</v>
      </c>
      <c r="S1122" s="1310" t="s">
        <v>123</v>
      </c>
      <c r="T1122" s="1310" t="s">
        <v>1490</v>
      </c>
      <c r="U1122" s="1310" t="s">
        <v>1610</v>
      </c>
      <c r="V1122" s="1310" t="s">
        <v>1575</v>
      </c>
      <c r="W1122" s="1310" t="s">
        <v>6</v>
      </c>
      <c r="X1122" s="1310" t="s">
        <v>1590</v>
      </c>
      <c r="Y1122" s="1310" t="s">
        <v>123</v>
      </c>
      <c r="Z1122" s="1310" t="s">
        <v>1636</v>
      </c>
      <c r="AA1122" s="1310" t="s">
        <v>1457</v>
      </c>
      <c r="AB1122" s="1310" t="s">
        <v>1573</v>
      </c>
      <c r="AC1122" s="1310" t="s">
        <v>1622</v>
      </c>
      <c r="AD1122" s="1310" t="s">
        <v>1502</v>
      </c>
      <c r="AE1122" s="1310" t="s">
        <v>1622</v>
      </c>
      <c r="AF1122" s="1310" t="s">
        <v>1530</v>
      </c>
    </row>
    <row r="1123" spans="1:32" x14ac:dyDescent="0.3">
      <c r="A1123" s="1310" t="s">
        <v>1591</v>
      </c>
      <c r="B1123" s="1310" t="s">
        <v>1636</v>
      </c>
      <c r="C1123" s="1310" t="s">
        <v>1478</v>
      </c>
      <c r="D1123" s="1310" t="s">
        <v>1596</v>
      </c>
      <c r="E1123" s="1310" t="s">
        <v>1607</v>
      </c>
      <c r="F1123" s="1310" t="s">
        <v>1483</v>
      </c>
      <c r="G1123" s="1310" t="s">
        <v>1454</v>
      </c>
      <c r="H1123" s="1310" t="s">
        <v>1643</v>
      </c>
      <c r="I1123" s="1310" t="s">
        <v>1533</v>
      </c>
      <c r="J1123" s="1310" t="s">
        <v>1534</v>
      </c>
      <c r="K1123" s="1310" t="s">
        <v>1566</v>
      </c>
      <c r="L1123" s="1310" t="s">
        <v>1545</v>
      </c>
      <c r="M1123" s="1310" t="s">
        <v>1565</v>
      </c>
      <c r="N1123" s="1310" t="s">
        <v>1541</v>
      </c>
      <c r="O1123" s="1310" t="s">
        <v>1600</v>
      </c>
      <c r="P1123" s="1310" t="s">
        <v>1584</v>
      </c>
      <c r="Q1123" s="1310" t="s">
        <v>1593</v>
      </c>
      <c r="R1123" s="1310" t="s">
        <v>1647</v>
      </c>
      <c r="S1123" s="1310" t="s">
        <v>1470</v>
      </c>
      <c r="T1123" s="1310" t="s">
        <v>1621</v>
      </c>
      <c r="U1123" s="1310" t="s">
        <v>120</v>
      </c>
      <c r="V1123" s="1310" t="s">
        <v>1507</v>
      </c>
      <c r="W1123" s="1310" t="s">
        <v>1610</v>
      </c>
      <c r="X1123" s="1310" t="s">
        <v>1628</v>
      </c>
      <c r="Y1123" s="1310" t="s">
        <v>1529</v>
      </c>
      <c r="Z1123" s="1310" t="s">
        <v>1652</v>
      </c>
      <c r="AA1123" s="1310" t="s">
        <v>1477</v>
      </c>
      <c r="AB1123" s="1310" t="s">
        <v>1494</v>
      </c>
      <c r="AC1123" s="1310" t="s">
        <v>1541</v>
      </c>
      <c r="AD1123" s="1310" t="s">
        <v>1532</v>
      </c>
      <c r="AE1123" s="1310" t="s">
        <v>1619</v>
      </c>
      <c r="AF1123" s="1310" t="s">
        <v>1527</v>
      </c>
    </row>
    <row r="1124" spans="1:32" x14ac:dyDescent="0.3">
      <c r="A1124" s="1310" t="s">
        <v>1509</v>
      </c>
      <c r="B1124" s="1310" t="s">
        <v>1647</v>
      </c>
      <c r="C1124" s="1310" t="s">
        <v>1608</v>
      </c>
      <c r="D1124" s="1310" t="s">
        <v>1646</v>
      </c>
      <c r="E1124" s="1310" t="s">
        <v>123</v>
      </c>
      <c r="F1124" s="1310" t="s">
        <v>269</v>
      </c>
      <c r="G1124" s="1310" t="s">
        <v>130</v>
      </c>
      <c r="H1124" s="1310" t="s">
        <v>1540</v>
      </c>
      <c r="I1124" s="1310" t="s">
        <v>1523</v>
      </c>
      <c r="J1124" s="1310" t="s">
        <v>1621</v>
      </c>
      <c r="K1124" s="1310" t="s">
        <v>471</v>
      </c>
      <c r="L1124" s="1310" t="s">
        <v>1640</v>
      </c>
      <c r="M1124" s="1310" t="s">
        <v>1556</v>
      </c>
      <c r="N1124" s="1310" t="s">
        <v>116</v>
      </c>
      <c r="O1124" s="1310" t="s">
        <v>1528</v>
      </c>
      <c r="P1124" s="1310" t="s">
        <v>1460</v>
      </c>
      <c r="Q1124" s="1310" t="s">
        <v>1469</v>
      </c>
      <c r="R1124" s="1310" t="s">
        <v>1577</v>
      </c>
      <c r="S1124" s="1310" t="s">
        <v>1547</v>
      </c>
      <c r="T1124" s="1310" t="s">
        <v>1577</v>
      </c>
      <c r="U1124" s="1310" t="s">
        <v>267</v>
      </c>
      <c r="V1124" s="1310" t="s">
        <v>133</v>
      </c>
      <c r="W1124" s="1310" t="s">
        <v>1590</v>
      </c>
      <c r="X1124" s="1310" t="s">
        <v>1499</v>
      </c>
      <c r="Y1124" s="1310" t="s">
        <v>1623</v>
      </c>
      <c r="Z1124" s="1310" t="s">
        <v>1587</v>
      </c>
      <c r="AA1124" s="1310" t="s">
        <v>1520</v>
      </c>
      <c r="AB1124" s="1310" t="s">
        <v>1622</v>
      </c>
      <c r="AC1124" s="1310" t="s">
        <v>1448</v>
      </c>
      <c r="AD1124" s="1310" t="s">
        <v>1532</v>
      </c>
      <c r="AE1124" s="1310" t="s">
        <v>1596</v>
      </c>
      <c r="AF1124" s="1310" t="s">
        <v>112</v>
      </c>
    </row>
    <row r="1125" spans="1:32" x14ac:dyDescent="0.3">
      <c r="A1125" s="1310" t="s">
        <v>1535</v>
      </c>
      <c r="B1125" s="1310" t="s">
        <v>1523</v>
      </c>
      <c r="C1125" s="1310" t="s">
        <v>1513</v>
      </c>
      <c r="D1125" s="1310" t="s">
        <v>120</v>
      </c>
      <c r="E1125" s="1310" t="s">
        <v>1448</v>
      </c>
      <c r="F1125" s="1310" t="s">
        <v>1578</v>
      </c>
      <c r="G1125" s="1310" t="s">
        <v>1472</v>
      </c>
      <c r="H1125" s="1310" t="s">
        <v>267</v>
      </c>
      <c r="I1125" s="1310" t="s">
        <v>1550</v>
      </c>
      <c r="J1125" s="1310" t="s">
        <v>1027</v>
      </c>
      <c r="K1125" s="1310" t="s">
        <v>1525</v>
      </c>
      <c r="L1125" s="1310" t="s">
        <v>123</v>
      </c>
      <c r="M1125" s="1310" t="s">
        <v>1524</v>
      </c>
      <c r="N1125" s="1310" t="s">
        <v>1521</v>
      </c>
      <c r="O1125" s="1310" t="s">
        <v>1548</v>
      </c>
      <c r="P1125" s="1310" t="s">
        <v>1472</v>
      </c>
      <c r="Q1125" s="1310" t="s">
        <v>1659</v>
      </c>
      <c r="R1125" s="1310" t="s">
        <v>1462</v>
      </c>
      <c r="S1125" s="1310" t="s">
        <v>1485</v>
      </c>
      <c r="T1125" s="1310" t="s">
        <v>270</v>
      </c>
      <c r="U1125" s="1310" t="s">
        <v>1458</v>
      </c>
      <c r="V1125" s="1310" t="s">
        <v>1554</v>
      </c>
      <c r="W1125" s="1310" t="s">
        <v>1591</v>
      </c>
      <c r="X1125" s="1310" t="s">
        <v>1561</v>
      </c>
      <c r="Y1125" s="1310" t="s">
        <v>1659</v>
      </c>
      <c r="Z1125" s="1310" t="s">
        <v>1446</v>
      </c>
      <c r="AA1125" s="1310" t="s">
        <v>1455</v>
      </c>
      <c r="AB1125" s="1310" t="s">
        <v>1614</v>
      </c>
      <c r="AC1125" s="1310" t="s">
        <v>1643</v>
      </c>
      <c r="AD1125" s="1310" t="s">
        <v>113</v>
      </c>
      <c r="AE1125" s="1310" t="s">
        <v>1552</v>
      </c>
      <c r="AF1125" s="1310" t="s">
        <v>1597</v>
      </c>
    </row>
    <row r="1126" spans="1:32" x14ac:dyDescent="0.3">
      <c r="A1126" s="1310" t="s">
        <v>1649</v>
      </c>
      <c r="B1126" s="1310" t="s">
        <v>1592</v>
      </c>
      <c r="C1126" s="1310" t="s">
        <v>1588</v>
      </c>
      <c r="D1126" s="1310" t="s">
        <v>1462</v>
      </c>
      <c r="E1126" s="1310" t="s">
        <v>1577</v>
      </c>
      <c r="F1126" s="1310" t="s">
        <v>1558</v>
      </c>
      <c r="G1126" s="1310" t="s">
        <v>1625</v>
      </c>
      <c r="H1126" s="1310" t="s">
        <v>1477</v>
      </c>
      <c r="I1126" s="1310" t="s">
        <v>1549</v>
      </c>
      <c r="J1126" s="1310" t="s">
        <v>262</v>
      </c>
      <c r="K1126" s="1310" t="s">
        <v>269</v>
      </c>
      <c r="L1126" s="1310" t="s">
        <v>1467</v>
      </c>
      <c r="M1126" s="1310" t="s">
        <v>1593</v>
      </c>
      <c r="N1126" s="1310" t="s">
        <v>128</v>
      </c>
      <c r="O1126" s="1310" t="s">
        <v>1612</v>
      </c>
      <c r="P1126" s="1310" t="s">
        <v>116</v>
      </c>
      <c r="Q1126" s="1310" t="s">
        <v>132</v>
      </c>
      <c r="R1126" s="1310" t="s">
        <v>123</v>
      </c>
      <c r="S1126" s="1310" t="s">
        <v>1536</v>
      </c>
      <c r="T1126" s="1310" t="s">
        <v>132</v>
      </c>
      <c r="U1126" s="1310" t="s">
        <v>1590</v>
      </c>
      <c r="V1126" s="1310" t="s">
        <v>1556</v>
      </c>
      <c r="W1126" s="1310" t="s">
        <v>1468</v>
      </c>
      <c r="X1126" s="1310" t="s">
        <v>1607</v>
      </c>
      <c r="Y1126" s="1310" t="s">
        <v>1557</v>
      </c>
      <c r="Z1126" s="1310" t="s">
        <v>1478</v>
      </c>
      <c r="AA1126" s="1310" t="s">
        <v>1613</v>
      </c>
      <c r="AB1126" s="1310" t="s">
        <v>1554</v>
      </c>
      <c r="AC1126" s="1310" t="s">
        <v>1550</v>
      </c>
      <c r="AD1126" s="1310" t="s">
        <v>1537</v>
      </c>
      <c r="AE1126" s="1310" t="s">
        <v>1501</v>
      </c>
      <c r="AF1126" s="1310" t="s">
        <v>1550</v>
      </c>
    </row>
    <row r="1127" spans="1:32" x14ac:dyDescent="0.3">
      <c r="A1127" s="1310" t="s">
        <v>1625</v>
      </c>
      <c r="B1127" s="1310" t="s">
        <v>1493</v>
      </c>
      <c r="C1127" s="1310" t="s">
        <v>1549</v>
      </c>
      <c r="D1127" s="1310" t="s">
        <v>1653</v>
      </c>
      <c r="E1127" s="1310" t="s">
        <v>1623</v>
      </c>
      <c r="F1127" s="1310" t="s">
        <v>1460</v>
      </c>
      <c r="G1127" s="1310" t="s">
        <v>1618</v>
      </c>
      <c r="H1127" s="1310" t="s">
        <v>1447</v>
      </c>
      <c r="I1127" s="1310" t="s">
        <v>1621</v>
      </c>
      <c r="J1127" s="1310" t="s">
        <v>471</v>
      </c>
      <c r="K1127" s="1310" t="s">
        <v>1604</v>
      </c>
      <c r="L1127" s="1310" t="s">
        <v>1596</v>
      </c>
      <c r="M1127" s="1310" t="s">
        <v>1528</v>
      </c>
      <c r="N1127" s="1310" t="s">
        <v>1551</v>
      </c>
      <c r="O1127" s="1310" t="s">
        <v>124</v>
      </c>
      <c r="P1127" s="1310" t="s">
        <v>1650</v>
      </c>
      <c r="Q1127" s="1310" t="s">
        <v>1499</v>
      </c>
      <c r="R1127" s="1310" t="s">
        <v>265</v>
      </c>
      <c r="S1127" s="1310" t="s">
        <v>1501</v>
      </c>
      <c r="T1127" s="1310" t="s">
        <v>265</v>
      </c>
      <c r="U1127" s="1310" t="s">
        <v>1482</v>
      </c>
      <c r="V1127" s="1310" t="s">
        <v>1557</v>
      </c>
      <c r="W1127" s="1310" t="s">
        <v>1543</v>
      </c>
      <c r="X1127" s="1310" t="s">
        <v>1590</v>
      </c>
      <c r="Y1127" s="1310" t="s">
        <v>1593</v>
      </c>
      <c r="Z1127" s="1310" t="s">
        <v>1636</v>
      </c>
      <c r="AA1127" s="1310" t="s">
        <v>1633</v>
      </c>
      <c r="AB1127" s="1310" t="s">
        <v>117</v>
      </c>
      <c r="AC1127" s="1310" t="s">
        <v>1030</v>
      </c>
      <c r="AD1127" s="1310" t="s">
        <v>1448</v>
      </c>
      <c r="AE1127" s="1310" t="s">
        <v>114</v>
      </c>
      <c r="AF1127" s="1310" t="s">
        <v>115</v>
      </c>
    </row>
    <row r="1128" spans="1:32" x14ac:dyDescent="0.3">
      <c r="A1128" s="1310" t="s">
        <v>132</v>
      </c>
      <c r="B1128" s="1310" t="s">
        <v>1605</v>
      </c>
      <c r="C1128" s="1310" t="s">
        <v>127</v>
      </c>
      <c r="D1128" s="1310" t="s">
        <v>1572</v>
      </c>
      <c r="E1128" s="1310" t="s">
        <v>1502</v>
      </c>
      <c r="F1128" s="1310" t="s">
        <v>1525</v>
      </c>
      <c r="G1128" s="1310" t="s">
        <v>465</v>
      </c>
      <c r="H1128" s="1310" t="s">
        <v>1030</v>
      </c>
      <c r="I1128" s="1310" t="s">
        <v>1565</v>
      </c>
      <c r="J1128" s="1310" t="s">
        <v>269</v>
      </c>
      <c r="K1128" s="1310" t="s">
        <v>125</v>
      </c>
      <c r="L1128" s="1310" t="s">
        <v>1571</v>
      </c>
      <c r="M1128" s="1310" t="s">
        <v>1474</v>
      </c>
      <c r="N1128" s="1310" t="s">
        <v>1636</v>
      </c>
      <c r="O1128" s="1310" t="s">
        <v>1641</v>
      </c>
      <c r="P1128" s="1310" t="s">
        <v>1609</v>
      </c>
      <c r="Q1128" s="1310" t="s">
        <v>1551</v>
      </c>
      <c r="R1128" s="1310" t="s">
        <v>1608</v>
      </c>
      <c r="S1128" s="1310" t="s">
        <v>1520</v>
      </c>
      <c r="T1128" s="1310" t="s">
        <v>131</v>
      </c>
      <c r="U1128" s="1310" t="s">
        <v>1623</v>
      </c>
      <c r="V1128" s="1310" t="s">
        <v>1567</v>
      </c>
      <c r="W1128" s="1310" t="s">
        <v>1630</v>
      </c>
      <c r="X1128" s="1310" t="s">
        <v>1479</v>
      </c>
      <c r="Y1128" s="1310" t="s">
        <v>1644</v>
      </c>
      <c r="Z1128" s="1310" t="s">
        <v>1539</v>
      </c>
      <c r="AA1128" s="1310" t="s">
        <v>1516</v>
      </c>
      <c r="AB1128" s="1310" t="s">
        <v>1605</v>
      </c>
      <c r="AC1128" s="1310" t="s">
        <v>1643</v>
      </c>
      <c r="AD1128" s="1310" t="s">
        <v>1448</v>
      </c>
      <c r="AE1128" s="1310" t="s">
        <v>111</v>
      </c>
      <c r="AF1128" s="1310" t="s">
        <v>1516</v>
      </c>
    </row>
    <row r="1129" spans="1:32" x14ac:dyDescent="0.3">
      <c r="A1129" s="1310" t="s">
        <v>1448</v>
      </c>
      <c r="B1129" s="1310" t="s">
        <v>1489</v>
      </c>
      <c r="C1129" s="1310" t="s">
        <v>1540</v>
      </c>
      <c r="D1129" s="1310" t="s">
        <v>1529</v>
      </c>
      <c r="E1129" s="1310" t="s">
        <v>1451</v>
      </c>
      <c r="F1129" s="1310" t="s">
        <v>1448</v>
      </c>
      <c r="G1129" s="1310" t="s">
        <v>1591</v>
      </c>
      <c r="H1129" s="1310" t="s">
        <v>1547</v>
      </c>
      <c r="I1129" s="1310" t="s">
        <v>1626</v>
      </c>
      <c r="J1129" s="1310" t="s">
        <v>1502</v>
      </c>
      <c r="K1129" s="1310" t="s">
        <v>1625</v>
      </c>
      <c r="L1129" s="1310" t="s">
        <v>1489</v>
      </c>
      <c r="M1129" s="1310" t="s">
        <v>1519</v>
      </c>
      <c r="N1129" s="1310" t="s">
        <v>1505</v>
      </c>
      <c r="O1129" s="1310" t="s">
        <v>1531</v>
      </c>
      <c r="P1129" s="1310" t="s">
        <v>1620</v>
      </c>
      <c r="Q1129" s="1310" t="s">
        <v>1474</v>
      </c>
      <c r="R1129" s="1310" t="s">
        <v>1591</v>
      </c>
      <c r="S1129" s="1310" t="s">
        <v>1505</v>
      </c>
      <c r="T1129" s="1310" t="s">
        <v>1576</v>
      </c>
      <c r="U1129" s="1310" t="s">
        <v>1636</v>
      </c>
      <c r="V1129" s="1310" t="s">
        <v>133</v>
      </c>
      <c r="W1129" s="1310" t="s">
        <v>1606</v>
      </c>
      <c r="X1129" s="1310" t="s">
        <v>1599</v>
      </c>
      <c r="Y1129" s="1310" t="s">
        <v>1528</v>
      </c>
      <c r="Z1129" s="1310" t="s">
        <v>1453</v>
      </c>
      <c r="AA1129" s="1310" t="s">
        <v>1577</v>
      </c>
      <c r="AB1129" s="1310" t="s">
        <v>1657</v>
      </c>
      <c r="AC1129" s="1310" t="s">
        <v>1633</v>
      </c>
      <c r="AD1129" s="1310" t="s">
        <v>465</v>
      </c>
      <c r="AE1129" s="1310" t="s">
        <v>130</v>
      </c>
      <c r="AF1129" s="1310" t="s">
        <v>1449</v>
      </c>
    </row>
    <row r="1130" spans="1:32" x14ac:dyDescent="0.3">
      <c r="A1130" s="1310" t="s">
        <v>1639</v>
      </c>
      <c r="B1130" s="1310" t="s">
        <v>1579</v>
      </c>
      <c r="C1130" s="1310" t="s">
        <v>1642</v>
      </c>
      <c r="D1130" s="1310" t="s">
        <v>119</v>
      </c>
      <c r="E1130" s="1310" t="s">
        <v>1497</v>
      </c>
      <c r="F1130" s="1310" t="s">
        <v>1513</v>
      </c>
      <c r="G1130" s="1310" t="s">
        <v>1466</v>
      </c>
      <c r="H1130" s="1310" t="s">
        <v>6</v>
      </c>
      <c r="I1130" s="1310" t="s">
        <v>120</v>
      </c>
      <c r="J1130" s="1310" t="s">
        <v>1499</v>
      </c>
      <c r="K1130" s="1310" t="s">
        <v>1451</v>
      </c>
      <c r="L1130" s="1310" t="s">
        <v>1608</v>
      </c>
      <c r="M1130" s="1310" t="s">
        <v>1646</v>
      </c>
      <c r="N1130" s="1310" t="s">
        <v>265</v>
      </c>
      <c r="O1130" s="1310" t="s">
        <v>110</v>
      </c>
      <c r="P1130" s="1310" t="s">
        <v>1578</v>
      </c>
      <c r="Q1130" s="1310" t="s">
        <v>121</v>
      </c>
      <c r="R1130" s="1310" t="s">
        <v>126</v>
      </c>
      <c r="S1130" s="1310" t="s">
        <v>126</v>
      </c>
      <c r="T1130" s="1310" t="s">
        <v>128</v>
      </c>
      <c r="U1130" s="1310" t="s">
        <v>1451</v>
      </c>
      <c r="V1130" s="1310" t="s">
        <v>1621</v>
      </c>
      <c r="W1130" s="1310" t="s">
        <v>1618</v>
      </c>
      <c r="X1130" s="1310" t="s">
        <v>1575</v>
      </c>
      <c r="Y1130" s="1310" t="s">
        <v>465</v>
      </c>
      <c r="Z1130" s="1310" t="s">
        <v>128</v>
      </c>
      <c r="AA1130" s="1310" t="s">
        <v>1602</v>
      </c>
      <c r="AB1130" s="1310" t="s">
        <v>1599</v>
      </c>
      <c r="AC1130" s="1310" t="s">
        <v>1586</v>
      </c>
      <c r="AD1130" s="1310" t="s">
        <v>1585</v>
      </c>
      <c r="AE1130" s="1310" t="s">
        <v>1517</v>
      </c>
      <c r="AF1130" s="1310" t="s">
        <v>131</v>
      </c>
    </row>
    <row r="1131" spans="1:32" x14ac:dyDescent="0.3">
      <c r="A1131" s="1310" t="s">
        <v>1566</v>
      </c>
      <c r="B1131" s="1310" t="s">
        <v>1637</v>
      </c>
      <c r="C1131" s="1310" t="s">
        <v>1453</v>
      </c>
      <c r="D1131" s="1310" t="s">
        <v>1638</v>
      </c>
      <c r="E1131" s="1310" t="s">
        <v>1556</v>
      </c>
      <c r="F1131" s="1310" t="s">
        <v>1561</v>
      </c>
      <c r="G1131" s="1310" t="s">
        <v>126</v>
      </c>
      <c r="H1131" s="1310" t="s">
        <v>123</v>
      </c>
      <c r="I1131" s="1310" t="s">
        <v>1498</v>
      </c>
      <c r="J1131" s="1310" t="s">
        <v>124</v>
      </c>
      <c r="K1131" s="1310" t="s">
        <v>112</v>
      </c>
      <c r="L1131" s="1310" t="s">
        <v>1447</v>
      </c>
      <c r="M1131" s="1310" t="s">
        <v>1473</v>
      </c>
      <c r="N1131" s="1310" t="s">
        <v>124</v>
      </c>
      <c r="O1131" s="1310" t="s">
        <v>1503</v>
      </c>
      <c r="P1131" s="1310" t="s">
        <v>1647</v>
      </c>
      <c r="Q1131" s="1310" t="s">
        <v>1583</v>
      </c>
      <c r="R1131" s="1310" t="s">
        <v>1603</v>
      </c>
      <c r="S1131" s="1310" t="s">
        <v>1649</v>
      </c>
      <c r="T1131" s="1310" t="s">
        <v>1492</v>
      </c>
      <c r="U1131" s="1310" t="s">
        <v>125</v>
      </c>
      <c r="V1131" s="1310" t="s">
        <v>1553</v>
      </c>
      <c r="W1131" s="1310" t="s">
        <v>1609</v>
      </c>
      <c r="X1131" s="1310" t="s">
        <v>1611</v>
      </c>
      <c r="Y1131" s="1310" t="s">
        <v>1621</v>
      </c>
      <c r="Z1131" s="1310" t="s">
        <v>1525</v>
      </c>
      <c r="AA1131" s="1310" t="s">
        <v>1613</v>
      </c>
      <c r="AB1131" s="1310" t="s">
        <v>1566</v>
      </c>
      <c r="AC1131" s="1310" t="s">
        <v>124</v>
      </c>
      <c r="AD1131" s="1310" t="s">
        <v>1027</v>
      </c>
      <c r="AE1131" s="1310" t="s">
        <v>1444</v>
      </c>
      <c r="AF1131" s="1310" t="s">
        <v>465</v>
      </c>
    </row>
    <row r="1132" spans="1:32" x14ac:dyDescent="0.3">
      <c r="A1132" s="1310" t="s">
        <v>1611</v>
      </c>
      <c r="B1132" s="1310" t="s">
        <v>129</v>
      </c>
      <c r="C1132" s="1310" t="s">
        <v>1632</v>
      </c>
      <c r="D1132" s="1310" t="s">
        <v>1475</v>
      </c>
      <c r="E1132" s="1310" t="s">
        <v>1595</v>
      </c>
      <c r="F1132" s="1310" t="s">
        <v>1517</v>
      </c>
      <c r="G1132" s="1310" t="s">
        <v>1605</v>
      </c>
      <c r="H1132" s="1310" t="s">
        <v>1565</v>
      </c>
      <c r="I1132" s="1310" t="s">
        <v>1540</v>
      </c>
      <c r="J1132" s="1310" t="s">
        <v>1540</v>
      </c>
      <c r="K1132" s="1310" t="s">
        <v>122</v>
      </c>
      <c r="L1132" s="1310" t="s">
        <v>1508</v>
      </c>
      <c r="M1132" s="1310" t="s">
        <v>1586</v>
      </c>
      <c r="N1132" s="1310" t="s">
        <v>1658</v>
      </c>
      <c r="O1132" s="1310" t="s">
        <v>1546</v>
      </c>
      <c r="P1132" s="1310" t="s">
        <v>1649</v>
      </c>
      <c r="Q1132" s="1310" t="s">
        <v>1620</v>
      </c>
      <c r="R1132" s="1310" t="s">
        <v>1630</v>
      </c>
      <c r="S1132" s="1310" t="s">
        <v>1469</v>
      </c>
      <c r="T1132" s="1310" t="s">
        <v>1637</v>
      </c>
      <c r="U1132" s="1310" t="s">
        <v>1628</v>
      </c>
      <c r="V1132" s="1310" t="s">
        <v>1499</v>
      </c>
      <c r="W1132" s="1310" t="s">
        <v>1502</v>
      </c>
      <c r="X1132" s="1310" t="s">
        <v>1477</v>
      </c>
      <c r="Y1132" s="1310" t="s">
        <v>267</v>
      </c>
      <c r="Z1132" s="1310" t="s">
        <v>1533</v>
      </c>
      <c r="AA1132" s="1310" t="s">
        <v>1510</v>
      </c>
      <c r="AB1132" s="1310" t="s">
        <v>126</v>
      </c>
      <c r="AC1132" s="1310" t="s">
        <v>1565</v>
      </c>
      <c r="AD1132" s="1310" t="s">
        <v>130</v>
      </c>
      <c r="AE1132" s="1310" t="s">
        <v>128</v>
      </c>
      <c r="AF1132" s="1310" t="s">
        <v>131</v>
      </c>
    </row>
    <row r="1133" spans="1:32" x14ac:dyDescent="0.3">
      <c r="A1133" s="1310" t="s">
        <v>1603</v>
      </c>
      <c r="B1133" s="1310" t="s">
        <v>1489</v>
      </c>
      <c r="C1133" s="1310" t="s">
        <v>132</v>
      </c>
      <c r="D1133" s="1310" t="s">
        <v>1647</v>
      </c>
      <c r="E1133" s="1310" t="s">
        <v>1635</v>
      </c>
      <c r="F1133" s="1310" t="s">
        <v>1525</v>
      </c>
      <c r="G1133" s="1310" t="s">
        <v>1645</v>
      </c>
      <c r="H1133" s="1310" t="s">
        <v>1547</v>
      </c>
      <c r="I1133" s="1310" t="s">
        <v>1537</v>
      </c>
      <c r="J1133" s="1310" t="s">
        <v>1580</v>
      </c>
      <c r="K1133" s="1310" t="s">
        <v>1601</v>
      </c>
      <c r="L1133" s="1310" t="s">
        <v>1625</v>
      </c>
      <c r="M1133" s="1310" t="s">
        <v>1585</v>
      </c>
      <c r="N1133" s="1310" t="s">
        <v>1614</v>
      </c>
      <c r="O1133" s="1310" t="s">
        <v>1553</v>
      </c>
      <c r="P1133" s="1310" t="s">
        <v>132</v>
      </c>
      <c r="Q1133" s="1310" t="s">
        <v>1569</v>
      </c>
      <c r="R1133" s="1310" t="s">
        <v>1570</v>
      </c>
      <c r="S1133" s="1310" t="s">
        <v>1543</v>
      </c>
      <c r="T1133" s="1310" t="s">
        <v>112</v>
      </c>
      <c r="U1133" s="1310" t="s">
        <v>1521</v>
      </c>
      <c r="V1133" s="1310" t="s">
        <v>1620</v>
      </c>
      <c r="W1133" s="1310" t="s">
        <v>1658</v>
      </c>
      <c r="X1133" s="1310" t="s">
        <v>1553</v>
      </c>
      <c r="Y1133" s="1310" t="s">
        <v>1659</v>
      </c>
      <c r="Z1133" s="1310" t="s">
        <v>1619</v>
      </c>
      <c r="AA1133" s="1310" t="s">
        <v>1602</v>
      </c>
      <c r="AB1133" s="1310" t="s">
        <v>1551</v>
      </c>
      <c r="AC1133" s="1310" t="s">
        <v>1646</v>
      </c>
      <c r="AD1133" s="1310" t="s">
        <v>465</v>
      </c>
      <c r="AE1133" s="1310" t="s">
        <v>1483</v>
      </c>
      <c r="AF1133" s="1310" t="s">
        <v>1603</v>
      </c>
    </row>
    <row r="1134" spans="1:32" x14ac:dyDescent="0.3">
      <c r="A1134" s="1310" t="s">
        <v>1563</v>
      </c>
      <c r="B1134" s="1310" t="s">
        <v>1548</v>
      </c>
      <c r="C1134" s="1310" t="s">
        <v>1500</v>
      </c>
      <c r="D1134" s="1310" t="s">
        <v>1654</v>
      </c>
      <c r="E1134" s="1310" t="s">
        <v>1482</v>
      </c>
      <c r="F1134" s="1310" t="s">
        <v>1499</v>
      </c>
      <c r="G1134" s="1310" t="s">
        <v>1640</v>
      </c>
      <c r="H1134" s="1310" t="s">
        <v>1639</v>
      </c>
      <c r="I1134" s="1310" t="s">
        <v>1537</v>
      </c>
      <c r="J1134" s="1310" t="s">
        <v>1509</v>
      </c>
      <c r="K1134" s="1310" t="s">
        <v>1624</v>
      </c>
      <c r="L1134" s="1310" t="s">
        <v>1536</v>
      </c>
      <c r="M1134" s="1310" t="s">
        <v>116</v>
      </c>
      <c r="N1134" s="1310" t="s">
        <v>1618</v>
      </c>
      <c r="O1134" s="1310" t="s">
        <v>114</v>
      </c>
      <c r="P1134" s="1310" t="s">
        <v>1551</v>
      </c>
      <c r="Q1134" s="1310" t="s">
        <v>1625</v>
      </c>
      <c r="R1134" s="1310" t="s">
        <v>1635</v>
      </c>
      <c r="S1134" s="1310" t="s">
        <v>1659</v>
      </c>
      <c r="T1134" s="1310" t="s">
        <v>1573</v>
      </c>
      <c r="U1134" s="1310" t="s">
        <v>1603</v>
      </c>
      <c r="V1134" s="1310" t="s">
        <v>1554</v>
      </c>
      <c r="W1134" s="1310" t="s">
        <v>1474</v>
      </c>
      <c r="X1134" s="1310" t="s">
        <v>115</v>
      </c>
      <c r="Y1134" s="1310" t="s">
        <v>1540</v>
      </c>
      <c r="Z1134" s="1310" t="s">
        <v>1615</v>
      </c>
      <c r="AA1134" s="1310" t="s">
        <v>1580</v>
      </c>
      <c r="AB1134" s="1310" t="s">
        <v>1656</v>
      </c>
      <c r="AC1134" s="1310" t="s">
        <v>1495</v>
      </c>
      <c r="AD1134" s="1310" t="s">
        <v>1657</v>
      </c>
      <c r="AE1134" s="1310" t="s">
        <v>115</v>
      </c>
      <c r="AF1134" s="1310" t="s">
        <v>130</v>
      </c>
    </row>
    <row r="1135" spans="1:32" x14ac:dyDescent="0.3">
      <c r="A1135" s="1310" t="s">
        <v>1443</v>
      </c>
      <c r="B1135" s="1310" t="s">
        <v>1450</v>
      </c>
      <c r="C1135" s="1310" t="s">
        <v>120</v>
      </c>
      <c r="D1135" s="1310" t="s">
        <v>112</v>
      </c>
      <c r="E1135" s="1310" t="s">
        <v>1443</v>
      </c>
      <c r="F1135" s="1310" t="s">
        <v>1450</v>
      </c>
      <c r="G1135" s="1310" t="s">
        <v>1651</v>
      </c>
      <c r="H1135" s="1310" t="s">
        <v>131</v>
      </c>
      <c r="I1135" s="1310" t="s">
        <v>1587</v>
      </c>
      <c r="J1135" s="1310" t="s">
        <v>1614</v>
      </c>
      <c r="K1135" s="1310" t="s">
        <v>1455</v>
      </c>
      <c r="L1135" s="1310" t="s">
        <v>1656</v>
      </c>
      <c r="M1135" s="1310" t="s">
        <v>1555</v>
      </c>
      <c r="N1135" s="1310" t="s">
        <v>1512</v>
      </c>
      <c r="O1135" s="1310" t="s">
        <v>118</v>
      </c>
      <c r="P1135" s="1310" t="s">
        <v>262</v>
      </c>
      <c r="Q1135" s="1310" t="s">
        <v>1497</v>
      </c>
      <c r="R1135" s="1310" t="s">
        <v>1563</v>
      </c>
      <c r="S1135" s="1310" t="s">
        <v>133</v>
      </c>
      <c r="T1135" s="1310" t="s">
        <v>1464</v>
      </c>
      <c r="U1135" s="1310" t="s">
        <v>1572</v>
      </c>
      <c r="V1135" s="1310" t="s">
        <v>1599</v>
      </c>
      <c r="W1135" s="1310" t="s">
        <v>132</v>
      </c>
      <c r="X1135" s="1310" t="s">
        <v>1502</v>
      </c>
      <c r="Y1135" s="1310" t="s">
        <v>1550</v>
      </c>
      <c r="Z1135" s="1310" t="s">
        <v>1608</v>
      </c>
      <c r="AA1135" s="1310" t="s">
        <v>1476</v>
      </c>
      <c r="AB1135" s="1310" t="s">
        <v>1443</v>
      </c>
      <c r="AC1135" s="1310" t="s">
        <v>1450</v>
      </c>
      <c r="AD1135" s="1310" t="s">
        <v>1629</v>
      </c>
      <c r="AE1135" s="1310" t="s">
        <v>1587</v>
      </c>
      <c r="AF1135" s="1310" t="s">
        <v>132</v>
      </c>
    </row>
    <row r="1136" spans="1:32" x14ac:dyDescent="0.3">
      <c r="A1136" s="1310" t="s">
        <v>262</v>
      </c>
      <c r="B1136" s="1310" t="s">
        <v>132</v>
      </c>
      <c r="C1136" s="1310" t="s">
        <v>1567</v>
      </c>
      <c r="D1136" s="1310" t="s">
        <v>1561</v>
      </c>
      <c r="E1136" s="1310" t="s">
        <v>1580</v>
      </c>
      <c r="F1136" s="1310" t="s">
        <v>1556</v>
      </c>
      <c r="G1136" s="1310" t="s">
        <v>1575</v>
      </c>
      <c r="H1136" s="1310" t="s">
        <v>1657</v>
      </c>
      <c r="I1136" s="1310" t="s">
        <v>133</v>
      </c>
      <c r="J1136" s="1310" t="s">
        <v>1566</v>
      </c>
      <c r="K1136" s="1310" t="s">
        <v>1528</v>
      </c>
      <c r="L1136" s="1310" t="s">
        <v>117</v>
      </c>
      <c r="M1136" s="1310" t="s">
        <v>1473</v>
      </c>
      <c r="N1136" s="1310" t="s">
        <v>1551</v>
      </c>
      <c r="O1136" s="1310" t="s">
        <v>1628</v>
      </c>
      <c r="P1136" s="1310" t="s">
        <v>1498</v>
      </c>
      <c r="Q1136" s="1310" t="s">
        <v>1584</v>
      </c>
      <c r="R1136" s="1310" t="s">
        <v>1518</v>
      </c>
      <c r="S1136" s="1310" t="s">
        <v>1459</v>
      </c>
      <c r="T1136" s="1310" t="s">
        <v>1466</v>
      </c>
      <c r="U1136" s="1310" t="s">
        <v>1638</v>
      </c>
      <c r="V1136" s="1310" t="s">
        <v>1647</v>
      </c>
      <c r="W1136" s="1310" t="s">
        <v>1629</v>
      </c>
      <c r="X1136" s="1310" t="s">
        <v>1642</v>
      </c>
      <c r="Y1136" s="1310" t="s">
        <v>1597</v>
      </c>
      <c r="Z1136" s="1310" t="s">
        <v>269</v>
      </c>
      <c r="AA1136" s="1310" t="s">
        <v>1541</v>
      </c>
      <c r="AB1136" s="1310" t="s">
        <v>1520</v>
      </c>
      <c r="AC1136" s="1310" t="s">
        <v>1513</v>
      </c>
      <c r="AD1136" s="1310" t="s">
        <v>1581</v>
      </c>
      <c r="AE1136" s="1310" t="s">
        <v>1563</v>
      </c>
      <c r="AF1136" s="1310" t="s">
        <v>1645</v>
      </c>
    </row>
    <row r="1137" spans="1:32" x14ac:dyDescent="0.3">
      <c r="A1137" s="1310" t="s">
        <v>1528</v>
      </c>
      <c r="B1137" s="1310" t="s">
        <v>1470</v>
      </c>
      <c r="C1137" s="1310" t="s">
        <v>1448</v>
      </c>
      <c r="D1137" s="1310" t="s">
        <v>1644</v>
      </c>
      <c r="E1137" s="1310" t="s">
        <v>1585</v>
      </c>
      <c r="F1137" s="1310" t="s">
        <v>263</v>
      </c>
      <c r="G1137" s="1310" t="s">
        <v>1611</v>
      </c>
      <c r="H1137" s="1310" t="s">
        <v>1602</v>
      </c>
      <c r="I1137" s="1310" t="s">
        <v>1563</v>
      </c>
      <c r="J1137" s="1310" t="s">
        <v>1443</v>
      </c>
      <c r="K1137" s="1310" t="s">
        <v>1450</v>
      </c>
      <c r="L1137" s="1310" t="s">
        <v>1514</v>
      </c>
      <c r="M1137" s="1310" t="s">
        <v>1637</v>
      </c>
      <c r="N1137" s="1310" t="s">
        <v>116</v>
      </c>
      <c r="O1137" s="1310" t="s">
        <v>1624</v>
      </c>
      <c r="P1137" s="1310" t="s">
        <v>1602</v>
      </c>
      <c r="Q1137" s="1310" t="s">
        <v>1446</v>
      </c>
      <c r="R1137" s="1310" t="s">
        <v>1537</v>
      </c>
      <c r="S1137" s="1310" t="s">
        <v>1488</v>
      </c>
      <c r="T1137" s="1310" t="s">
        <v>1645</v>
      </c>
      <c r="U1137" s="1310" t="s">
        <v>131</v>
      </c>
      <c r="V1137" s="1310" t="s">
        <v>1559</v>
      </c>
      <c r="W1137" s="1310" t="s">
        <v>110</v>
      </c>
      <c r="X1137" s="1310" t="s">
        <v>1637</v>
      </c>
      <c r="Y1137" s="1310" t="s">
        <v>1496</v>
      </c>
      <c r="Z1137" s="1310" t="s">
        <v>1549</v>
      </c>
      <c r="AA1137" s="1310" t="s">
        <v>1532</v>
      </c>
      <c r="AB1137" s="1310" t="s">
        <v>1584</v>
      </c>
      <c r="AC1137" s="1310" t="s">
        <v>1575</v>
      </c>
      <c r="AD1137" s="1310" t="s">
        <v>1550</v>
      </c>
      <c r="AE1137" s="1310" t="s">
        <v>1529</v>
      </c>
      <c r="AF1137" s="1310" t="s">
        <v>1530</v>
      </c>
    </row>
    <row r="1138" spans="1:32" x14ac:dyDescent="0.3">
      <c r="A1138" s="1310" t="s">
        <v>1595</v>
      </c>
      <c r="B1138" s="1310" t="s">
        <v>1603</v>
      </c>
      <c r="C1138" s="1310" t="s">
        <v>1552</v>
      </c>
      <c r="D1138" s="1310" t="s">
        <v>1487</v>
      </c>
      <c r="E1138" s="1310" t="s">
        <v>1619</v>
      </c>
      <c r="F1138" s="1310" t="s">
        <v>1474</v>
      </c>
      <c r="G1138" s="1310" t="s">
        <v>1548</v>
      </c>
      <c r="H1138" s="1310" t="s">
        <v>1480</v>
      </c>
      <c r="I1138" s="1310" t="s">
        <v>1469</v>
      </c>
      <c r="J1138" s="1310" t="s">
        <v>1596</v>
      </c>
      <c r="K1138" s="1310" t="s">
        <v>1622</v>
      </c>
      <c r="L1138" s="1310" t="s">
        <v>112</v>
      </c>
      <c r="M1138" s="1310" t="s">
        <v>1614</v>
      </c>
      <c r="N1138" s="1310" t="s">
        <v>1624</v>
      </c>
      <c r="O1138" s="1310" t="s">
        <v>1634</v>
      </c>
      <c r="P1138" s="1310" t="s">
        <v>1563</v>
      </c>
      <c r="Q1138" s="1310" t="s">
        <v>1596</v>
      </c>
      <c r="R1138" s="1310" t="s">
        <v>1467</v>
      </c>
      <c r="S1138" s="1310" t="s">
        <v>1472</v>
      </c>
      <c r="T1138" s="1310" t="s">
        <v>1467</v>
      </c>
      <c r="U1138" s="1310" t="s">
        <v>1625</v>
      </c>
      <c r="V1138" s="1310" t="s">
        <v>1481</v>
      </c>
      <c r="W1138" s="1310" t="s">
        <v>129</v>
      </c>
      <c r="X1138" s="1310" t="s">
        <v>110</v>
      </c>
      <c r="Y1138" s="1310" t="s">
        <v>1525</v>
      </c>
      <c r="Z1138" s="1310" t="s">
        <v>1595</v>
      </c>
      <c r="AA1138" s="1310" t="s">
        <v>1450</v>
      </c>
      <c r="AB1138" s="1310" t="s">
        <v>1541</v>
      </c>
      <c r="AC1138" s="1310" t="s">
        <v>1541</v>
      </c>
      <c r="AD1138" s="1310" t="s">
        <v>1519</v>
      </c>
      <c r="AE1138" s="1310" t="s">
        <v>1497</v>
      </c>
      <c r="AF1138" s="1310" t="s">
        <v>1450</v>
      </c>
    </row>
    <row r="1139" spans="1:32" x14ac:dyDescent="0.3">
      <c r="A1139" s="1310" t="s">
        <v>1456</v>
      </c>
      <c r="B1139" s="1310" t="s">
        <v>1450</v>
      </c>
      <c r="C1139" s="1310" t="s">
        <v>268</v>
      </c>
      <c r="D1139" s="1310" t="s">
        <v>1610</v>
      </c>
      <c r="E1139" s="1310" t="s">
        <v>1490</v>
      </c>
      <c r="F1139" s="1310" t="s">
        <v>1568</v>
      </c>
      <c r="G1139" s="1310" t="s">
        <v>1475</v>
      </c>
      <c r="H1139" s="1310" t="s">
        <v>132</v>
      </c>
      <c r="I1139" s="1310" t="s">
        <v>1621</v>
      </c>
      <c r="J1139" s="1310" t="s">
        <v>1617</v>
      </c>
      <c r="K1139" s="1310" t="s">
        <v>1578</v>
      </c>
      <c r="L1139" s="1310" t="s">
        <v>1565</v>
      </c>
      <c r="M1139" s="1310" t="s">
        <v>1540</v>
      </c>
      <c r="N1139" s="1310" t="s">
        <v>1473</v>
      </c>
      <c r="O1139" s="1310" t="s">
        <v>1488</v>
      </c>
      <c r="P1139" s="1310" t="s">
        <v>1605</v>
      </c>
      <c r="Q1139" s="1310" t="s">
        <v>1525</v>
      </c>
      <c r="R1139" s="1310" t="s">
        <v>1456</v>
      </c>
      <c r="S1139" s="1310" t="s">
        <v>113</v>
      </c>
      <c r="T1139" s="1310" t="s">
        <v>1640</v>
      </c>
      <c r="U1139" s="1310" t="s">
        <v>1546</v>
      </c>
      <c r="V1139" s="1310" t="s">
        <v>1535</v>
      </c>
      <c r="W1139" s="1310" t="s">
        <v>1581</v>
      </c>
      <c r="X1139" s="1310" t="s">
        <v>1581</v>
      </c>
      <c r="Y1139" s="1310" t="s">
        <v>1535</v>
      </c>
      <c r="Z1139" s="1310" t="s">
        <v>1600</v>
      </c>
      <c r="AA1139" s="1310" t="s">
        <v>1551</v>
      </c>
      <c r="AB1139" s="1310" t="s">
        <v>121</v>
      </c>
      <c r="AC1139" s="1310" t="s">
        <v>1584</v>
      </c>
      <c r="AD1139" s="1310" t="s">
        <v>1628</v>
      </c>
      <c r="AE1139" s="1310" t="s">
        <v>1643</v>
      </c>
      <c r="AF1139" s="1310" t="s">
        <v>1493</v>
      </c>
    </row>
    <row r="1140" spans="1:32" x14ac:dyDescent="0.3">
      <c r="A1140" s="1310" t="s">
        <v>111</v>
      </c>
      <c r="B1140" s="1310" t="s">
        <v>1599</v>
      </c>
      <c r="C1140" s="1310" t="s">
        <v>1457</v>
      </c>
      <c r="D1140" s="1310" t="s">
        <v>1460</v>
      </c>
      <c r="E1140" s="1310" t="s">
        <v>1531</v>
      </c>
      <c r="F1140" s="1310" t="s">
        <v>1658</v>
      </c>
      <c r="G1140" s="1310" t="s">
        <v>1490</v>
      </c>
      <c r="H1140" s="1310" t="s">
        <v>1533</v>
      </c>
      <c r="I1140" s="1310" t="s">
        <v>126</v>
      </c>
      <c r="J1140" s="1310" t="s">
        <v>1483</v>
      </c>
      <c r="K1140" s="1310" t="s">
        <v>131</v>
      </c>
      <c r="L1140" s="1310" t="s">
        <v>1478</v>
      </c>
      <c r="M1140" s="1310" t="s">
        <v>270</v>
      </c>
      <c r="N1140" s="1310" t="s">
        <v>1611</v>
      </c>
      <c r="O1140" s="1310" t="s">
        <v>1027</v>
      </c>
      <c r="P1140" s="1310" t="s">
        <v>1544</v>
      </c>
      <c r="Q1140" s="1310" t="s">
        <v>1557</v>
      </c>
      <c r="R1140" s="1310" t="s">
        <v>1533</v>
      </c>
      <c r="S1140" s="1310" t="s">
        <v>1612</v>
      </c>
      <c r="T1140" s="1310" t="s">
        <v>1544</v>
      </c>
      <c r="U1140" s="1310" t="s">
        <v>1503</v>
      </c>
      <c r="V1140" s="1310" t="s">
        <v>1560</v>
      </c>
      <c r="W1140" s="1310" t="s">
        <v>1656</v>
      </c>
      <c r="X1140" s="1310" t="s">
        <v>1450</v>
      </c>
      <c r="Y1140" s="1310" t="s">
        <v>1485</v>
      </c>
      <c r="Z1140" s="1310" t="s">
        <v>1549</v>
      </c>
      <c r="AA1140" s="1310" t="s">
        <v>1615</v>
      </c>
      <c r="AB1140" s="1310" t="s">
        <v>1642</v>
      </c>
      <c r="AC1140" s="1310" t="s">
        <v>1537</v>
      </c>
      <c r="AD1140" s="1310" t="s">
        <v>266</v>
      </c>
      <c r="AE1140" s="1310" t="s">
        <v>1655</v>
      </c>
      <c r="AF1140" s="1310" t="s">
        <v>1495</v>
      </c>
    </row>
    <row r="1141" spans="1:32" x14ac:dyDescent="0.3">
      <c r="A1141" s="1310" t="s">
        <v>1626</v>
      </c>
      <c r="B1141" s="1310" t="s">
        <v>1523</v>
      </c>
      <c r="C1141" s="1310" t="s">
        <v>1654</v>
      </c>
      <c r="D1141" s="1310" t="s">
        <v>119</v>
      </c>
      <c r="E1141" s="1310" t="s">
        <v>1484</v>
      </c>
      <c r="F1141" s="1310" t="s">
        <v>1485</v>
      </c>
      <c r="G1141" s="1310" t="s">
        <v>1528</v>
      </c>
      <c r="H1141" s="1310" t="s">
        <v>1600</v>
      </c>
      <c r="I1141" s="1310" t="s">
        <v>1551</v>
      </c>
      <c r="J1141" s="1310" t="s">
        <v>1475</v>
      </c>
      <c r="K1141" s="1310" t="s">
        <v>1660</v>
      </c>
      <c r="L1141" s="1310" t="s">
        <v>1653</v>
      </c>
      <c r="M1141" s="1310" t="s">
        <v>1472</v>
      </c>
      <c r="N1141" s="1310" t="s">
        <v>1564</v>
      </c>
      <c r="O1141" s="1310" t="s">
        <v>1615</v>
      </c>
      <c r="P1141" s="1310" t="s">
        <v>1528</v>
      </c>
      <c r="Q1141" s="1310" t="s">
        <v>1535</v>
      </c>
      <c r="R1141" s="1310" t="s">
        <v>1502</v>
      </c>
      <c r="S1141" s="1310" t="s">
        <v>1542</v>
      </c>
      <c r="T1141" s="1310" t="s">
        <v>1478</v>
      </c>
      <c r="U1141" s="1310" t="s">
        <v>1499</v>
      </c>
      <c r="V1141" s="1310" t="s">
        <v>1599</v>
      </c>
      <c r="W1141" s="1310" t="s">
        <v>1641</v>
      </c>
      <c r="X1141" s="1310" t="s">
        <v>1449</v>
      </c>
      <c r="Y1141" s="1310" t="s">
        <v>1625</v>
      </c>
      <c r="Z1141" s="1310" t="s">
        <v>115</v>
      </c>
      <c r="AA1141" s="1310" t="s">
        <v>1631</v>
      </c>
      <c r="AB1141" s="1310" t="s">
        <v>1487</v>
      </c>
      <c r="AC1141" s="1310" t="s">
        <v>1568</v>
      </c>
      <c r="AD1141" s="1310" t="s">
        <v>1478</v>
      </c>
      <c r="AE1141" s="1310" t="s">
        <v>1589</v>
      </c>
      <c r="AF1141" s="1310" t="s">
        <v>133</v>
      </c>
    </row>
    <row r="1142" spans="1:32" x14ac:dyDescent="0.3">
      <c r="A1142" s="1310" t="s">
        <v>131</v>
      </c>
      <c r="B1142" s="1310" t="s">
        <v>1620</v>
      </c>
      <c r="C1142" s="1310" t="s">
        <v>1475</v>
      </c>
      <c r="D1142" s="1310" t="s">
        <v>1619</v>
      </c>
      <c r="E1142" s="1310" t="s">
        <v>1494</v>
      </c>
      <c r="F1142" s="1310" t="s">
        <v>1602</v>
      </c>
      <c r="G1142" s="1310" t="s">
        <v>1590</v>
      </c>
      <c r="H1142" s="1310" t="s">
        <v>1467</v>
      </c>
      <c r="I1142" s="1310" t="s">
        <v>114</v>
      </c>
      <c r="J1142" s="1310" t="s">
        <v>114</v>
      </c>
      <c r="K1142" s="1310" t="s">
        <v>126</v>
      </c>
      <c r="L1142" s="1310" t="s">
        <v>1491</v>
      </c>
      <c r="M1142" s="1310" t="s">
        <v>1473</v>
      </c>
      <c r="N1142" s="1310" t="s">
        <v>127</v>
      </c>
      <c r="O1142" s="1310" t="s">
        <v>1546</v>
      </c>
      <c r="P1142" s="1310" t="s">
        <v>1607</v>
      </c>
      <c r="Q1142" s="1310" t="s">
        <v>1592</v>
      </c>
      <c r="R1142" s="1310" t="s">
        <v>1526</v>
      </c>
      <c r="S1142" s="1310" t="s">
        <v>1660</v>
      </c>
      <c r="T1142" s="1310" t="s">
        <v>1578</v>
      </c>
      <c r="U1142" s="1310" t="s">
        <v>130</v>
      </c>
      <c r="V1142" s="1310" t="s">
        <v>1499</v>
      </c>
      <c r="W1142" s="1310" t="s">
        <v>1649</v>
      </c>
      <c r="X1142" s="1310" t="s">
        <v>1578</v>
      </c>
      <c r="Y1142" s="1310" t="s">
        <v>1646</v>
      </c>
      <c r="Z1142" s="1310" t="s">
        <v>1520</v>
      </c>
      <c r="AA1142" s="1310" t="s">
        <v>1595</v>
      </c>
      <c r="AB1142" s="1310" t="s">
        <v>1476</v>
      </c>
      <c r="AC1142" s="1310" t="s">
        <v>1557</v>
      </c>
      <c r="AD1142" s="1310" t="s">
        <v>1484</v>
      </c>
      <c r="AE1142" s="1310" t="s">
        <v>1631</v>
      </c>
      <c r="AF1142" s="1310" t="s">
        <v>1565</v>
      </c>
    </row>
    <row r="1143" spans="1:32" x14ac:dyDescent="0.3">
      <c r="A1143" s="1310" t="s">
        <v>1597</v>
      </c>
      <c r="B1143" s="1310" t="s">
        <v>1574</v>
      </c>
      <c r="C1143" s="1310" t="s">
        <v>1604</v>
      </c>
      <c r="D1143" s="1310" t="s">
        <v>1513</v>
      </c>
      <c r="E1143" s="1310" t="s">
        <v>1528</v>
      </c>
      <c r="F1143" s="1310" t="s">
        <v>1565</v>
      </c>
      <c r="G1143" s="1310" t="s">
        <v>1540</v>
      </c>
      <c r="H1143" s="1310" t="s">
        <v>1462</v>
      </c>
      <c r="I1143" s="1310" t="s">
        <v>1635</v>
      </c>
      <c r="J1143" s="1310" t="s">
        <v>1622</v>
      </c>
      <c r="K1143" s="1310" t="s">
        <v>1483</v>
      </c>
      <c r="L1143" s="1310" t="s">
        <v>1581</v>
      </c>
      <c r="M1143" s="1310" t="s">
        <v>1648</v>
      </c>
      <c r="N1143" s="1310" t="s">
        <v>116</v>
      </c>
      <c r="O1143" s="1310" t="s">
        <v>1652</v>
      </c>
      <c r="P1143" s="1310" t="s">
        <v>1484</v>
      </c>
      <c r="Q1143" s="1310" t="s">
        <v>1486</v>
      </c>
      <c r="R1143" s="1310" t="s">
        <v>1596</v>
      </c>
      <c r="S1143" s="1310" t="s">
        <v>1644</v>
      </c>
      <c r="T1143" s="1310" t="s">
        <v>1531</v>
      </c>
      <c r="U1143" s="1310" t="s">
        <v>1491</v>
      </c>
      <c r="V1143" s="1310" t="s">
        <v>1027</v>
      </c>
      <c r="W1143" s="1310" t="s">
        <v>1537</v>
      </c>
      <c r="X1143" s="1310" t="s">
        <v>1653</v>
      </c>
      <c r="Y1143" s="1310" t="s">
        <v>1475</v>
      </c>
      <c r="Z1143" s="1310" t="s">
        <v>1544</v>
      </c>
      <c r="AA1143" s="1310" t="s">
        <v>1537</v>
      </c>
      <c r="AB1143" s="1310" t="s">
        <v>1523</v>
      </c>
      <c r="AC1143" s="1310" t="s">
        <v>1481</v>
      </c>
      <c r="AD1143" s="1310" t="s">
        <v>1547</v>
      </c>
      <c r="AE1143" s="1310" t="s">
        <v>1528</v>
      </c>
      <c r="AF1143" s="1310" t="s">
        <v>1513</v>
      </c>
    </row>
    <row r="1144" spans="1:32" x14ac:dyDescent="0.3">
      <c r="A1144" s="1310" t="s">
        <v>1643</v>
      </c>
      <c r="B1144" s="1310" t="s">
        <v>1549</v>
      </c>
      <c r="C1144" s="1310" t="s">
        <v>1469</v>
      </c>
      <c r="D1144" s="1310" t="s">
        <v>1467</v>
      </c>
      <c r="E1144" s="1310" t="s">
        <v>1628</v>
      </c>
      <c r="F1144" s="1310" t="s">
        <v>1589</v>
      </c>
      <c r="G1144" s="1310" t="s">
        <v>1576</v>
      </c>
      <c r="H1144" s="1310" t="s">
        <v>1593</v>
      </c>
      <c r="I1144" s="1310" t="s">
        <v>1446</v>
      </c>
      <c r="J1144" s="1310" t="s">
        <v>1488</v>
      </c>
      <c r="K1144" s="1310" t="s">
        <v>1495</v>
      </c>
      <c r="L1144" s="1310" t="s">
        <v>1643</v>
      </c>
      <c r="M1144" s="1310" t="s">
        <v>267</v>
      </c>
      <c r="N1144" s="1310" t="s">
        <v>1564</v>
      </c>
      <c r="O1144" s="1310" t="s">
        <v>1584</v>
      </c>
      <c r="P1144" s="1310" t="s">
        <v>1454</v>
      </c>
      <c r="Q1144" s="1310" t="s">
        <v>1504</v>
      </c>
      <c r="R1144" s="1310" t="s">
        <v>1561</v>
      </c>
      <c r="S1144" s="1310" t="s">
        <v>1481</v>
      </c>
      <c r="T1144" s="1310" t="s">
        <v>1495</v>
      </c>
      <c r="U1144" s="1310" t="s">
        <v>1614</v>
      </c>
      <c r="V1144" s="1310" t="s">
        <v>1556</v>
      </c>
      <c r="W1144" s="1310" t="s">
        <v>1450</v>
      </c>
      <c r="X1144" s="1310" t="s">
        <v>1503</v>
      </c>
      <c r="Y1144" s="1310" t="s">
        <v>1481</v>
      </c>
      <c r="Z1144" s="1310" t="s">
        <v>126</v>
      </c>
      <c r="AA1144" s="1310" t="s">
        <v>1532</v>
      </c>
      <c r="AB1144" s="1310" t="s">
        <v>1571</v>
      </c>
      <c r="AC1144" s="1310" t="s">
        <v>1571</v>
      </c>
      <c r="AD1144" s="1310" t="s">
        <v>1544</v>
      </c>
      <c r="AE1144" s="1310" t="s">
        <v>267</v>
      </c>
      <c r="AF1144" s="1310" t="s">
        <v>1605</v>
      </c>
    </row>
    <row r="1145" spans="1:32" x14ac:dyDescent="0.3">
      <c r="A1145" s="1310" t="s">
        <v>1578</v>
      </c>
      <c r="B1145" s="1310" t="s">
        <v>1504</v>
      </c>
      <c r="C1145" s="1310" t="s">
        <v>127</v>
      </c>
      <c r="D1145" s="1310" t="s">
        <v>1533</v>
      </c>
      <c r="E1145" s="1310" t="s">
        <v>1539</v>
      </c>
      <c r="F1145" s="1310" t="s">
        <v>1470</v>
      </c>
      <c r="G1145" s="1310" t="s">
        <v>1628</v>
      </c>
      <c r="H1145" s="1310" t="s">
        <v>1619</v>
      </c>
      <c r="I1145" s="1310" t="s">
        <v>1552</v>
      </c>
      <c r="J1145" s="1310" t="s">
        <v>1030</v>
      </c>
      <c r="K1145" s="1310" t="s">
        <v>1535</v>
      </c>
      <c r="L1145" s="1310" t="s">
        <v>1621</v>
      </c>
      <c r="M1145" s="1310" t="s">
        <v>1520</v>
      </c>
      <c r="N1145" s="1310" t="s">
        <v>1533</v>
      </c>
      <c r="O1145" s="1310" t="s">
        <v>1492</v>
      </c>
      <c r="P1145" s="1310" t="s">
        <v>1585</v>
      </c>
      <c r="Q1145" s="1310" t="s">
        <v>1460</v>
      </c>
      <c r="R1145" s="1310" t="s">
        <v>1588</v>
      </c>
      <c r="S1145" s="1310" t="s">
        <v>1630</v>
      </c>
      <c r="T1145" s="1310" t="s">
        <v>1531</v>
      </c>
      <c r="U1145" s="1310" t="s">
        <v>1604</v>
      </c>
      <c r="V1145" s="1310" t="s">
        <v>1476</v>
      </c>
      <c r="W1145" s="1310" t="s">
        <v>1528</v>
      </c>
      <c r="X1145" s="1310" t="s">
        <v>1461</v>
      </c>
      <c r="Y1145" s="1310" t="s">
        <v>1643</v>
      </c>
      <c r="Z1145" s="1310" t="s">
        <v>1530</v>
      </c>
      <c r="AA1145" s="1310" t="s">
        <v>1584</v>
      </c>
      <c r="AB1145" s="1310" t="s">
        <v>1492</v>
      </c>
      <c r="AC1145" s="1310" t="s">
        <v>1450</v>
      </c>
      <c r="AD1145" s="1310" t="s">
        <v>1457</v>
      </c>
      <c r="AE1145" s="1310" t="s">
        <v>1444</v>
      </c>
      <c r="AF1145" s="1310" t="s">
        <v>1467</v>
      </c>
    </row>
    <row r="1146" spans="1:32" x14ac:dyDescent="0.3">
      <c r="A1146" s="1310" t="s">
        <v>1530</v>
      </c>
      <c r="B1146" s="1310" t="s">
        <v>1483</v>
      </c>
      <c r="C1146" s="1310" t="s">
        <v>1517</v>
      </c>
      <c r="D1146" s="1310" t="s">
        <v>1499</v>
      </c>
      <c r="E1146" s="1310" t="s">
        <v>1500</v>
      </c>
      <c r="F1146" s="1310" t="s">
        <v>118</v>
      </c>
      <c r="G1146" s="1310" t="s">
        <v>1648</v>
      </c>
      <c r="H1146" s="1310" t="s">
        <v>1444</v>
      </c>
      <c r="I1146" s="1310" t="s">
        <v>1597</v>
      </c>
      <c r="J1146" s="1310" t="s">
        <v>1562</v>
      </c>
      <c r="K1146" s="1310" t="s">
        <v>1522</v>
      </c>
      <c r="L1146" s="1310" t="s">
        <v>1562</v>
      </c>
      <c r="M1146" s="1310" t="s">
        <v>1565</v>
      </c>
      <c r="N1146" s="1310" t="s">
        <v>1631</v>
      </c>
      <c r="O1146" s="1310" t="s">
        <v>1611</v>
      </c>
      <c r="P1146" s="1310" t="s">
        <v>1586</v>
      </c>
      <c r="Q1146" s="1310" t="s">
        <v>1523</v>
      </c>
      <c r="R1146" s="1310" t="s">
        <v>267</v>
      </c>
      <c r="S1146" s="1310" t="s">
        <v>114</v>
      </c>
      <c r="T1146" s="1310" t="s">
        <v>1622</v>
      </c>
      <c r="U1146" s="1310" t="s">
        <v>1633</v>
      </c>
      <c r="V1146" s="1310" t="s">
        <v>1616</v>
      </c>
      <c r="W1146" s="1310" t="s">
        <v>1623</v>
      </c>
      <c r="X1146" s="1310" t="s">
        <v>1597</v>
      </c>
      <c r="Y1146" s="1310" t="s">
        <v>118</v>
      </c>
      <c r="Z1146" s="1310" t="s">
        <v>1562</v>
      </c>
      <c r="AA1146" s="1310" t="s">
        <v>1534</v>
      </c>
      <c r="AB1146" s="1310" t="s">
        <v>1630</v>
      </c>
      <c r="AC1146" s="1310" t="s">
        <v>1595</v>
      </c>
      <c r="AD1146" s="1310" t="s">
        <v>1499</v>
      </c>
      <c r="AE1146" s="1310" t="s">
        <v>1619</v>
      </c>
      <c r="AF1146" s="1310" t="s">
        <v>1576</v>
      </c>
    </row>
    <row r="1147" spans="1:32" x14ac:dyDescent="0.3">
      <c r="A1147" s="1310" t="s">
        <v>1641</v>
      </c>
      <c r="B1147" s="1310" t="s">
        <v>1490</v>
      </c>
      <c r="C1147" s="1310" t="s">
        <v>133</v>
      </c>
      <c r="D1147" s="1310" t="s">
        <v>1564</v>
      </c>
      <c r="E1147" s="1310" t="s">
        <v>1602</v>
      </c>
      <c r="F1147" s="1310" t="s">
        <v>1626</v>
      </c>
      <c r="G1147" s="1310" t="s">
        <v>1576</v>
      </c>
      <c r="H1147" s="1310" t="s">
        <v>1496</v>
      </c>
      <c r="I1147" s="1310" t="s">
        <v>1627</v>
      </c>
      <c r="J1147" s="1310" t="s">
        <v>1525</v>
      </c>
      <c r="K1147" s="1310" t="s">
        <v>1653</v>
      </c>
      <c r="L1147" s="1310" t="s">
        <v>1641</v>
      </c>
      <c r="M1147" s="1310" t="s">
        <v>1525</v>
      </c>
      <c r="N1147" s="1310" t="s">
        <v>1631</v>
      </c>
      <c r="O1147" s="1310" t="s">
        <v>1651</v>
      </c>
      <c r="P1147" s="1310" t="s">
        <v>1503</v>
      </c>
      <c r="Q1147" s="1310" t="s">
        <v>1576</v>
      </c>
      <c r="R1147" s="1310" t="s">
        <v>1599</v>
      </c>
      <c r="S1147" s="1310" t="s">
        <v>1462</v>
      </c>
      <c r="T1147" s="1310" t="s">
        <v>1627</v>
      </c>
      <c r="U1147" s="1310" t="s">
        <v>268</v>
      </c>
      <c r="V1147" s="1310" t="s">
        <v>1457</v>
      </c>
      <c r="W1147" s="1310" t="s">
        <v>113</v>
      </c>
      <c r="X1147" s="1310" t="s">
        <v>1444</v>
      </c>
      <c r="Y1147" s="1310" t="s">
        <v>1628</v>
      </c>
      <c r="Z1147" s="1310" t="s">
        <v>1460</v>
      </c>
      <c r="AA1147" s="1310" t="s">
        <v>1490</v>
      </c>
      <c r="AB1147" s="1310" t="s">
        <v>1527</v>
      </c>
      <c r="AC1147" s="1310" t="s">
        <v>1546</v>
      </c>
      <c r="AD1147" s="1310" t="s">
        <v>1457</v>
      </c>
      <c r="AE1147" s="1310" t="s">
        <v>1461</v>
      </c>
      <c r="AF1147" s="1310" t="s">
        <v>1521</v>
      </c>
    </row>
    <row r="1148" spans="1:32" x14ac:dyDescent="0.3">
      <c r="A1148" s="1310" t="s">
        <v>1458</v>
      </c>
      <c r="B1148" s="1310" t="s">
        <v>1573</v>
      </c>
      <c r="C1148" s="1310" t="s">
        <v>1583</v>
      </c>
      <c r="D1148" s="1310" t="s">
        <v>1656</v>
      </c>
      <c r="E1148" s="1310" t="s">
        <v>128</v>
      </c>
      <c r="F1148" s="1310" t="s">
        <v>1566</v>
      </c>
      <c r="G1148" s="1310" t="s">
        <v>1482</v>
      </c>
      <c r="H1148" s="1310" t="s">
        <v>1601</v>
      </c>
      <c r="I1148" s="1310" t="s">
        <v>1549</v>
      </c>
      <c r="J1148" s="1310" t="s">
        <v>1491</v>
      </c>
      <c r="K1148" s="1310" t="s">
        <v>1582</v>
      </c>
      <c r="L1148" s="1310" t="s">
        <v>1502</v>
      </c>
      <c r="M1148" s="1310" t="s">
        <v>266</v>
      </c>
      <c r="N1148" s="1310" t="s">
        <v>1569</v>
      </c>
      <c r="O1148" s="1310" t="s">
        <v>1482</v>
      </c>
      <c r="P1148" s="1310" t="s">
        <v>1585</v>
      </c>
      <c r="Q1148" s="1310" t="s">
        <v>1657</v>
      </c>
      <c r="R1148" s="1310" t="s">
        <v>1483</v>
      </c>
      <c r="S1148" s="1310" t="s">
        <v>1630</v>
      </c>
      <c r="T1148" s="1310" t="s">
        <v>1613</v>
      </c>
      <c r="U1148" s="1310" t="s">
        <v>1537</v>
      </c>
      <c r="V1148" s="1310" t="s">
        <v>1654</v>
      </c>
      <c r="W1148" s="1310" t="s">
        <v>1574</v>
      </c>
      <c r="X1148" s="1310" t="s">
        <v>131</v>
      </c>
      <c r="Y1148" s="1310" t="s">
        <v>1510</v>
      </c>
      <c r="Z1148" s="1310" t="s">
        <v>1526</v>
      </c>
      <c r="AA1148" s="1310" t="s">
        <v>132</v>
      </c>
      <c r="AB1148" s="1310" t="s">
        <v>1539</v>
      </c>
      <c r="AC1148" s="1310" t="s">
        <v>1649</v>
      </c>
      <c r="AD1148" s="1310" t="s">
        <v>1477</v>
      </c>
      <c r="AE1148" s="1310" t="s">
        <v>1641</v>
      </c>
      <c r="AF1148" s="1310" t="s">
        <v>1564</v>
      </c>
    </row>
    <row r="1149" spans="1:32" x14ac:dyDescent="0.3">
      <c r="A1149" s="1310" t="s">
        <v>1474</v>
      </c>
      <c r="B1149" s="1310" t="s">
        <v>110</v>
      </c>
      <c r="C1149" s="1310" t="s">
        <v>1601</v>
      </c>
      <c r="D1149" s="1310" t="s">
        <v>125</v>
      </c>
      <c r="E1149" s="1310" t="s">
        <v>1624</v>
      </c>
      <c r="F1149" s="1310" t="s">
        <v>1645</v>
      </c>
      <c r="G1149" s="1310" t="s">
        <v>1658</v>
      </c>
      <c r="H1149" s="1310" t="s">
        <v>132</v>
      </c>
      <c r="I1149" s="1310" t="s">
        <v>1613</v>
      </c>
      <c r="J1149" s="1310" t="s">
        <v>1630</v>
      </c>
      <c r="K1149" s="1310" t="s">
        <v>1524</v>
      </c>
      <c r="L1149" s="1310" t="s">
        <v>1641</v>
      </c>
      <c r="M1149" s="1310" t="s">
        <v>1564</v>
      </c>
      <c r="N1149" s="1310" t="s">
        <v>1489</v>
      </c>
      <c r="O1149" s="1310" t="s">
        <v>112</v>
      </c>
      <c r="P1149" s="1310" t="s">
        <v>1648</v>
      </c>
      <c r="Q1149" s="1310" t="s">
        <v>125</v>
      </c>
      <c r="R1149" s="1310" t="s">
        <v>1651</v>
      </c>
      <c r="S1149" s="1310" t="s">
        <v>1660</v>
      </c>
      <c r="T1149" s="1310" t="s">
        <v>1637</v>
      </c>
      <c r="U1149" s="1310" t="s">
        <v>1488</v>
      </c>
      <c r="V1149" s="1310" t="s">
        <v>116</v>
      </c>
      <c r="W1149" s="1310" t="s">
        <v>126</v>
      </c>
      <c r="X1149" s="1310" t="s">
        <v>1640</v>
      </c>
      <c r="Y1149" s="1310" t="s">
        <v>1558</v>
      </c>
      <c r="Z1149" s="1310" t="s">
        <v>1542</v>
      </c>
      <c r="AA1149" s="1310" t="s">
        <v>1581</v>
      </c>
      <c r="AB1149" s="1310" t="s">
        <v>1605</v>
      </c>
      <c r="AC1149" s="1310" t="s">
        <v>1556</v>
      </c>
      <c r="AD1149" s="1310" t="s">
        <v>126</v>
      </c>
      <c r="AE1149" s="1310" t="s">
        <v>1498</v>
      </c>
      <c r="AF1149" s="1310" t="s">
        <v>1459</v>
      </c>
    </row>
    <row r="1150" spans="1:32" x14ac:dyDescent="0.3">
      <c r="A1150" s="1310" t="s">
        <v>1650</v>
      </c>
      <c r="B1150" s="1310" t="s">
        <v>1635</v>
      </c>
      <c r="C1150" s="1310" t="s">
        <v>1486</v>
      </c>
      <c r="D1150" s="1310" t="s">
        <v>1493</v>
      </c>
      <c r="E1150" s="1310" t="s">
        <v>1600</v>
      </c>
      <c r="F1150" s="1310" t="s">
        <v>1641</v>
      </c>
      <c r="G1150" s="1310" t="s">
        <v>1623</v>
      </c>
      <c r="H1150" s="1310" t="s">
        <v>1524</v>
      </c>
      <c r="I1150" s="1310" t="s">
        <v>121</v>
      </c>
      <c r="J1150" s="1310" t="s">
        <v>1642</v>
      </c>
      <c r="K1150" s="1310" t="s">
        <v>1489</v>
      </c>
      <c r="L1150" s="1310" t="s">
        <v>1539</v>
      </c>
      <c r="M1150" s="1310" t="s">
        <v>115</v>
      </c>
      <c r="N1150" s="1310" t="s">
        <v>1625</v>
      </c>
      <c r="O1150" s="1310" t="s">
        <v>121</v>
      </c>
      <c r="P1150" s="1310" t="s">
        <v>1574</v>
      </c>
      <c r="Q1150" s="1310" t="s">
        <v>1444</v>
      </c>
      <c r="R1150" s="1310" t="s">
        <v>1555</v>
      </c>
      <c r="S1150" s="1310" t="s">
        <v>1502</v>
      </c>
      <c r="T1150" s="1310" t="s">
        <v>1519</v>
      </c>
      <c r="U1150" s="1310" t="s">
        <v>1646</v>
      </c>
      <c r="V1150" s="1310" t="s">
        <v>1447</v>
      </c>
      <c r="W1150" s="1310" t="s">
        <v>1573</v>
      </c>
      <c r="X1150" s="1310" t="s">
        <v>1628</v>
      </c>
      <c r="Y1150" s="1310" t="s">
        <v>1575</v>
      </c>
      <c r="Z1150" s="1310" t="s">
        <v>1619</v>
      </c>
      <c r="AA1150" s="1310" t="s">
        <v>1575</v>
      </c>
      <c r="AB1150" s="1310" t="s">
        <v>1570</v>
      </c>
      <c r="AC1150" s="1310" t="s">
        <v>1658</v>
      </c>
      <c r="AD1150" s="1310" t="s">
        <v>1443</v>
      </c>
      <c r="AE1150" s="1310" t="s">
        <v>1450</v>
      </c>
      <c r="AF1150" s="1310" t="s">
        <v>1492</v>
      </c>
    </row>
    <row r="1151" spans="1:32" x14ac:dyDescent="0.3">
      <c r="A1151" s="1310" t="s">
        <v>1656</v>
      </c>
      <c r="B1151" s="1310" t="s">
        <v>1468</v>
      </c>
      <c r="C1151" s="1310" t="s">
        <v>1505</v>
      </c>
      <c r="D1151" s="1310" t="s">
        <v>1468</v>
      </c>
      <c r="E1151" s="1310" t="s">
        <v>1548</v>
      </c>
      <c r="F1151" s="1310" t="s">
        <v>123</v>
      </c>
      <c r="G1151" s="1310" t="s">
        <v>1542</v>
      </c>
      <c r="H1151" s="1310" t="s">
        <v>1643</v>
      </c>
      <c r="I1151" s="1310" t="s">
        <v>1528</v>
      </c>
      <c r="J1151" s="1310" t="s">
        <v>1510</v>
      </c>
      <c r="K1151" s="1310" t="s">
        <v>1611</v>
      </c>
      <c r="L1151" s="1310" t="s">
        <v>1505</v>
      </c>
      <c r="M1151" s="1310" t="s">
        <v>1476</v>
      </c>
      <c r="N1151" s="1310" t="s">
        <v>1558</v>
      </c>
      <c r="O1151" s="1310" t="s">
        <v>1550</v>
      </c>
      <c r="P1151" s="1310" t="s">
        <v>122</v>
      </c>
      <c r="Q1151" s="1310" t="s">
        <v>1575</v>
      </c>
      <c r="R1151" s="1310" t="s">
        <v>1540</v>
      </c>
      <c r="S1151" s="1310" t="s">
        <v>1560</v>
      </c>
      <c r="T1151" s="1310" t="s">
        <v>1525</v>
      </c>
      <c r="U1151" s="1310" t="s">
        <v>1450</v>
      </c>
      <c r="V1151" s="1310" t="s">
        <v>1494</v>
      </c>
      <c r="W1151" s="1310" t="s">
        <v>1530</v>
      </c>
      <c r="X1151" s="1310" t="s">
        <v>1465</v>
      </c>
      <c r="Y1151" s="1310" t="s">
        <v>1532</v>
      </c>
      <c r="Z1151" s="1310" t="s">
        <v>1659</v>
      </c>
      <c r="AA1151" s="1310" t="s">
        <v>1449</v>
      </c>
      <c r="AB1151" s="1310" t="s">
        <v>1497</v>
      </c>
      <c r="AC1151" s="1310" t="s">
        <v>1455</v>
      </c>
      <c r="AD1151" s="1310" t="s">
        <v>1552</v>
      </c>
      <c r="AE1151" s="1310" t="s">
        <v>1655</v>
      </c>
      <c r="AF1151" s="1310" t="s">
        <v>1452</v>
      </c>
    </row>
    <row r="1152" spans="1:32" x14ac:dyDescent="0.3">
      <c r="A1152" s="1310" t="s">
        <v>1621</v>
      </c>
      <c r="B1152" s="1310" t="s">
        <v>1541</v>
      </c>
      <c r="C1152" s="1310" t="s">
        <v>1444</v>
      </c>
      <c r="D1152" s="1310" t="s">
        <v>465</v>
      </c>
      <c r="E1152" s="1310" t="s">
        <v>114</v>
      </c>
      <c r="F1152" s="1310" t="s">
        <v>1488</v>
      </c>
      <c r="G1152" s="1310" t="s">
        <v>1455</v>
      </c>
      <c r="H1152" s="1310" t="s">
        <v>1635</v>
      </c>
      <c r="I1152" s="1310" t="s">
        <v>1549</v>
      </c>
      <c r="J1152" s="1310" t="s">
        <v>1644</v>
      </c>
      <c r="K1152" s="1310" t="s">
        <v>1632</v>
      </c>
      <c r="L1152" s="1310" t="s">
        <v>1600</v>
      </c>
      <c r="M1152" s="1310" t="s">
        <v>1509</v>
      </c>
      <c r="N1152" s="1310" t="s">
        <v>1554</v>
      </c>
      <c r="O1152" s="1310" t="s">
        <v>1452</v>
      </c>
      <c r="P1152" s="1310" t="s">
        <v>1621</v>
      </c>
      <c r="Q1152" s="1310" t="s">
        <v>1541</v>
      </c>
      <c r="R1152" s="1310" t="s">
        <v>1444</v>
      </c>
      <c r="S1152" s="1310" t="s">
        <v>465</v>
      </c>
      <c r="T1152" s="1310" t="s">
        <v>114</v>
      </c>
      <c r="U1152" s="1310" t="s">
        <v>1488</v>
      </c>
      <c r="V1152" s="1310" t="s">
        <v>1443</v>
      </c>
      <c r="W1152" s="1310" t="s">
        <v>124</v>
      </c>
      <c r="X1152" s="1310" t="s">
        <v>1571</v>
      </c>
      <c r="Y1152" s="1310" t="s">
        <v>1562</v>
      </c>
      <c r="Z1152" s="1310" t="s">
        <v>1452</v>
      </c>
      <c r="AA1152" s="1310" t="s">
        <v>1621</v>
      </c>
      <c r="AB1152" s="1310" t="s">
        <v>1541</v>
      </c>
      <c r="AC1152" s="1310" t="s">
        <v>1444</v>
      </c>
      <c r="AD1152" s="1310" t="s">
        <v>465</v>
      </c>
      <c r="AE1152" s="1310" t="s">
        <v>114</v>
      </c>
      <c r="AF1152" s="1310" t="s">
        <v>1488</v>
      </c>
    </row>
    <row r="1153" spans="1:32" x14ac:dyDescent="0.3">
      <c r="A1153" s="1310" t="s">
        <v>1455</v>
      </c>
      <c r="B1153" s="1310" t="s">
        <v>1635</v>
      </c>
      <c r="C1153" s="1310" t="s">
        <v>1549</v>
      </c>
      <c r="D1153" s="1310" t="s">
        <v>1644</v>
      </c>
      <c r="E1153" s="1310" t="s">
        <v>1632</v>
      </c>
      <c r="F1153" s="1310" t="s">
        <v>1600</v>
      </c>
      <c r="G1153" s="1310" t="s">
        <v>1509</v>
      </c>
      <c r="H1153" s="1310" t="s">
        <v>1554</v>
      </c>
      <c r="I1153" s="1310" t="s">
        <v>1452</v>
      </c>
      <c r="J1153" s="1310" t="s">
        <v>1621</v>
      </c>
      <c r="K1153" s="1310" t="s">
        <v>1541</v>
      </c>
      <c r="L1153" s="1310" t="s">
        <v>1444</v>
      </c>
      <c r="M1153" s="1310" t="s">
        <v>465</v>
      </c>
      <c r="N1153" s="1310" t="s">
        <v>114</v>
      </c>
      <c r="O1153" s="1310" t="s">
        <v>1488</v>
      </c>
      <c r="P1153" s="1310" t="s">
        <v>1455</v>
      </c>
      <c r="Q1153" s="1310" t="s">
        <v>1583</v>
      </c>
      <c r="R1153" s="1310" t="s">
        <v>1640</v>
      </c>
      <c r="S1153" s="1310" t="s">
        <v>1602</v>
      </c>
      <c r="T1153" s="1310" t="s">
        <v>1622</v>
      </c>
      <c r="U1153" s="1310" t="s">
        <v>1601</v>
      </c>
      <c r="V1153" s="1310" t="s">
        <v>1603</v>
      </c>
      <c r="W1153" s="1310" t="s">
        <v>1601</v>
      </c>
      <c r="X1153" s="1310" t="s">
        <v>118</v>
      </c>
      <c r="Y1153" s="1310" t="s">
        <v>1561</v>
      </c>
      <c r="Z1153" s="1310" t="s">
        <v>1443</v>
      </c>
      <c r="AA1153" s="1310" t="s">
        <v>1450</v>
      </c>
      <c r="AB1153" s="1310" t="s">
        <v>1494</v>
      </c>
      <c r="AC1153" s="1310" t="s">
        <v>1568</v>
      </c>
      <c r="AD1153" s="1310" t="s">
        <v>1622</v>
      </c>
      <c r="AE1153" s="1310" t="s">
        <v>1521</v>
      </c>
      <c r="AF1153" s="1310" t="s">
        <v>1495</v>
      </c>
    </row>
    <row r="1154" spans="1:32" x14ac:dyDescent="0.3">
      <c r="A1154" s="1310" t="s">
        <v>1466</v>
      </c>
      <c r="B1154" s="1310" t="s">
        <v>1460</v>
      </c>
      <c r="C1154" s="1310" t="s">
        <v>121</v>
      </c>
      <c r="D1154" s="1310" t="s">
        <v>1479</v>
      </c>
      <c r="E1154" s="1310" t="s">
        <v>1485</v>
      </c>
      <c r="F1154" s="1310" t="s">
        <v>1635</v>
      </c>
      <c r="G1154" s="1310" t="s">
        <v>111</v>
      </c>
      <c r="H1154" s="1310" t="s">
        <v>1496</v>
      </c>
      <c r="I1154" s="1310" t="s">
        <v>1457</v>
      </c>
      <c r="J1154" s="1310" t="s">
        <v>115</v>
      </c>
      <c r="K1154" s="1310" t="s">
        <v>1516</v>
      </c>
      <c r="L1154" s="1310" t="s">
        <v>1507</v>
      </c>
      <c r="M1154" s="1310" t="s">
        <v>1659</v>
      </c>
      <c r="N1154" s="1310" t="s">
        <v>1538</v>
      </c>
      <c r="O1154" s="1310" t="s">
        <v>1482</v>
      </c>
      <c r="P1154" s="1310" t="s">
        <v>1538</v>
      </c>
      <c r="Q1154" s="1310" t="s">
        <v>263</v>
      </c>
      <c r="R1154" s="1310" t="s">
        <v>1575</v>
      </c>
      <c r="S1154" s="1310" t="s">
        <v>1621</v>
      </c>
      <c r="T1154" s="1310" t="s">
        <v>115</v>
      </c>
      <c r="U1154" s="1310" t="s">
        <v>1453</v>
      </c>
      <c r="V1154" s="1310" t="s">
        <v>1490</v>
      </c>
      <c r="W1154" s="1310" t="s">
        <v>1605</v>
      </c>
      <c r="X1154" s="1310" t="s">
        <v>1611</v>
      </c>
      <c r="Y1154" s="1310" t="s">
        <v>1520</v>
      </c>
      <c r="Z1154" s="1310" t="s">
        <v>1483</v>
      </c>
      <c r="AA1154" s="1310" t="s">
        <v>1643</v>
      </c>
      <c r="AB1154" s="1310" t="s">
        <v>1555</v>
      </c>
      <c r="AC1154" s="1310" t="s">
        <v>1617</v>
      </c>
      <c r="AD1154" s="1310" t="s">
        <v>1545</v>
      </c>
      <c r="AE1154" s="1310" t="s">
        <v>1556</v>
      </c>
      <c r="AF1154" s="1310" t="s">
        <v>1482</v>
      </c>
    </row>
    <row r="1155" spans="1:32" x14ac:dyDescent="0.3">
      <c r="A1155" s="1310" t="s">
        <v>1514</v>
      </c>
      <c r="B1155" s="1310" t="s">
        <v>1449</v>
      </c>
      <c r="C1155" s="1310" t="s">
        <v>1577</v>
      </c>
      <c r="D1155" s="1310" t="s">
        <v>1598</v>
      </c>
      <c r="E1155" s="1310" t="s">
        <v>1522</v>
      </c>
      <c r="F1155" s="1310" t="s">
        <v>1455</v>
      </c>
      <c r="G1155" s="1310" t="s">
        <v>1600</v>
      </c>
      <c r="H1155" s="1310" t="s">
        <v>1449</v>
      </c>
      <c r="I1155" s="1310" t="s">
        <v>1534</v>
      </c>
      <c r="J1155" s="1310" t="s">
        <v>1541</v>
      </c>
      <c r="K1155" s="1310" t="s">
        <v>1556</v>
      </c>
      <c r="L1155" s="1310" t="s">
        <v>1646</v>
      </c>
      <c r="M1155" s="1310" t="s">
        <v>126</v>
      </c>
      <c r="N1155" s="1310" t="s">
        <v>1613</v>
      </c>
      <c r="O1155" s="1310" t="s">
        <v>1611</v>
      </c>
      <c r="P1155" s="1310" t="s">
        <v>1551</v>
      </c>
      <c r="Q1155" s="1310" t="s">
        <v>1611</v>
      </c>
      <c r="R1155" s="1310" t="s">
        <v>1486</v>
      </c>
      <c r="S1155" s="1310" t="s">
        <v>1547</v>
      </c>
      <c r="T1155" s="1310" t="s">
        <v>1608</v>
      </c>
      <c r="U1155" s="1310" t="s">
        <v>1658</v>
      </c>
      <c r="V1155" s="1310" t="s">
        <v>127</v>
      </c>
      <c r="W1155" s="1310" t="s">
        <v>1492</v>
      </c>
      <c r="X1155" s="1310" t="s">
        <v>1604</v>
      </c>
      <c r="Y1155" s="1310" t="s">
        <v>1466</v>
      </c>
      <c r="Z1155" s="1310" t="s">
        <v>1589</v>
      </c>
      <c r="AA1155" s="1310" t="s">
        <v>1446</v>
      </c>
      <c r="AB1155" s="1310" t="s">
        <v>1621</v>
      </c>
      <c r="AC1155" s="1310" t="s">
        <v>1647</v>
      </c>
      <c r="AD1155" s="1310" t="s">
        <v>1586</v>
      </c>
      <c r="AE1155" s="1310" t="s">
        <v>123</v>
      </c>
      <c r="AF1155" s="1310" t="s">
        <v>1458</v>
      </c>
    </row>
    <row r="1156" spans="1:32" x14ac:dyDescent="0.3">
      <c r="A1156" s="1310" t="s">
        <v>1512</v>
      </c>
      <c r="B1156" s="1310" t="s">
        <v>1482</v>
      </c>
      <c r="C1156" s="1310" t="s">
        <v>125</v>
      </c>
      <c r="D1156" s="1310" t="s">
        <v>1492</v>
      </c>
      <c r="E1156" s="1310" t="s">
        <v>1604</v>
      </c>
      <c r="F1156" s="1310" t="s">
        <v>1466</v>
      </c>
      <c r="G1156" s="1310" t="s">
        <v>1496</v>
      </c>
      <c r="H1156" s="1310" t="s">
        <v>1446</v>
      </c>
      <c r="I1156" s="1310" t="s">
        <v>1579</v>
      </c>
      <c r="J1156" s="1310" t="s">
        <v>1577</v>
      </c>
      <c r="K1156" s="1310" t="s">
        <v>1627</v>
      </c>
      <c r="L1156" s="1310" t="s">
        <v>1602</v>
      </c>
      <c r="M1156" s="1310" t="s">
        <v>1509</v>
      </c>
      <c r="N1156" s="1310" t="s">
        <v>1644</v>
      </c>
      <c r="O1156" s="1310" t="s">
        <v>116</v>
      </c>
      <c r="P1156" s="1310" t="s">
        <v>1590</v>
      </c>
      <c r="Q1156" s="1310" t="s">
        <v>124</v>
      </c>
      <c r="R1156" s="1310" t="s">
        <v>1551</v>
      </c>
      <c r="S1156" s="1310" t="s">
        <v>1567</v>
      </c>
      <c r="T1156" s="1310" t="s">
        <v>1486</v>
      </c>
      <c r="U1156" s="1310" t="s">
        <v>1518</v>
      </c>
      <c r="V1156" s="1310" t="s">
        <v>1565</v>
      </c>
      <c r="W1156" s="1310" t="s">
        <v>1659</v>
      </c>
      <c r="X1156" s="1310" t="s">
        <v>1502</v>
      </c>
      <c r="Y1156" s="1310" t="s">
        <v>129</v>
      </c>
      <c r="Z1156" s="1310" t="s">
        <v>1500</v>
      </c>
      <c r="AA1156" s="1310" t="s">
        <v>122</v>
      </c>
      <c r="AB1156" s="1310" t="s">
        <v>1473</v>
      </c>
      <c r="AC1156" s="1310" t="s">
        <v>1537</v>
      </c>
      <c r="AD1156" s="1310" t="s">
        <v>1481</v>
      </c>
      <c r="AE1156" s="1310" t="s">
        <v>1651</v>
      </c>
      <c r="AF1156" s="1310" t="s">
        <v>1462</v>
      </c>
    </row>
    <row r="1157" spans="1:32" x14ac:dyDescent="0.3">
      <c r="A1157" s="1310" t="s">
        <v>1477</v>
      </c>
      <c r="B1157" s="1310" t="s">
        <v>1449</v>
      </c>
      <c r="C1157" s="1310" t="s">
        <v>1490</v>
      </c>
      <c r="D1157" s="1310" t="s">
        <v>1473</v>
      </c>
      <c r="E1157" s="1310" t="s">
        <v>1591</v>
      </c>
      <c r="F1157" s="1310" t="s">
        <v>1523</v>
      </c>
      <c r="G1157" s="1310" t="s">
        <v>1652</v>
      </c>
      <c r="H1157" s="1310" t="s">
        <v>1642</v>
      </c>
      <c r="I1157" s="1310" t="s">
        <v>1030</v>
      </c>
      <c r="J1157" s="1310" t="s">
        <v>1473</v>
      </c>
      <c r="K1157" s="1310" t="s">
        <v>128</v>
      </c>
      <c r="L1157" s="1310" t="s">
        <v>126</v>
      </c>
      <c r="M1157" s="1310" t="s">
        <v>1445</v>
      </c>
      <c r="N1157" s="1310" t="s">
        <v>1568</v>
      </c>
      <c r="O1157" s="1310" t="s">
        <v>1492</v>
      </c>
      <c r="P1157" s="1310" t="s">
        <v>1501</v>
      </c>
      <c r="Q1157" s="1310" t="s">
        <v>115</v>
      </c>
      <c r="R1157" s="1310" t="s">
        <v>1480</v>
      </c>
      <c r="S1157" s="1310" t="s">
        <v>1596</v>
      </c>
      <c r="T1157" s="1310" t="s">
        <v>1566</v>
      </c>
      <c r="U1157" s="1310" t="s">
        <v>1457</v>
      </c>
      <c r="V1157" s="1310" t="s">
        <v>1537</v>
      </c>
      <c r="W1157" s="1310" t="s">
        <v>1640</v>
      </c>
      <c r="X1157" s="1310" t="s">
        <v>1655</v>
      </c>
      <c r="Y1157" s="1310" t="s">
        <v>1568</v>
      </c>
      <c r="Z1157" s="1310" t="s">
        <v>1562</v>
      </c>
      <c r="AA1157" s="1310" t="s">
        <v>1501</v>
      </c>
      <c r="AB1157" s="1310" t="s">
        <v>1491</v>
      </c>
      <c r="AC1157" s="1310" t="s">
        <v>1640</v>
      </c>
      <c r="AD1157" s="1310" t="s">
        <v>1512</v>
      </c>
      <c r="AE1157" s="1310" t="s">
        <v>1584</v>
      </c>
      <c r="AF1157" s="1310" t="s">
        <v>1485</v>
      </c>
    </row>
    <row r="1158" spans="1:32" x14ac:dyDescent="0.3">
      <c r="A1158" s="1310" t="s">
        <v>1632</v>
      </c>
      <c r="B1158" s="1310" t="s">
        <v>1585</v>
      </c>
      <c r="C1158" s="1310" t="s">
        <v>116</v>
      </c>
      <c r="D1158" s="1310" t="s">
        <v>465</v>
      </c>
      <c r="E1158" s="1310" t="s">
        <v>1639</v>
      </c>
      <c r="F1158" s="1310" t="s">
        <v>1631</v>
      </c>
      <c r="G1158" s="1310" t="s">
        <v>1496</v>
      </c>
      <c r="H1158" s="1310" t="s">
        <v>1627</v>
      </c>
      <c r="I1158" s="1310" t="s">
        <v>1602</v>
      </c>
      <c r="J1158" s="1310" t="s">
        <v>121</v>
      </c>
      <c r="K1158" s="1310" t="s">
        <v>1514</v>
      </c>
      <c r="L1158" s="1310" t="s">
        <v>1650</v>
      </c>
      <c r="M1158" s="1310" t="s">
        <v>130</v>
      </c>
      <c r="N1158" s="1310" t="s">
        <v>1516</v>
      </c>
      <c r="O1158" s="1310" t="s">
        <v>1620</v>
      </c>
      <c r="P1158" s="1310" t="s">
        <v>1499</v>
      </c>
      <c r="Q1158" s="1310" t="s">
        <v>1539</v>
      </c>
      <c r="R1158" s="1310" t="s">
        <v>1489</v>
      </c>
      <c r="S1158" s="1310" t="s">
        <v>1610</v>
      </c>
      <c r="T1158" s="1310" t="s">
        <v>1563</v>
      </c>
      <c r="U1158" s="1310" t="s">
        <v>1467</v>
      </c>
      <c r="V1158" s="1310" t="s">
        <v>1482</v>
      </c>
      <c r="W1158" s="1310" t="s">
        <v>1510</v>
      </c>
      <c r="X1158" s="1310" t="s">
        <v>1477</v>
      </c>
      <c r="Y1158" s="1310" t="s">
        <v>1641</v>
      </c>
      <c r="Z1158" s="1310" t="s">
        <v>1563</v>
      </c>
      <c r="AA1158" s="1310" t="s">
        <v>1491</v>
      </c>
      <c r="AB1158" s="1310" t="s">
        <v>1651</v>
      </c>
      <c r="AC1158" s="1310" t="s">
        <v>1486</v>
      </c>
      <c r="AD1158" s="1310" t="s">
        <v>1459</v>
      </c>
      <c r="AE1158" s="1310" t="s">
        <v>1653</v>
      </c>
      <c r="AF1158" s="1310" t="s">
        <v>1532</v>
      </c>
    </row>
    <row r="1159" spans="1:32" x14ac:dyDescent="0.3">
      <c r="A1159" s="1310" t="s">
        <v>1641</v>
      </c>
      <c r="B1159" s="1310" t="s">
        <v>1599</v>
      </c>
      <c r="C1159" s="1310" t="s">
        <v>1629</v>
      </c>
      <c r="D1159" s="1310" t="s">
        <v>1511</v>
      </c>
      <c r="E1159" s="1310" t="s">
        <v>1470</v>
      </c>
      <c r="F1159" s="1310" t="s">
        <v>1533</v>
      </c>
      <c r="G1159" s="1310" t="s">
        <v>1476</v>
      </c>
      <c r="H1159" s="1310" t="s">
        <v>1538</v>
      </c>
      <c r="I1159" s="1310" t="s">
        <v>1520</v>
      </c>
      <c r="J1159" s="1310" t="s">
        <v>1553</v>
      </c>
      <c r="K1159" s="1310" t="s">
        <v>1596</v>
      </c>
      <c r="L1159" s="1310" t="s">
        <v>111</v>
      </c>
      <c r="M1159" s="1310" t="s">
        <v>262</v>
      </c>
      <c r="N1159" s="1310" t="s">
        <v>1643</v>
      </c>
      <c r="O1159" s="1310" t="s">
        <v>1521</v>
      </c>
      <c r="P1159" s="1310" t="s">
        <v>1488</v>
      </c>
      <c r="Q1159" s="1310" t="s">
        <v>1591</v>
      </c>
      <c r="R1159" s="1310" t="s">
        <v>1585</v>
      </c>
      <c r="S1159" s="1310" t="s">
        <v>1580</v>
      </c>
      <c r="T1159" s="1310" t="s">
        <v>1595</v>
      </c>
      <c r="U1159" s="1310" t="s">
        <v>1540</v>
      </c>
      <c r="V1159" s="1310" t="s">
        <v>1509</v>
      </c>
      <c r="W1159" s="1310" t="s">
        <v>1610</v>
      </c>
      <c r="X1159" s="1310" t="s">
        <v>1533</v>
      </c>
      <c r="Y1159" s="1310" t="s">
        <v>1629</v>
      </c>
      <c r="Z1159" s="1310" t="s">
        <v>1643</v>
      </c>
      <c r="AA1159" s="1310" t="s">
        <v>129</v>
      </c>
      <c r="AB1159" s="1310" t="s">
        <v>1455</v>
      </c>
      <c r="AC1159" s="1310" t="s">
        <v>1591</v>
      </c>
      <c r="AD1159" s="1310" t="s">
        <v>1642</v>
      </c>
      <c r="AE1159" s="1310" t="s">
        <v>1648</v>
      </c>
      <c r="AF1159" s="1310" t="s">
        <v>1594</v>
      </c>
    </row>
    <row r="1160" spans="1:32" x14ac:dyDescent="0.3">
      <c r="A1160" s="1310" t="s">
        <v>1594</v>
      </c>
      <c r="B1160" s="1310" t="s">
        <v>1452</v>
      </c>
      <c r="C1160" s="1310" t="s">
        <v>120</v>
      </c>
      <c r="D1160" s="1310" t="s">
        <v>1542</v>
      </c>
      <c r="E1160" s="1310" t="s">
        <v>131</v>
      </c>
      <c r="F1160" s="1310" t="s">
        <v>1655</v>
      </c>
      <c r="G1160" s="1310" t="s">
        <v>1586</v>
      </c>
      <c r="H1160" s="1310" t="s">
        <v>1509</v>
      </c>
      <c r="I1160" s="1310" t="s">
        <v>1585</v>
      </c>
      <c r="J1160" s="1310" t="s">
        <v>1624</v>
      </c>
      <c r="K1160" s="1310" t="s">
        <v>1575</v>
      </c>
      <c r="L1160" s="1310" t="s">
        <v>1652</v>
      </c>
      <c r="M1160" s="1310" t="s">
        <v>471</v>
      </c>
      <c r="N1160" s="1310" t="s">
        <v>1452</v>
      </c>
      <c r="O1160" s="1310" t="s">
        <v>132</v>
      </c>
      <c r="P1160" s="1310" t="s">
        <v>1611</v>
      </c>
      <c r="Q1160" s="1310" t="s">
        <v>1538</v>
      </c>
      <c r="R1160" s="1310" t="s">
        <v>1605</v>
      </c>
      <c r="S1160" s="1310" t="s">
        <v>1451</v>
      </c>
      <c r="T1160" s="1310" t="s">
        <v>1632</v>
      </c>
      <c r="U1160" s="1310" t="s">
        <v>114</v>
      </c>
      <c r="V1160" s="1310" t="s">
        <v>1591</v>
      </c>
      <c r="W1160" s="1310" t="s">
        <v>1568</v>
      </c>
      <c r="X1160" s="1310" t="s">
        <v>1549</v>
      </c>
      <c r="Y1160" s="1310" t="s">
        <v>1632</v>
      </c>
      <c r="Z1160" s="1310" t="s">
        <v>1591</v>
      </c>
      <c r="AA1160" s="1310" t="s">
        <v>1455</v>
      </c>
      <c r="AB1160" s="1310" t="s">
        <v>1616</v>
      </c>
      <c r="AC1160" s="1310" t="s">
        <v>1560</v>
      </c>
      <c r="AD1160" s="1310" t="s">
        <v>1443</v>
      </c>
      <c r="AE1160" s="1310" t="s">
        <v>1450</v>
      </c>
      <c r="AF1160" s="1310" t="s">
        <v>1478</v>
      </c>
    </row>
    <row r="1161" spans="1:32" x14ac:dyDescent="0.3">
      <c r="A1161" s="1310" t="s">
        <v>1475</v>
      </c>
      <c r="B1161" s="1310" t="s">
        <v>1530</v>
      </c>
      <c r="C1161" s="1310" t="s">
        <v>1498</v>
      </c>
      <c r="D1161" s="1310" t="s">
        <v>1473</v>
      </c>
      <c r="E1161" s="1310" t="s">
        <v>1577</v>
      </c>
      <c r="F1161" s="1310" t="s">
        <v>1563</v>
      </c>
      <c r="G1161" s="1310" t="s">
        <v>1572</v>
      </c>
      <c r="H1161" s="1310" t="s">
        <v>1576</v>
      </c>
      <c r="I1161" s="1310" t="s">
        <v>124</v>
      </c>
      <c r="J1161" s="1310" t="s">
        <v>1457</v>
      </c>
      <c r="K1161" s="1310" t="s">
        <v>1456</v>
      </c>
      <c r="L1161" s="1310" t="s">
        <v>1455</v>
      </c>
      <c r="M1161" s="1310" t="s">
        <v>133</v>
      </c>
      <c r="N1161" s="1310" t="s">
        <v>1614</v>
      </c>
      <c r="O1161" s="1310" t="s">
        <v>1654</v>
      </c>
      <c r="P1161" s="1310" t="s">
        <v>1623</v>
      </c>
      <c r="Q1161" s="1310" t="s">
        <v>113</v>
      </c>
      <c r="R1161" s="1310" t="s">
        <v>1577</v>
      </c>
      <c r="S1161" s="1310" t="s">
        <v>1494</v>
      </c>
      <c r="T1161" s="1310" t="s">
        <v>1578</v>
      </c>
      <c r="U1161" s="1310" t="s">
        <v>1560</v>
      </c>
      <c r="V1161" s="1310" t="s">
        <v>1604</v>
      </c>
      <c r="W1161" s="1310" t="s">
        <v>1481</v>
      </c>
      <c r="X1161" s="1310" t="s">
        <v>1620</v>
      </c>
      <c r="Y1161" s="1310" t="s">
        <v>1474</v>
      </c>
      <c r="Z1161" s="1310" t="s">
        <v>1546</v>
      </c>
      <c r="AA1161" s="1310" t="s">
        <v>1647</v>
      </c>
      <c r="AB1161" s="1310" t="s">
        <v>1615</v>
      </c>
      <c r="AC1161" s="1310" t="s">
        <v>1623</v>
      </c>
      <c r="AD1161" s="1310" t="s">
        <v>1597</v>
      </c>
      <c r="AE1161" s="1310" t="s">
        <v>1570</v>
      </c>
      <c r="AF1161" s="1310" t="s">
        <v>1581</v>
      </c>
    </row>
    <row r="1162" spans="1:32" x14ac:dyDescent="0.3">
      <c r="A1162" s="1310" t="s">
        <v>1636</v>
      </c>
      <c r="B1162" s="1310" t="s">
        <v>1635</v>
      </c>
      <c r="C1162" s="1310" t="s">
        <v>120</v>
      </c>
      <c r="D1162" s="1310" t="s">
        <v>1456</v>
      </c>
      <c r="E1162" s="1310" t="s">
        <v>1569</v>
      </c>
      <c r="F1162" s="1310" t="s">
        <v>117</v>
      </c>
      <c r="G1162" s="1310" t="s">
        <v>1517</v>
      </c>
      <c r="H1162" s="1310" t="s">
        <v>115</v>
      </c>
      <c r="I1162" s="1310" t="s">
        <v>1604</v>
      </c>
      <c r="J1162" s="1310" t="s">
        <v>120</v>
      </c>
      <c r="K1162" s="1310" t="s">
        <v>1457</v>
      </c>
      <c r="L1162" s="1310" t="s">
        <v>1629</v>
      </c>
      <c r="M1162" s="1310" t="s">
        <v>1650</v>
      </c>
      <c r="N1162" s="1310" t="s">
        <v>116</v>
      </c>
      <c r="O1162" s="1310" t="s">
        <v>1584</v>
      </c>
      <c r="P1162" s="1310" t="s">
        <v>1603</v>
      </c>
      <c r="Q1162" s="1310" t="s">
        <v>115</v>
      </c>
      <c r="R1162" s="1310" t="s">
        <v>1494</v>
      </c>
      <c r="S1162" s="1310" t="s">
        <v>1594</v>
      </c>
      <c r="T1162" s="1310" t="s">
        <v>1615</v>
      </c>
      <c r="U1162" s="1310" t="s">
        <v>128</v>
      </c>
      <c r="V1162" s="1310" t="s">
        <v>265</v>
      </c>
      <c r="W1162" s="1310" t="s">
        <v>1648</v>
      </c>
      <c r="X1162" s="1310" t="s">
        <v>1479</v>
      </c>
      <c r="Y1162" s="1310" t="s">
        <v>1648</v>
      </c>
      <c r="Z1162" s="1310" t="s">
        <v>1543</v>
      </c>
      <c r="AA1162" s="1310" t="s">
        <v>1483</v>
      </c>
      <c r="AB1162" s="1310" t="s">
        <v>1656</v>
      </c>
      <c r="AC1162" s="1310" t="s">
        <v>1488</v>
      </c>
      <c r="AD1162" s="1310" t="s">
        <v>1520</v>
      </c>
      <c r="AE1162" s="1310" t="s">
        <v>1553</v>
      </c>
      <c r="AF1162" s="1310" t="s">
        <v>1609</v>
      </c>
    </row>
    <row r="1163" spans="1:32" x14ac:dyDescent="0.3">
      <c r="A1163" s="1310" t="s">
        <v>1643</v>
      </c>
      <c r="B1163" s="1310" t="s">
        <v>1450</v>
      </c>
      <c r="C1163" s="1310" t="s">
        <v>1545</v>
      </c>
      <c r="D1163" s="1310" t="s">
        <v>1642</v>
      </c>
      <c r="E1163" s="1310" t="s">
        <v>1656</v>
      </c>
      <c r="F1163" s="1310" t="s">
        <v>1475</v>
      </c>
      <c r="G1163" s="1310" t="s">
        <v>130</v>
      </c>
      <c r="H1163" s="1310" t="s">
        <v>1545</v>
      </c>
      <c r="I1163" s="1310" t="s">
        <v>114</v>
      </c>
      <c r="J1163" s="1310" t="s">
        <v>1548</v>
      </c>
      <c r="K1163" s="1310" t="s">
        <v>270</v>
      </c>
      <c r="L1163" s="1310" t="s">
        <v>1470</v>
      </c>
      <c r="M1163" s="1310" t="s">
        <v>264</v>
      </c>
      <c r="N1163" s="1310" t="s">
        <v>471</v>
      </c>
      <c r="O1163" s="1310" t="s">
        <v>1449</v>
      </c>
      <c r="P1163" s="1310" t="s">
        <v>1532</v>
      </c>
      <c r="Q1163" s="1310" t="s">
        <v>120</v>
      </c>
      <c r="R1163" s="1310" t="s">
        <v>1482</v>
      </c>
      <c r="S1163" s="1310" t="s">
        <v>1573</v>
      </c>
      <c r="T1163" s="1310" t="s">
        <v>1472</v>
      </c>
      <c r="U1163" s="1310" t="s">
        <v>1451</v>
      </c>
      <c r="V1163" s="1310" t="s">
        <v>1554</v>
      </c>
      <c r="W1163" s="1310" t="s">
        <v>267</v>
      </c>
      <c r="X1163" s="1310" t="s">
        <v>1605</v>
      </c>
      <c r="Y1163" s="1310" t="s">
        <v>1572</v>
      </c>
      <c r="Z1163" s="1310" t="s">
        <v>1455</v>
      </c>
      <c r="AA1163" s="1310" t="s">
        <v>123</v>
      </c>
      <c r="AB1163" s="1310" t="s">
        <v>1586</v>
      </c>
      <c r="AC1163" s="1310" t="s">
        <v>1519</v>
      </c>
      <c r="AD1163" s="1310" t="s">
        <v>1529</v>
      </c>
      <c r="AE1163" s="1310" t="s">
        <v>1530</v>
      </c>
      <c r="AF1163" s="1310" t="s">
        <v>1489</v>
      </c>
    </row>
    <row r="1164" spans="1:32" x14ac:dyDescent="0.3">
      <c r="A1164" s="1310" t="s">
        <v>1610</v>
      </c>
      <c r="B1164" s="1310" t="s">
        <v>1485</v>
      </c>
      <c r="C1164" s="1310" t="s">
        <v>1030</v>
      </c>
      <c r="D1164" s="1310" t="s">
        <v>1485</v>
      </c>
      <c r="E1164" s="1310" t="s">
        <v>1572</v>
      </c>
      <c r="F1164" s="1310" t="s">
        <v>1623</v>
      </c>
      <c r="G1164" s="1310" t="s">
        <v>1525</v>
      </c>
      <c r="H1164" s="1310" t="s">
        <v>1590</v>
      </c>
      <c r="I1164" s="1310" t="s">
        <v>1490</v>
      </c>
      <c r="J1164" s="1310" t="s">
        <v>114</v>
      </c>
      <c r="K1164" s="1310" t="s">
        <v>1626</v>
      </c>
      <c r="L1164" s="1310" t="s">
        <v>1626</v>
      </c>
      <c r="M1164" s="1310" t="s">
        <v>1578</v>
      </c>
      <c r="N1164" s="1310" t="s">
        <v>1514</v>
      </c>
      <c r="O1164" s="1310" t="s">
        <v>1614</v>
      </c>
      <c r="P1164" s="1310" t="s">
        <v>1630</v>
      </c>
      <c r="Q1164" s="1310" t="s">
        <v>1543</v>
      </c>
      <c r="R1164" s="1310" t="s">
        <v>1565</v>
      </c>
      <c r="S1164" s="1310" t="s">
        <v>1652</v>
      </c>
      <c r="T1164" s="1310" t="s">
        <v>1656</v>
      </c>
      <c r="U1164" s="1310" t="s">
        <v>1473</v>
      </c>
      <c r="V1164" s="1310" t="s">
        <v>1650</v>
      </c>
      <c r="W1164" s="1310" t="s">
        <v>1531</v>
      </c>
      <c r="X1164" s="1310" t="s">
        <v>1030</v>
      </c>
      <c r="Y1164" s="1310" t="s">
        <v>1607</v>
      </c>
      <c r="Z1164" s="1310" t="s">
        <v>1583</v>
      </c>
      <c r="AA1164" s="1310" t="s">
        <v>1526</v>
      </c>
      <c r="AB1164" s="1310" t="s">
        <v>1580</v>
      </c>
      <c r="AC1164" s="1310" t="s">
        <v>1595</v>
      </c>
      <c r="AD1164" s="1310" t="s">
        <v>1605</v>
      </c>
      <c r="AE1164" s="1310" t="s">
        <v>1616</v>
      </c>
      <c r="AF1164" s="1310" t="s">
        <v>123</v>
      </c>
    </row>
    <row r="1165" spans="1:32" x14ac:dyDescent="0.3">
      <c r="A1165" s="1310" t="s">
        <v>1444</v>
      </c>
      <c r="B1165" s="1310" t="s">
        <v>1568</v>
      </c>
      <c r="C1165" s="1310" t="s">
        <v>1607</v>
      </c>
      <c r="D1165" s="1310" t="s">
        <v>1644</v>
      </c>
      <c r="E1165" s="1310" t="s">
        <v>121</v>
      </c>
      <c r="F1165" s="1310" t="s">
        <v>1622</v>
      </c>
      <c r="G1165" s="1310" t="s">
        <v>1516</v>
      </c>
      <c r="H1165" s="1310" t="s">
        <v>1588</v>
      </c>
      <c r="I1165" s="1310" t="s">
        <v>1452</v>
      </c>
      <c r="J1165" s="1310" t="s">
        <v>1555</v>
      </c>
      <c r="K1165" s="1310" t="s">
        <v>1449</v>
      </c>
      <c r="L1165" s="1310" t="s">
        <v>1523</v>
      </c>
      <c r="M1165" s="1310" t="s">
        <v>269</v>
      </c>
      <c r="N1165" s="1310" t="s">
        <v>1613</v>
      </c>
      <c r="O1165" s="1310" t="s">
        <v>117</v>
      </c>
      <c r="P1165" s="1310" t="s">
        <v>1476</v>
      </c>
      <c r="Q1165" s="1310" t="s">
        <v>1458</v>
      </c>
      <c r="R1165" s="1310" t="s">
        <v>1526</v>
      </c>
      <c r="S1165" s="1310" t="s">
        <v>1565</v>
      </c>
      <c r="T1165" s="1310" t="s">
        <v>1541</v>
      </c>
      <c r="U1165" s="1310" t="s">
        <v>266</v>
      </c>
      <c r="V1165" s="1310" t="s">
        <v>1497</v>
      </c>
      <c r="W1165" s="1310" t="s">
        <v>1509</v>
      </c>
      <c r="X1165" s="1310" t="s">
        <v>1461</v>
      </c>
      <c r="Y1165" s="1310" t="s">
        <v>1515</v>
      </c>
      <c r="Z1165" s="1310" t="s">
        <v>1486</v>
      </c>
      <c r="AA1165" s="1310" t="s">
        <v>1514</v>
      </c>
      <c r="AB1165" s="1310" t="s">
        <v>1629</v>
      </c>
      <c r="AC1165" s="1310" t="s">
        <v>133</v>
      </c>
      <c r="AD1165" s="1310" t="s">
        <v>1486</v>
      </c>
      <c r="AE1165" s="1310" t="s">
        <v>120</v>
      </c>
      <c r="AF1165" s="1310" t="s">
        <v>1650</v>
      </c>
    </row>
    <row r="1166" spans="1:32" x14ac:dyDescent="0.3">
      <c r="A1166" s="1310" t="s">
        <v>1479</v>
      </c>
      <c r="B1166" s="1310" t="s">
        <v>132</v>
      </c>
      <c r="C1166" s="1310" t="s">
        <v>112</v>
      </c>
      <c r="D1166" s="1310" t="s">
        <v>133</v>
      </c>
      <c r="E1166" s="1310" t="s">
        <v>1637</v>
      </c>
      <c r="F1166" s="1310" t="s">
        <v>1532</v>
      </c>
      <c r="G1166" s="1310" t="s">
        <v>1577</v>
      </c>
      <c r="H1166" s="1310" t="s">
        <v>1508</v>
      </c>
      <c r="I1166" s="1310" t="s">
        <v>1616</v>
      </c>
      <c r="J1166" s="1310" t="s">
        <v>1637</v>
      </c>
      <c r="K1166" s="1310" t="s">
        <v>1578</v>
      </c>
      <c r="L1166" s="1310" t="s">
        <v>1619</v>
      </c>
      <c r="M1166" s="1310" t="s">
        <v>1614</v>
      </c>
      <c r="N1166" s="1310" t="s">
        <v>1472</v>
      </c>
      <c r="O1166" s="1310" t="s">
        <v>1443</v>
      </c>
      <c r="P1166" s="1310" t="s">
        <v>1450</v>
      </c>
      <c r="Q1166" s="1310" t="s">
        <v>1629</v>
      </c>
      <c r="R1166" s="1310" t="s">
        <v>1553</v>
      </c>
      <c r="S1166" s="1310" t="s">
        <v>1468</v>
      </c>
      <c r="T1166" s="1310" t="s">
        <v>126</v>
      </c>
      <c r="U1166" s="1310" t="s">
        <v>1633</v>
      </c>
      <c r="V1166" s="1310" t="s">
        <v>1648</v>
      </c>
      <c r="W1166" s="1310" t="s">
        <v>1517</v>
      </c>
      <c r="X1166" s="1310" t="s">
        <v>1535</v>
      </c>
      <c r="Y1166" s="1310" t="s">
        <v>1583</v>
      </c>
      <c r="Z1166" s="1310" t="s">
        <v>1556</v>
      </c>
      <c r="AA1166" s="1310" t="s">
        <v>1492</v>
      </c>
      <c r="AB1166" s="1310" t="s">
        <v>465</v>
      </c>
      <c r="AC1166" s="1310" t="s">
        <v>1578</v>
      </c>
      <c r="AD1166" s="1310" t="s">
        <v>6</v>
      </c>
      <c r="AE1166" s="1310" t="s">
        <v>1521</v>
      </c>
      <c r="AF1166" s="1310" t="s">
        <v>131</v>
      </c>
    </row>
    <row r="1167" spans="1:32" x14ac:dyDescent="0.3">
      <c r="A1167" s="1310" t="s">
        <v>124</v>
      </c>
      <c r="B1167" s="1310" t="s">
        <v>1573</v>
      </c>
      <c r="C1167" s="1310" t="s">
        <v>1500</v>
      </c>
      <c r="D1167" s="1310" t="s">
        <v>471</v>
      </c>
      <c r="E1167" s="1310" t="s">
        <v>113</v>
      </c>
      <c r="F1167" s="1310" t="s">
        <v>1629</v>
      </c>
      <c r="G1167" s="1310" t="s">
        <v>1557</v>
      </c>
      <c r="H1167" s="1310" t="s">
        <v>1655</v>
      </c>
      <c r="I1167" s="1310" t="s">
        <v>1465</v>
      </c>
      <c r="J1167" s="1310" t="s">
        <v>1659</v>
      </c>
      <c r="K1167" s="1310" t="s">
        <v>1526</v>
      </c>
      <c r="L1167" s="1310" t="s">
        <v>1488</v>
      </c>
      <c r="M1167" s="1310" t="s">
        <v>1493</v>
      </c>
      <c r="N1167" s="1310" t="s">
        <v>1582</v>
      </c>
      <c r="O1167" s="1310" t="s">
        <v>1511</v>
      </c>
      <c r="P1167" s="1310" t="s">
        <v>1546</v>
      </c>
      <c r="Q1167" s="1310" t="s">
        <v>1572</v>
      </c>
      <c r="R1167" s="1310" t="s">
        <v>1490</v>
      </c>
      <c r="S1167" s="1310" t="s">
        <v>1590</v>
      </c>
      <c r="T1167" s="1310" t="s">
        <v>1568</v>
      </c>
      <c r="U1167" s="1310" t="s">
        <v>130</v>
      </c>
      <c r="V1167" s="1310" t="s">
        <v>1531</v>
      </c>
      <c r="W1167" s="1310" t="s">
        <v>1523</v>
      </c>
      <c r="X1167" s="1310" t="s">
        <v>1572</v>
      </c>
      <c r="Y1167" s="1310" t="s">
        <v>116</v>
      </c>
      <c r="Z1167" s="1310" t="s">
        <v>1616</v>
      </c>
      <c r="AA1167" s="1310" t="s">
        <v>1570</v>
      </c>
      <c r="AB1167" s="1310" t="s">
        <v>1595</v>
      </c>
      <c r="AC1167" s="1310" t="s">
        <v>1620</v>
      </c>
      <c r="AD1167" s="1310" t="s">
        <v>1620</v>
      </c>
      <c r="AE1167" s="1310" t="s">
        <v>1621</v>
      </c>
      <c r="AF1167" s="1310" t="s">
        <v>1617</v>
      </c>
    </row>
    <row r="1168" spans="1:32" x14ac:dyDescent="0.3">
      <c r="A1168" s="1310" t="s">
        <v>1621</v>
      </c>
      <c r="B1168" s="1310" t="s">
        <v>1499</v>
      </c>
      <c r="C1168" s="1310" t="s">
        <v>1501</v>
      </c>
      <c r="D1168" s="1310" t="s">
        <v>1590</v>
      </c>
      <c r="E1168" s="1310" t="s">
        <v>1593</v>
      </c>
      <c r="F1168" s="1310" t="s">
        <v>1647</v>
      </c>
      <c r="G1168" s="1310" t="s">
        <v>1570</v>
      </c>
      <c r="H1168" s="1310" t="s">
        <v>1459</v>
      </c>
      <c r="I1168" s="1310" t="s">
        <v>1587</v>
      </c>
      <c r="J1168" s="1310" t="s">
        <v>1464</v>
      </c>
      <c r="K1168" s="1310" t="s">
        <v>1566</v>
      </c>
      <c r="L1168" s="1310" t="s">
        <v>1613</v>
      </c>
      <c r="M1168" s="1310" t="s">
        <v>1501</v>
      </c>
      <c r="N1168" s="1310" t="s">
        <v>126</v>
      </c>
      <c r="O1168" s="1310" t="s">
        <v>1568</v>
      </c>
      <c r="P1168" s="1310" t="s">
        <v>1636</v>
      </c>
      <c r="Q1168" s="1310" t="s">
        <v>1489</v>
      </c>
      <c r="R1168" s="1310" t="s">
        <v>1569</v>
      </c>
      <c r="S1168" s="1310" t="s">
        <v>1510</v>
      </c>
      <c r="T1168" s="1310" t="s">
        <v>1566</v>
      </c>
      <c r="U1168" s="1310" t="s">
        <v>123</v>
      </c>
      <c r="V1168" s="1310" t="s">
        <v>1549</v>
      </c>
      <c r="W1168" s="1310" t="s">
        <v>1511</v>
      </c>
      <c r="X1168" s="1310" t="s">
        <v>1568</v>
      </c>
      <c r="Y1168" s="1310" t="s">
        <v>1571</v>
      </c>
      <c r="Z1168" s="1310" t="s">
        <v>1554</v>
      </c>
      <c r="AA1168" s="1310" t="s">
        <v>133</v>
      </c>
      <c r="AB1168" s="1310" t="s">
        <v>1463</v>
      </c>
      <c r="AC1168" s="1310" t="s">
        <v>1598</v>
      </c>
      <c r="AD1168" s="1310" t="s">
        <v>1563</v>
      </c>
      <c r="AE1168" s="1310" t="s">
        <v>1609</v>
      </c>
      <c r="AF1168" s="1310" t="s">
        <v>1504</v>
      </c>
    </row>
    <row r="1169" spans="1:32" x14ac:dyDescent="0.3">
      <c r="A1169" s="1310" t="s">
        <v>1512</v>
      </c>
      <c r="B1169" s="1310" t="s">
        <v>1648</v>
      </c>
      <c r="C1169" s="1310" t="s">
        <v>1487</v>
      </c>
      <c r="D1169" s="1310" t="s">
        <v>1603</v>
      </c>
      <c r="E1169" s="1310" t="s">
        <v>1622</v>
      </c>
      <c r="F1169" s="1310" t="s">
        <v>1601</v>
      </c>
      <c r="G1169" s="1310" t="s">
        <v>1443</v>
      </c>
      <c r="H1169" s="1310" t="s">
        <v>1450</v>
      </c>
      <c r="I1169" s="1310" t="s">
        <v>1612</v>
      </c>
      <c r="J1169" s="1310" t="s">
        <v>1551</v>
      </c>
      <c r="K1169" s="1310" t="s">
        <v>1622</v>
      </c>
      <c r="L1169" s="1310" t="s">
        <v>1525</v>
      </c>
      <c r="M1169" s="1310" t="s">
        <v>1636</v>
      </c>
      <c r="N1169" s="1310" t="s">
        <v>1455</v>
      </c>
      <c r="O1169" s="1310" t="s">
        <v>1492</v>
      </c>
      <c r="P1169" s="1310" t="s">
        <v>1603</v>
      </c>
      <c r="Q1169" s="1310" t="s">
        <v>1612</v>
      </c>
      <c r="R1169" s="1310" t="s">
        <v>1545</v>
      </c>
      <c r="S1169" s="1310" t="s">
        <v>471</v>
      </c>
      <c r="T1169" s="1310" t="s">
        <v>1479</v>
      </c>
      <c r="U1169" s="1310" t="s">
        <v>1030</v>
      </c>
      <c r="V1169" s="1310" t="s">
        <v>1531</v>
      </c>
      <c r="W1169" s="1310" t="s">
        <v>1490</v>
      </c>
      <c r="X1169" s="1310" t="s">
        <v>1636</v>
      </c>
      <c r="Y1169" s="1310" t="s">
        <v>1571</v>
      </c>
      <c r="Z1169" s="1310" t="s">
        <v>1530</v>
      </c>
      <c r="AA1169" s="1310" t="s">
        <v>1503</v>
      </c>
      <c r="AB1169" s="1310" t="s">
        <v>1568</v>
      </c>
      <c r="AC1169" s="1310" t="s">
        <v>1571</v>
      </c>
      <c r="AD1169" s="1310" t="s">
        <v>1640</v>
      </c>
      <c r="AE1169" s="1310" t="s">
        <v>1559</v>
      </c>
      <c r="AF1169" s="1310" t="s">
        <v>1499</v>
      </c>
    </row>
    <row r="1170" spans="1:32" x14ac:dyDescent="0.3">
      <c r="A1170" s="1310" t="s">
        <v>1624</v>
      </c>
      <c r="B1170" s="1310" t="s">
        <v>1519</v>
      </c>
      <c r="C1170" s="1310" t="s">
        <v>1612</v>
      </c>
      <c r="D1170" s="1310" t="s">
        <v>471</v>
      </c>
      <c r="E1170" s="1310" t="s">
        <v>1657</v>
      </c>
      <c r="F1170" s="1310" t="s">
        <v>1607</v>
      </c>
      <c r="G1170" s="1310" t="s">
        <v>1495</v>
      </c>
      <c r="H1170" s="1310" t="s">
        <v>1598</v>
      </c>
      <c r="I1170" s="1310" t="s">
        <v>1512</v>
      </c>
      <c r="J1170" s="1310" t="s">
        <v>114</v>
      </c>
      <c r="K1170" s="1310" t="s">
        <v>1488</v>
      </c>
      <c r="L1170" s="1310" t="s">
        <v>1505</v>
      </c>
      <c r="M1170" s="1310" t="s">
        <v>1575</v>
      </c>
      <c r="N1170" s="1310" t="s">
        <v>1529</v>
      </c>
      <c r="O1170" s="1310" t="s">
        <v>1501</v>
      </c>
      <c r="P1170" s="1310" t="s">
        <v>1630</v>
      </c>
      <c r="Q1170" s="1310" t="s">
        <v>1577</v>
      </c>
      <c r="R1170" s="1310" t="s">
        <v>1583</v>
      </c>
      <c r="S1170" s="1310" t="s">
        <v>1551</v>
      </c>
      <c r="T1170" s="1310" t="s">
        <v>1571</v>
      </c>
      <c r="U1170" s="1310" t="s">
        <v>1468</v>
      </c>
      <c r="V1170" s="1310" t="s">
        <v>128</v>
      </c>
      <c r="W1170" s="1310" t="s">
        <v>1594</v>
      </c>
      <c r="X1170" s="1310" t="s">
        <v>1591</v>
      </c>
      <c r="Y1170" s="1310" t="s">
        <v>1622</v>
      </c>
      <c r="Z1170" s="1310" t="s">
        <v>1633</v>
      </c>
      <c r="AA1170" s="1310" t="s">
        <v>1561</v>
      </c>
      <c r="AB1170" s="1310" t="s">
        <v>1654</v>
      </c>
      <c r="AC1170" s="1310" t="s">
        <v>1573</v>
      </c>
      <c r="AD1170" s="1310" t="s">
        <v>1503</v>
      </c>
      <c r="AE1170" s="1310" t="s">
        <v>1605</v>
      </c>
      <c r="AF1170" s="1310" t="s">
        <v>1632</v>
      </c>
    </row>
    <row r="1171" spans="1:32" x14ac:dyDescent="0.3">
      <c r="A1171" s="1310" t="s">
        <v>1486</v>
      </c>
      <c r="B1171" s="1310" t="s">
        <v>1551</v>
      </c>
      <c r="C1171" s="1310" t="s">
        <v>131</v>
      </c>
      <c r="D1171" s="1310" t="s">
        <v>1533</v>
      </c>
      <c r="E1171" s="1310" t="s">
        <v>1593</v>
      </c>
      <c r="F1171" s="1310" t="s">
        <v>1449</v>
      </c>
      <c r="G1171" s="1310" t="s">
        <v>1477</v>
      </c>
      <c r="H1171" s="1310" t="s">
        <v>1513</v>
      </c>
      <c r="I1171" s="1310" t="s">
        <v>1463</v>
      </c>
      <c r="J1171" s="1310" t="s">
        <v>1496</v>
      </c>
      <c r="K1171" s="1310" t="s">
        <v>1571</v>
      </c>
      <c r="L1171" s="1310" t="s">
        <v>1565</v>
      </c>
      <c r="M1171" s="1310" t="s">
        <v>1471</v>
      </c>
      <c r="N1171" s="1310" t="s">
        <v>1579</v>
      </c>
      <c r="O1171" s="1310" t="s">
        <v>1536</v>
      </c>
      <c r="P1171" s="1310" t="s">
        <v>1606</v>
      </c>
      <c r="Q1171" s="1310" t="s">
        <v>126</v>
      </c>
      <c r="R1171" s="1310" t="s">
        <v>1449</v>
      </c>
      <c r="S1171" s="1310" t="s">
        <v>1460</v>
      </c>
      <c r="T1171" s="1310" t="s">
        <v>1648</v>
      </c>
      <c r="U1171" s="1310" t="s">
        <v>1499</v>
      </c>
      <c r="V1171" s="1310" t="s">
        <v>1484</v>
      </c>
      <c r="W1171" s="1310" t="s">
        <v>1549</v>
      </c>
      <c r="X1171" s="1310" t="s">
        <v>1632</v>
      </c>
      <c r="Y1171" s="1310" t="s">
        <v>1632</v>
      </c>
      <c r="Z1171" s="1310" t="s">
        <v>1651</v>
      </c>
      <c r="AA1171" s="1310" t="s">
        <v>1642</v>
      </c>
      <c r="AB1171" s="1310" t="s">
        <v>131</v>
      </c>
      <c r="AC1171" s="1310" t="s">
        <v>269</v>
      </c>
      <c r="AD1171" s="1310" t="s">
        <v>1483</v>
      </c>
      <c r="AE1171" s="1310" t="s">
        <v>112</v>
      </c>
      <c r="AF1171" s="1310" t="s">
        <v>1446</v>
      </c>
    </row>
    <row r="1172" spans="1:32" x14ac:dyDescent="0.3">
      <c r="A1172" s="1310" t="s">
        <v>1541</v>
      </c>
      <c r="B1172" s="1310" t="s">
        <v>1562</v>
      </c>
      <c r="C1172" s="1310" t="s">
        <v>1569</v>
      </c>
      <c r="D1172" s="1310" t="s">
        <v>1606</v>
      </c>
      <c r="E1172" s="1310" t="s">
        <v>1443</v>
      </c>
      <c r="F1172" s="1310" t="s">
        <v>1450</v>
      </c>
      <c r="G1172" s="1310" t="s">
        <v>1654</v>
      </c>
      <c r="H1172" s="1310" t="s">
        <v>1655</v>
      </c>
      <c r="I1172" s="1310" t="s">
        <v>1595</v>
      </c>
      <c r="J1172" s="1310" t="s">
        <v>1561</v>
      </c>
      <c r="K1172" s="1310" t="s">
        <v>1499</v>
      </c>
      <c r="L1172" s="1310" t="s">
        <v>1619</v>
      </c>
      <c r="M1172" s="1310" t="s">
        <v>120</v>
      </c>
      <c r="N1172" s="1310" t="s">
        <v>1619</v>
      </c>
      <c r="O1172" s="1310" t="s">
        <v>132</v>
      </c>
      <c r="P1172" s="1310" t="s">
        <v>1486</v>
      </c>
      <c r="Q1172" s="1310" t="s">
        <v>1464</v>
      </c>
      <c r="R1172" s="1310" t="s">
        <v>1474</v>
      </c>
      <c r="S1172" s="1310" t="s">
        <v>1591</v>
      </c>
      <c r="T1172" s="1310" t="s">
        <v>1457</v>
      </c>
      <c r="U1172" s="1310" t="s">
        <v>1463</v>
      </c>
      <c r="V1172" s="1310" t="s">
        <v>1457</v>
      </c>
      <c r="W1172" s="1310" t="s">
        <v>1606</v>
      </c>
      <c r="X1172" s="1310" t="s">
        <v>1499</v>
      </c>
      <c r="Y1172" s="1310" t="s">
        <v>1535</v>
      </c>
      <c r="Z1172" s="1310" t="s">
        <v>1629</v>
      </c>
      <c r="AA1172" s="1310" t="s">
        <v>1459</v>
      </c>
      <c r="AB1172" s="1310" t="s">
        <v>1613</v>
      </c>
      <c r="AC1172" s="1310" t="s">
        <v>1602</v>
      </c>
      <c r="AD1172" s="1310" t="s">
        <v>1515</v>
      </c>
      <c r="AE1172" s="1310" t="s">
        <v>118</v>
      </c>
      <c r="AF1172" s="1310" t="s">
        <v>1526</v>
      </c>
    </row>
    <row r="1173" spans="1:32" x14ac:dyDescent="0.3">
      <c r="A1173" s="1310" t="s">
        <v>1497</v>
      </c>
      <c r="B1173" s="1310" t="s">
        <v>118</v>
      </c>
      <c r="C1173" s="1310" t="s">
        <v>1528</v>
      </c>
      <c r="D1173" s="1310" t="s">
        <v>1477</v>
      </c>
      <c r="E1173" s="1310" t="s">
        <v>1573</v>
      </c>
      <c r="F1173" s="1310" t="s">
        <v>1452</v>
      </c>
      <c r="G1173" s="1310" t="s">
        <v>115</v>
      </c>
      <c r="H1173" s="1310" t="s">
        <v>465</v>
      </c>
      <c r="I1173" s="1310" t="s">
        <v>1616</v>
      </c>
      <c r="J1173" s="1310" t="s">
        <v>1556</v>
      </c>
      <c r="K1173" s="1310" t="s">
        <v>1484</v>
      </c>
      <c r="L1173" s="1310" t="s">
        <v>1517</v>
      </c>
      <c r="M1173" s="1310" t="s">
        <v>1448</v>
      </c>
      <c r="N1173" s="1310" t="s">
        <v>1465</v>
      </c>
      <c r="O1173" s="1310" t="s">
        <v>1511</v>
      </c>
      <c r="P1173" s="1310" t="s">
        <v>1445</v>
      </c>
      <c r="Q1173" s="1310" t="s">
        <v>1656</v>
      </c>
      <c r="R1173" s="1310" t="s">
        <v>1570</v>
      </c>
      <c r="S1173" s="1310" t="s">
        <v>1634</v>
      </c>
      <c r="T1173" s="1310" t="s">
        <v>1656</v>
      </c>
      <c r="U1173" s="1310" t="s">
        <v>1607</v>
      </c>
      <c r="V1173" s="1310" t="s">
        <v>1459</v>
      </c>
      <c r="W1173" s="1310" t="s">
        <v>1660</v>
      </c>
      <c r="X1173" s="1310" t="s">
        <v>1523</v>
      </c>
      <c r="Y1173" s="1310" t="s">
        <v>1453</v>
      </c>
      <c r="Z1173" s="1310" t="s">
        <v>1459</v>
      </c>
      <c r="AA1173" s="1310" t="s">
        <v>1551</v>
      </c>
      <c r="AB1173" s="1310" t="s">
        <v>1612</v>
      </c>
      <c r="AC1173" s="1310" t="s">
        <v>1636</v>
      </c>
      <c r="AD1173" s="1310" t="s">
        <v>1645</v>
      </c>
      <c r="AE1173" s="1310" t="s">
        <v>132</v>
      </c>
      <c r="AF1173" s="1310" t="s">
        <v>1602</v>
      </c>
    </row>
    <row r="1174" spans="1:32" x14ac:dyDescent="0.3">
      <c r="A1174" s="1310" t="s">
        <v>1540</v>
      </c>
      <c r="B1174" s="1310" t="s">
        <v>1580</v>
      </c>
      <c r="C1174" s="1310" t="s">
        <v>1607</v>
      </c>
      <c r="D1174" s="1310" t="s">
        <v>1514</v>
      </c>
      <c r="E1174" s="1310" t="s">
        <v>1443</v>
      </c>
      <c r="F1174" s="1310" t="s">
        <v>1450</v>
      </c>
      <c r="G1174" s="1310" t="s">
        <v>1539</v>
      </c>
      <c r="H1174" s="1310" t="s">
        <v>1473</v>
      </c>
      <c r="I1174" s="1310" t="s">
        <v>1463</v>
      </c>
      <c r="J1174" s="1310" t="s">
        <v>1443</v>
      </c>
      <c r="K1174" s="1310" t="s">
        <v>1450</v>
      </c>
      <c r="L1174" s="1310" t="s">
        <v>1573</v>
      </c>
      <c r="M1174" s="1310" t="s">
        <v>1468</v>
      </c>
      <c r="N1174" s="1310" t="s">
        <v>1594</v>
      </c>
      <c r="O1174" s="1310" t="s">
        <v>121</v>
      </c>
      <c r="P1174" s="1310" t="s">
        <v>1635</v>
      </c>
      <c r="Q1174" s="1310" t="s">
        <v>1579</v>
      </c>
      <c r="R1174" s="1310" t="s">
        <v>1483</v>
      </c>
      <c r="S1174" s="1310" t="s">
        <v>1482</v>
      </c>
      <c r="T1174" s="1310" t="s">
        <v>1609</v>
      </c>
      <c r="U1174" s="1310" t="s">
        <v>465</v>
      </c>
      <c r="V1174" s="1310" t="s">
        <v>1622</v>
      </c>
      <c r="W1174" s="1310" t="s">
        <v>1649</v>
      </c>
      <c r="X1174" s="1310" t="s">
        <v>1520</v>
      </c>
      <c r="Y1174" s="1310" t="s">
        <v>1523</v>
      </c>
      <c r="Z1174" s="1310" t="s">
        <v>1633</v>
      </c>
      <c r="AA1174" s="1310" t="s">
        <v>1490</v>
      </c>
      <c r="AB1174" s="1310" t="s">
        <v>113</v>
      </c>
      <c r="AC1174" s="1310" t="s">
        <v>1628</v>
      </c>
      <c r="AD1174" s="1310" t="s">
        <v>117</v>
      </c>
      <c r="AE1174" s="1310" t="s">
        <v>1567</v>
      </c>
      <c r="AF1174" s="1310" t="s">
        <v>1544</v>
      </c>
    </row>
    <row r="1175" spans="1:32" x14ac:dyDescent="0.3">
      <c r="A1175" s="1310" t="s">
        <v>1490</v>
      </c>
      <c r="B1175" s="1310" t="s">
        <v>1628</v>
      </c>
      <c r="C1175" s="1310" t="s">
        <v>1458</v>
      </c>
      <c r="D1175" s="1310" t="s">
        <v>1546</v>
      </c>
      <c r="E1175" s="1310" t="s">
        <v>1630</v>
      </c>
      <c r="F1175" s="1310" t="s">
        <v>112</v>
      </c>
      <c r="G1175" s="1310" t="s">
        <v>1521</v>
      </c>
      <c r="H1175" s="1310" t="s">
        <v>1543</v>
      </c>
      <c r="I1175" s="1310" t="s">
        <v>1552</v>
      </c>
      <c r="J1175" s="1310" t="s">
        <v>1483</v>
      </c>
      <c r="K1175" s="1310" t="s">
        <v>128</v>
      </c>
      <c r="L1175" s="1310" t="s">
        <v>1639</v>
      </c>
      <c r="M1175" s="1310" t="s">
        <v>1546</v>
      </c>
      <c r="N1175" s="1310" t="s">
        <v>119</v>
      </c>
      <c r="O1175" s="1310" t="s">
        <v>1570</v>
      </c>
      <c r="P1175" s="1310" t="s">
        <v>1608</v>
      </c>
      <c r="Q1175" s="1310" t="s">
        <v>1543</v>
      </c>
      <c r="R1175" s="1310" t="s">
        <v>131</v>
      </c>
      <c r="S1175" s="1310" t="s">
        <v>1645</v>
      </c>
      <c r="T1175" s="1310" t="s">
        <v>1594</v>
      </c>
      <c r="U1175" s="1310" t="s">
        <v>1635</v>
      </c>
      <c r="V1175" s="1310" t="s">
        <v>1660</v>
      </c>
      <c r="W1175" s="1310" t="s">
        <v>1565</v>
      </c>
      <c r="X1175" s="1310" t="s">
        <v>1492</v>
      </c>
      <c r="Y1175" s="1310" t="s">
        <v>1468</v>
      </c>
      <c r="Z1175" s="1310" t="s">
        <v>1461</v>
      </c>
      <c r="AA1175" s="1310" t="s">
        <v>1599</v>
      </c>
      <c r="AB1175" s="1310" t="s">
        <v>1557</v>
      </c>
      <c r="AC1175" s="1310" t="s">
        <v>1591</v>
      </c>
      <c r="AD1175" s="1310" t="s">
        <v>110</v>
      </c>
      <c r="AE1175" s="1310" t="s">
        <v>1638</v>
      </c>
      <c r="AF1175" s="1310" t="s">
        <v>121</v>
      </c>
    </row>
    <row r="1176" spans="1:32" x14ac:dyDescent="0.3">
      <c r="A1176" s="1310" t="s">
        <v>1563</v>
      </c>
      <c r="B1176" s="1310" t="s">
        <v>1504</v>
      </c>
      <c r="C1176" s="1310" t="s">
        <v>1547</v>
      </c>
      <c r="D1176" s="1310" t="s">
        <v>1566</v>
      </c>
      <c r="E1176" s="1310" t="s">
        <v>1653</v>
      </c>
      <c r="F1176" s="1310" t="s">
        <v>1525</v>
      </c>
      <c r="G1176" s="1310" t="s">
        <v>1549</v>
      </c>
      <c r="H1176" s="1310" t="s">
        <v>1655</v>
      </c>
      <c r="I1176" s="1310" t="s">
        <v>1461</v>
      </c>
      <c r="J1176" s="1310" t="s">
        <v>270</v>
      </c>
      <c r="K1176" s="1310" t="s">
        <v>1525</v>
      </c>
      <c r="L1176" s="1310" t="s">
        <v>1594</v>
      </c>
      <c r="M1176" s="1310" t="s">
        <v>267</v>
      </c>
      <c r="N1176" s="1310" t="s">
        <v>1619</v>
      </c>
      <c r="O1176" s="1310" t="s">
        <v>1653</v>
      </c>
      <c r="P1176" s="1310" t="s">
        <v>1598</v>
      </c>
      <c r="Q1176" s="1310" t="s">
        <v>1648</v>
      </c>
      <c r="R1176" s="1310" t="s">
        <v>1532</v>
      </c>
      <c r="S1176" s="1310" t="s">
        <v>1463</v>
      </c>
      <c r="T1176" s="1310" t="s">
        <v>1446</v>
      </c>
      <c r="U1176" s="1310" t="s">
        <v>1494</v>
      </c>
      <c r="V1176" s="1310" t="s">
        <v>1563</v>
      </c>
      <c r="W1176" s="1310" t="s">
        <v>1470</v>
      </c>
      <c r="X1176" s="1310" t="s">
        <v>1511</v>
      </c>
      <c r="Y1176" s="1310" t="s">
        <v>1561</v>
      </c>
      <c r="Z1176" s="1310" t="s">
        <v>1463</v>
      </c>
      <c r="AA1176" s="1310" t="s">
        <v>1494</v>
      </c>
      <c r="AB1176" s="1310" t="s">
        <v>1456</v>
      </c>
      <c r="AC1176" s="1310" t="s">
        <v>113</v>
      </c>
      <c r="AD1176" s="1310" t="s">
        <v>1635</v>
      </c>
      <c r="AE1176" s="1310" t="s">
        <v>1027</v>
      </c>
      <c r="AF1176" s="1310" t="s">
        <v>269</v>
      </c>
    </row>
    <row r="1177" spans="1:32" x14ac:dyDescent="0.3">
      <c r="A1177" s="1310" t="s">
        <v>1465</v>
      </c>
      <c r="B1177" s="1310" t="s">
        <v>126</v>
      </c>
      <c r="C1177" s="1310" t="s">
        <v>1457</v>
      </c>
      <c r="D1177" s="1310" t="s">
        <v>133</v>
      </c>
      <c r="E1177" s="1310" t="s">
        <v>1606</v>
      </c>
      <c r="F1177" s="1310" t="s">
        <v>1552</v>
      </c>
      <c r="G1177" s="1310" t="s">
        <v>1574</v>
      </c>
      <c r="H1177" s="1310" t="s">
        <v>1601</v>
      </c>
      <c r="I1177" s="1310" t="s">
        <v>1631</v>
      </c>
      <c r="J1177" s="1310" t="s">
        <v>131</v>
      </c>
      <c r="K1177" s="1310" t="s">
        <v>1641</v>
      </c>
      <c r="L1177" s="1310" t="s">
        <v>1563</v>
      </c>
      <c r="M1177" s="1310" t="s">
        <v>1606</v>
      </c>
      <c r="N1177" s="1310" t="s">
        <v>1610</v>
      </c>
      <c r="O1177" s="1310" t="s">
        <v>1030</v>
      </c>
      <c r="P1177" s="1310" t="s">
        <v>128</v>
      </c>
      <c r="Q1177" s="1310" t="s">
        <v>1580</v>
      </c>
      <c r="R1177" s="1310" t="s">
        <v>1570</v>
      </c>
      <c r="S1177" s="1310" t="s">
        <v>1580</v>
      </c>
      <c r="T1177" s="1310" t="s">
        <v>1606</v>
      </c>
      <c r="U1177" s="1310" t="s">
        <v>112</v>
      </c>
      <c r="V1177" s="1310" t="s">
        <v>1468</v>
      </c>
      <c r="W1177" s="1310" t="s">
        <v>1639</v>
      </c>
      <c r="X1177" s="1310" t="s">
        <v>131</v>
      </c>
      <c r="Y1177" s="1310" t="s">
        <v>1598</v>
      </c>
      <c r="Z1177" s="1310" t="s">
        <v>133</v>
      </c>
      <c r="AA1177" s="1310" t="s">
        <v>1632</v>
      </c>
      <c r="AB1177" s="1310" t="s">
        <v>1556</v>
      </c>
      <c r="AC1177" s="1310" t="s">
        <v>1613</v>
      </c>
      <c r="AD1177" s="1310" t="s">
        <v>1501</v>
      </c>
      <c r="AE1177" s="1310" t="s">
        <v>1529</v>
      </c>
      <c r="AF1177" s="1310" t="s">
        <v>130</v>
      </c>
    </row>
    <row r="1178" spans="1:32" x14ac:dyDescent="0.3">
      <c r="A1178" s="1310" t="s">
        <v>1479</v>
      </c>
      <c r="B1178" s="1310" t="s">
        <v>266</v>
      </c>
      <c r="C1178" s="1310" t="s">
        <v>1634</v>
      </c>
      <c r="D1178" s="1310" t="s">
        <v>1493</v>
      </c>
      <c r="E1178" s="1310" t="s">
        <v>1579</v>
      </c>
      <c r="F1178" s="1310" t="s">
        <v>1475</v>
      </c>
      <c r="G1178" s="1310" t="s">
        <v>1558</v>
      </c>
      <c r="H1178" s="1310" t="s">
        <v>1465</v>
      </c>
      <c r="I1178" s="1310" t="s">
        <v>1498</v>
      </c>
      <c r="J1178" s="1310" t="s">
        <v>1492</v>
      </c>
      <c r="K1178" s="1310" t="s">
        <v>111</v>
      </c>
      <c r="L1178" s="1310" t="s">
        <v>1556</v>
      </c>
      <c r="M1178" s="1310" t="s">
        <v>122</v>
      </c>
      <c r="N1178" s="1310" t="s">
        <v>1643</v>
      </c>
      <c r="O1178" s="1310" t="s">
        <v>1470</v>
      </c>
      <c r="P1178" s="1310" t="s">
        <v>1485</v>
      </c>
      <c r="Q1178" s="1310" t="s">
        <v>1523</v>
      </c>
      <c r="R1178" s="1310" t="s">
        <v>1547</v>
      </c>
      <c r="S1178" s="1310" t="s">
        <v>1474</v>
      </c>
      <c r="T1178" s="1310" t="s">
        <v>1538</v>
      </c>
      <c r="U1178" s="1310" t="s">
        <v>1549</v>
      </c>
      <c r="V1178" s="1310" t="s">
        <v>1521</v>
      </c>
      <c r="W1178" s="1310" t="s">
        <v>1525</v>
      </c>
      <c r="X1178" s="1310" t="s">
        <v>1648</v>
      </c>
      <c r="Y1178" s="1310" t="s">
        <v>131</v>
      </c>
      <c r="Z1178" s="1310" t="s">
        <v>1618</v>
      </c>
      <c r="AA1178" s="1310" t="s">
        <v>1548</v>
      </c>
      <c r="AB1178" s="1310" t="s">
        <v>1655</v>
      </c>
      <c r="AC1178" s="1310" t="s">
        <v>1490</v>
      </c>
      <c r="AD1178" s="1310" t="s">
        <v>1643</v>
      </c>
      <c r="AE1178" s="1310" t="s">
        <v>1515</v>
      </c>
      <c r="AF1178" s="1310" t="s">
        <v>1445</v>
      </c>
    </row>
    <row r="1179" spans="1:32" x14ac:dyDescent="0.3">
      <c r="A1179" s="1310" t="s">
        <v>265</v>
      </c>
      <c r="B1179" s="1310" t="s">
        <v>1609</v>
      </c>
      <c r="C1179" s="1310" t="s">
        <v>263</v>
      </c>
      <c r="D1179" s="1310" t="s">
        <v>1649</v>
      </c>
      <c r="E1179" s="1310" t="s">
        <v>1448</v>
      </c>
      <c r="F1179" s="1310" t="s">
        <v>117</v>
      </c>
      <c r="G1179" s="1310" t="s">
        <v>1444</v>
      </c>
      <c r="H1179" s="1310" t="s">
        <v>133</v>
      </c>
      <c r="I1179" s="1310" t="s">
        <v>1531</v>
      </c>
      <c r="J1179" s="1310" t="s">
        <v>1656</v>
      </c>
      <c r="K1179" s="1310" t="s">
        <v>1559</v>
      </c>
      <c r="L1179" s="1310" t="s">
        <v>1458</v>
      </c>
      <c r="M1179" s="1310" t="s">
        <v>1517</v>
      </c>
      <c r="N1179" s="1310" t="s">
        <v>1553</v>
      </c>
      <c r="O1179" s="1310" t="s">
        <v>1461</v>
      </c>
      <c r="P1179" s="1310" t="s">
        <v>1624</v>
      </c>
      <c r="Q1179" s="1310" t="s">
        <v>1653</v>
      </c>
      <c r="R1179" s="1310" t="s">
        <v>129</v>
      </c>
      <c r="S1179" s="1310" t="s">
        <v>1575</v>
      </c>
      <c r="T1179" s="1310" t="s">
        <v>1570</v>
      </c>
      <c r="U1179" s="1310" t="s">
        <v>1518</v>
      </c>
      <c r="V1179" s="1310" t="s">
        <v>1575</v>
      </c>
      <c r="W1179" s="1310" t="s">
        <v>1657</v>
      </c>
      <c r="X1179" s="1310" t="s">
        <v>1605</v>
      </c>
      <c r="Y1179" s="1310" t="s">
        <v>1548</v>
      </c>
      <c r="Z1179" s="1310" t="s">
        <v>1570</v>
      </c>
      <c r="AA1179" s="1310" t="s">
        <v>1618</v>
      </c>
      <c r="AB1179" s="1310" t="s">
        <v>1513</v>
      </c>
      <c r="AC1179" s="1310" t="s">
        <v>1657</v>
      </c>
      <c r="AD1179" s="1310" t="s">
        <v>1648</v>
      </c>
      <c r="AE1179" s="1310" t="s">
        <v>1454</v>
      </c>
      <c r="AF1179" s="1310" t="s">
        <v>1546</v>
      </c>
    </row>
    <row r="1180" spans="1:32" x14ac:dyDescent="0.3">
      <c r="A1180" s="1310" t="s">
        <v>128</v>
      </c>
      <c r="B1180" s="1310" t="s">
        <v>1577</v>
      </c>
      <c r="C1180" s="1310" t="s">
        <v>1619</v>
      </c>
      <c r="D1180" s="1310" t="s">
        <v>1611</v>
      </c>
      <c r="E1180" s="1310" t="s">
        <v>1474</v>
      </c>
      <c r="F1180" s="1310" t="s">
        <v>1620</v>
      </c>
      <c r="G1180" s="1310" t="s">
        <v>1566</v>
      </c>
      <c r="H1180" s="1310" t="s">
        <v>1496</v>
      </c>
      <c r="I1180" s="1310" t="s">
        <v>1578</v>
      </c>
      <c r="J1180" s="1310" t="s">
        <v>6</v>
      </c>
      <c r="K1180" s="1310" t="s">
        <v>1572</v>
      </c>
      <c r="L1180" s="1310" t="s">
        <v>1505</v>
      </c>
      <c r="M1180" s="1310" t="s">
        <v>1568</v>
      </c>
      <c r="N1180" s="1310" t="s">
        <v>1479</v>
      </c>
      <c r="O1180" s="1310" t="s">
        <v>1473</v>
      </c>
      <c r="P1180" s="1310" t="s">
        <v>1644</v>
      </c>
      <c r="Q1180" s="1310" t="s">
        <v>1564</v>
      </c>
      <c r="R1180" s="1310" t="s">
        <v>1477</v>
      </c>
      <c r="S1180" s="1310" t="s">
        <v>1445</v>
      </c>
      <c r="T1180" s="1310" t="s">
        <v>1559</v>
      </c>
      <c r="U1180" s="1310" t="s">
        <v>1509</v>
      </c>
      <c r="V1180" s="1310" t="s">
        <v>1556</v>
      </c>
      <c r="W1180" s="1310" t="s">
        <v>1485</v>
      </c>
      <c r="X1180" s="1310" t="s">
        <v>1529</v>
      </c>
      <c r="Y1180" s="1310" t="s">
        <v>1453</v>
      </c>
      <c r="Z1180" s="1310" t="s">
        <v>1527</v>
      </c>
      <c r="AA1180" s="1310" t="s">
        <v>1631</v>
      </c>
      <c r="AB1180" s="1310" t="s">
        <v>1635</v>
      </c>
      <c r="AC1180" s="1310" t="s">
        <v>264</v>
      </c>
      <c r="AD1180" s="1310" t="s">
        <v>131</v>
      </c>
      <c r="AE1180" s="1310" t="s">
        <v>1453</v>
      </c>
      <c r="AF1180" s="1310" t="s">
        <v>1592</v>
      </c>
    </row>
    <row r="1181" spans="1:32" x14ac:dyDescent="0.3">
      <c r="A1181" s="1310" t="s">
        <v>269</v>
      </c>
      <c r="B1181" s="1310" t="s">
        <v>122</v>
      </c>
      <c r="C1181" s="1310" t="s">
        <v>1594</v>
      </c>
      <c r="D1181" s="1310" t="s">
        <v>1453</v>
      </c>
      <c r="E1181" s="1310" t="s">
        <v>1459</v>
      </c>
      <c r="F1181" s="1310" t="s">
        <v>1541</v>
      </c>
      <c r="G1181" s="1310" t="s">
        <v>1615</v>
      </c>
      <c r="H1181" s="1310" t="s">
        <v>1570</v>
      </c>
      <c r="I1181" s="1310" t="s">
        <v>1504</v>
      </c>
      <c r="J1181" s="1310" t="s">
        <v>1470</v>
      </c>
      <c r="K1181" s="1310" t="s">
        <v>1446</v>
      </c>
      <c r="L1181" s="1310" t="s">
        <v>1572</v>
      </c>
      <c r="M1181" s="1310" t="s">
        <v>1623</v>
      </c>
      <c r="N1181" s="1310" t="s">
        <v>1523</v>
      </c>
      <c r="O1181" s="1310" t="s">
        <v>1513</v>
      </c>
      <c r="P1181" s="1310" t="s">
        <v>1483</v>
      </c>
      <c r="Q1181" s="1310" t="s">
        <v>1456</v>
      </c>
      <c r="R1181" s="1310" t="s">
        <v>125</v>
      </c>
      <c r="S1181" s="1310" t="s">
        <v>1578</v>
      </c>
      <c r="T1181" s="1310" t="s">
        <v>1626</v>
      </c>
      <c r="U1181" s="1310" t="s">
        <v>1488</v>
      </c>
      <c r="V1181" s="1310" t="s">
        <v>1567</v>
      </c>
      <c r="W1181" s="1310" t="s">
        <v>1617</v>
      </c>
      <c r="X1181" s="1310" t="s">
        <v>1531</v>
      </c>
      <c r="Y1181" s="1310" t="s">
        <v>1516</v>
      </c>
      <c r="Z1181" s="1310" t="s">
        <v>1531</v>
      </c>
      <c r="AA1181" s="1310" t="s">
        <v>1485</v>
      </c>
      <c r="AB1181" s="1310" t="s">
        <v>1594</v>
      </c>
      <c r="AC1181" s="1310" t="s">
        <v>1468</v>
      </c>
      <c r="AD1181" s="1310" t="s">
        <v>1622</v>
      </c>
      <c r="AE1181" s="1310" t="s">
        <v>1495</v>
      </c>
      <c r="AF1181" s="1310" t="s">
        <v>1636</v>
      </c>
    </row>
    <row r="1182" spans="1:32" x14ac:dyDescent="0.3">
      <c r="A1182" s="1310" t="s">
        <v>1619</v>
      </c>
      <c r="B1182" s="1310" t="s">
        <v>1622</v>
      </c>
      <c r="C1182" s="1310" t="s">
        <v>1590</v>
      </c>
      <c r="D1182" s="1310" t="s">
        <v>1644</v>
      </c>
      <c r="E1182" s="1310" t="s">
        <v>131</v>
      </c>
      <c r="F1182" s="1310" t="s">
        <v>1566</v>
      </c>
      <c r="G1182" s="1310" t="s">
        <v>1556</v>
      </c>
      <c r="H1182" s="1310" t="s">
        <v>117</v>
      </c>
      <c r="I1182" s="1310" t="s">
        <v>1560</v>
      </c>
      <c r="J1182" s="1310" t="s">
        <v>1569</v>
      </c>
      <c r="K1182" s="1310" t="s">
        <v>1492</v>
      </c>
      <c r="L1182" s="1310" t="s">
        <v>1499</v>
      </c>
      <c r="M1182" s="1310" t="s">
        <v>1453</v>
      </c>
      <c r="N1182" s="1310" t="s">
        <v>1636</v>
      </c>
      <c r="O1182" s="1310" t="s">
        <v>1570</v>
      </c>
      <c r="P1182" s="1310" t="s">
        <v>1624</v>
      </c>
      <c r="Q1182" s="1310" t="s">
        <v>1491</v>
      </c>
      <c r="R1182" s="1310" t="s">
        <v>1636</v>
      </c>
      <c r="S1182" s="1310" t="s">
        <v>117</v>
      </c>
      <c r="T1182" s="1310" t="s">
        <v>1593</v>
      </c>
      <c r="U1182" s="1310" t="s">
        <v>1556</v>
      </c>
      <c r="V1182" s="1310" t="s">
        <v>1448</v>
      </c>
      <c r="W1182" s="1310" t="s">
        <v>1528</v>
      </c>
      <c r="X1182" s="1310" t="s">
        <v>1629</v>
      </c>
      <c r="Y1182" s="1310" t="s">
        <v>1595</v>
      </c>
      <c r="Z1182" s="1310" t="s">
        <v>1512</v>
      </c>
      <c r="AA1182" s="1310" t="s">
        <v>1660</v>
      </c>
      <c r="AB1182" s="1310" t="s">
        <v>1491</v>
      </c>
      <c r="AC1182" s="1310" t="s">
        <v>1473</v>
      </c>
      <c r="AD1182" s="1310" t="s">
        <v>1483</v>
      </c>
      <c r="AE1182" s="1310" t="s">
        <v>1515</v>
      </c>
      <c r="AF1182" s="1310" t="s">
        <v>1600</v>
      </c>
    </row>
    <row r="1183" spans="1:32" x14ac:dyDescent="0.3">
      <c r="A1183" s="1310" t="s">
        <v>1625</v>
      </c>
      <c r="B1183" s="1310" t="s">
        <v>114</v>
      </c>
      <c r="C1183" s="1310" t="s">
        <v>1550</v>
      </c>
      <c r="D1183" s="1310" t="s">
        <v>1613</v>
      </c>
      <c r="E1183" s="1310" t="s">
        <v>1561</v>
      </c>
      <c r="F1183" s="1310" t="s">
        <v>1585</v>
      </c>
      <c r="G1183" s="1310" t="s">
        <v>1495</v>
      </c>
      <c r="H1183" s="1310" t="s">
        <v>1529</v>
      </c>
      <c r="I1183" s="1310" t="s">
        <v>1461</v>
      </c>
      <c r="J1183" s="1310" t="s">
        <v>1527</v>
      </c>
      <c r="K1183" s="1310" t="s">
        <v>1596</v>
      </c>
      <c r="L1183" s="1310" t="s">
        <v>1598</v>
      </c>
      <c r="M1183" s="1310" t="s">
        <v>1636</v>
      </c>
      <c r="N1183" s="1310" t="s">
        <v>1511</v>
      </c>
      <c r="O1183" s="1310" t="s">
        <v>1642</v>
      </c>
      <c r="P1183" s="1310" t="s">
        <v>1582</v>
      </c>
      <c r="Q1183" s="1310" t="s">
        <v>1574</v>
      </c>
      <c r="R1183" s="1310" t="s">
        <v>1610</v>
      </c>
      <c r="S1183" s="1310" t="s">
        <v>1633</v>
      </c>
      <c r="T1183" s="1310" t="s">
        <v>1564</v>
      </c>
      <c r="U1183" s="1310" t="s">
        <v>1481</v>
      </c>
      <c r="V1183" s="1310" t="s">
        <v>1455</v>
      </c>
      <c r="W1183" s="1310" t="s">
        <v>1660</v>
      </c>
      <c r="X1183" s="1310" t="s">
        <v>1599</v>
      </c>
      <c r="Y1183" s="1310" t="s">
        <v>1510</v>
      </c>
      <c r="Z1183" s="1310" t="s">
        <v>1593</v>
      </c>
      <c r="AA1183" s="1310" t="s">
        <v>1580</v>
      </c>
      <c r="AB1183" s="1310" t="s">
        <v>122</v>
      </c>
      <c r="AC1183" s="1310" t="s">
        <v>1568</v>
      </c>
      <c r="AD1183" s="1310" t="s">
        <v>1639</v>
      </c>
      <c r="AE1183" s="1310" t="s">
        <v>1645</v>
      </c>
      <c r="AF1183" s="1310" t="s">
        <v>1501</v>
      </c>
    </row>
    <row r="1184" spans="1:32" x14ac:dyDescent="0.3">
      <c r="A1184" s="1310" t="s">
        <v>1609</v>
      </c>
      <c r="B1184" s="1310" t="s">
        <v>125</v>
      </c>
      <c r="C1184" s="1310" t="s">
        <v>1636</v>
      </c>
      <c r="D1184" s="1310" t="s">
        <v>1584</v>
      </c>
      <c r="E1184" s="1310" t="s">
        <v>1549</v>
      </c>
      <c r="F1184" s="1310" t="s">
        <v>1492</v>
      </c>
      <c r="G1184" s="1310" t="s">
        <v>1587</v>
      </c>
      <c r="H1184" s="1310" t="s">
        <v>1480</v>
      </c>
      <c r="I1184" s="1310" t="s">
        <v>1588</v>
      </c>
      <c r="J1184" s="1310" t="s">
        <v>132</v>
      </c>
      <c r="K1184" s="1310" t="s">
        <v>1535</v>
      </c>
      <c r="L1184" s="1310" t="s">
        <v>1591</v>
      </c>
      <c r="M1184" s="1310" t="s">
        <v>1608</v>
      </c>
      <c r="N1184" s="1310" t="s">
        <v>1548</v>
      </c>
      <c r="O1184" s="1310" t="s">
        <v>1583</v>
      </c>
      <c r="P1184" s="1310" t="s">
        <v>1501</v>
      </c>
      <c r="Q1184" s="1310" t="s">
        <v>1451</v>
      </c>
      <c r="R1184" s="1310" t="s">
        <v>1628</v>
      </c>
      <c r="S1184" s="1310" t="s">
        <v>1638</v>
      </c>
      <c r="T1184" s="1310" t="s">
        <v>1567</v>
      </c>
      <c r="U1184" s="1310" t="s">
        <v>1660</v>
      </c>
      <c r="V1184" s="1310" t="s">
        <v>1623</v>
      </c>
      <c r="W1184" s="1310" t="s">
        <v>1620</v>
      </c>
      <c r="X1184" s="1310" t="s">
        <v>1600</v>
      </c>
      <c r="Y1184" s="1310" t="s">
        <v>1565</v>
      </c>
      <c r="Z1184" s="1310" t="s">
        <v>1461</v>
      </c>
      <c r="AA1184" s="1310" t="s">
        <v>1498</v>
      </c>
      <c r="AB1184" s="1310" t="s">
        <v>119</v>
      </c>
      <c r="AC1184" s="1310" t="s">
        <v>1493</v>
      </c>
      <c r="AD1184" s="1310" t="s">
        <v>1507</v>
      </c>
      <c r="AE1184" s="1310" t="s">
        <v>111</v>
      </c>
      <c r="AF1184" s="1310" t="s">
        <v>124</v>
      </c>
    </row>
    <row r="1185" spans="1:32" x14ac:dyDescent="0.3">
      <c r="A1185" s="1310" t="s">
        <v>133</v>
      </c>
      <c r="B1185" s="1310" t="s">
        <v>1538</v>
      </c>
      <c r="C1185" s="1310" t="s">
        <v>1446</v>
      </c>
      <c r="D1185" s="1310" t="s">
        <v>1538</v>
      </c>
      <c r="E1185" s="1310" t="s">
        <v>1446</v>
      </c>
      <c r="F1185" s="1310" t="s">
        <v>1603</v>
      </c>
      <c r="G1185" s="1310" t="s">
        <v>1467</v>
      </c>
      <c r="H1185" s="1310" t="s">
        <v>1515</v>
      </c>
      <c r="I1185" s="1310" t="s">
        <v>1616</v>
      </c>
      <c r="J1185" s="1310" t="s">
        <v>1458</v>
      </c>
      <c r="K1185" s="1310" t="s">
        <v>1467</v>
      </c>
      <c r="L1185" s="1310" t="s">
        <v>1495</v>
      </c>
      <c r="M1185" s="1310" t="s">
        <v>1475</v>
      </c>
      <c r="N1185" s="1310" t="s">
        <v>1583</v>
      </c>
      <c r="O1185" s="1310" t="s">
        <v>1477</v>
      </c>
      <c r="P1185" s="1310" t="s">
        <v>1450</v>
      </c>
      <c r="Q1185" s="1310" t="s">
        <v>263</v>
      </c>
      <c r="R1185" s="1310" t="s">
        <v>1534</v>
      </c>
      <c r="S1185" s="1310" t="s">
        <v>1496</v>
      </c>
      <c r="T1185" s="1310" t="s">
        <v>1590</v>
      </c>
      <c r="U1185" s="1310" t="s">
        <v>1622</v>
      </c>
      <c r="V1185" s="1310" t="s">
        <v>118</v>
      </c>
      <c r="W1185" s="1310" t="s">
        <v>1443</v>
      </c>
      <c r="X1185" s="1310" t="s">
        <v>1450</v>
      </c>
      <c r="Y1185" s="1310" t="s">
        <v>1468</v>
      </c>
      <c r="Z1185" s="1310" t="s">
        <v>1646</v>
      </c>
      <c r="AA1185" s="1310" t="s">
        <v>1454</v>
      </c>
      <c r="AB1185" s="1310" t="s">
        <v>1568</v>
      </c>
      <c r="AC1185" s="1310" t="s">
        <v>1636</v>
      </c>
      <c r="AD1185" s="1310" t="s">
        <v>264</v>
      </c>
      <c r="AE1185" s="1310" t="s">
        <v>1567</v>
      </c>
      <c r="AF1185" s="1310" t="s">
        <v>1517</v>
      </c>
    </row>
    <row r="1186" spans="1:32" x14ac:dyDescent="0.3">
      <c r="A1186" s="1310" t="s">
        <v>1552</v>
      </c>
      <c r="B1186" s="1310" t="s">
        <v>1598</v>
      </c>
      <c r="C1186" s="1310" t="s">
        <v>1475</v>
      </c>
      <c r="D1186" s="1310" t="s">
        <v>1594</v>
      </c>
      <c r="E1186" s="1310" t="s">
        <v>1573</v>
      </c>
      <c r="F1186" s="1310" t="s">
        <v>1443</v>
      </c>
      <c r="G1186" s="1310" t="s">
        <v>1450</v>
      </c>
      <c r="H1186" s="1310" t="s">
        <v>266</v>
      </c>
      <c r="I1186" s="1310" t="s">
        <v>1603</v>
      </c>
      <c r="J1186" s="1310" t="s">
        <v>1612</v>
      </c>
      <c r="K1186" s="1310" t="s">
        <v>1637</v>
      </c>
      <c r="L1186" s="1310" t="s">
        <v>1568</v>
      </c>
      <c r="M1186" s="1310" t="s">
        <v>1443</v>
      </c>
      <c r="N1186" s="1310" t="s">
        <v>1450</v>
      </c>
      <c r="O1186" s="1310" t="s">
        <v>1504</v>
      </c>
      <c r="P1186" s="1310" t="s">
        <v>1590</v>
      </c>
      <c r="Q1186" s="1310" t="s">
        <v>1639</v>
      </c>
      <c r="R1186" s="1310" t="s">
        <v>1494</v>
      </c>
      <c r="S1186" s="1310" t="s">
        <v>1615</v>
      </c>
      <c r="T1186" s="1310" t="s">
        <v>1499</v>
      </c>
      <c r="U1186" s="1310" t="s">
        <v>1600</v>
      </c>
      <c r="V1186" s="1310" t="s">
        <v>1494</v>
      </c>
      <c r="W1186" s="1310" t="s">
        <v>1641</v>
      </c>
      <c r="X1186" s="1310" t="s">
        <v>123</v>
      </c>
      <c r="Y1186" s="1310" t="s">
        <v>1503</v>
      </c>
      <c r="Z1186" s="1310" t="s">
        <v>1639</v>
      </c>
      <c r="AA1186" s="1310" t="s">
        <v>1518</v>
      </c>
      <c r="AB1186" s="1310" t="s">
        <v>1562</v>
      </c>
      <c r="AC1186" s="1310" t="s">
        <v>1485</v>
      </c>
      <c r="AD1186" s="1310" t="s">
        <v>1561</v>
      </c>
      <c r="AE1186" s="1310" t="s">
        <v>1575</v>
      </c>
      <c r="AF1186" s="1310" t="s">
        <v>1561</v>
      </c>
    </row>
    <row r="1187" spans="1:32" x14ac:dyDescent="0.3">
      <c r="A1187" s="1310" t="s">
        <v>1608</v>
      </c>
      <c r="B1187" s="1310" t="s">
        <v>1565</v>
      </c>
      <c r="C1187" s="1310" t="s">
        <v>1622</v>
      </c>
      <c r="D1187" s="1310" t="s">
        <v>1488</v>
      </c>
      <c r="E1187" s="1310" t="s">
        <v>128</v>
      </c>
      <c r="F1187" s="1310" t="s">
        <v>1595</v>
      </c>
      <c r="G1187" s="1310" t="s">
        <v>1502</v>
      </c>
      <c r="H1187" s="1310" t="s">
        <v>1640</v>
      </c>
      <c r="I1187" s="1310" t="s">
        <v>1572</v>
      </c>
      <c r="J1187" s="1310" t="s">
        <v>1529</v>
      </c>
      <c r="K1187" s="1310" t="s">
        <v>1609</v>
      </c>
      <c r="L1187" s="1310" t="s">
        <v>1547</v>
      </c>
      <c r="M1187" s="1310" t="s">
        <v>1506</v>
      </c>
      <c r="N1187" s="1310" t="s">
        <v>269</v>
      </c>
      <c r="O1187" s="1310" t="s">
        <v>1493</v>
      </c>
      <c r="P1187" s="1310" t="s">
        <v>1505</v>
      </c>
      <c r="Q1187" s="1310" t="s">
        <v>1613</v>
      </c>
      <c r="R1187" s="1310" t="s">
        <v>1652</v>
      </c>
      <c r="S1187" s="1310" t="s">
        <v>1595</v>
      </c>
      <c r="T1187" s="1310" t="s">
        <v>1542</v>
      </c>
      <c r="U1187" s="1310" t="s">
        <v>1620</v>
      </c>
      <c r="V1187" s="1310" t="s">
        <v>1654</v>
      </c>
      <c r="W1187" s="1310" t="s">
        <v>1536</v>
      </c>
      <c r="X1187" s="1310" t="s">
        <v>1519</v>
      </c>
      <c r="Y1187" s="1310" t="s">
        <v>1467</v>
      </c>
      <c r="Z1187" s="1310" t="s">
        <v>1523</v>
      </c>
      <c r="AA1187" s="1310" t="s">
        <v>1558</v>
      </c>
      <c r="AB1187" s="1310" t="s">
        <v>1549</v>
      </c>
      <c r="AC1187" s="1310" t="s">
        <v>128</v>
      </c>
      <c r="AD1187" s="1310" t="s">
        <v>1515</v>
      </c>
      <c r="AE1187" s="1310" t="s">
        <v>1027</v>
      </c>
      <c r="AF1187" s="1310" t="s">
        <v>114</v>
      </c>
    </row>
    <row r="1188" spans="1:32" x14ac:dyDescent="0.3">
      <c r="A1188" s="1310" t="s">
        <v>1526</v>
      </c>
      <c r="B1188" s="1310" t="s">
        <v>1592</v>
      </c>
      <c r="C1188" s="1310" t="s">
        <v>1509</v>
      </c>
      <c r="D1188" s="1310" t="s">
        <v>1589</v>
      </c>
      <c r="E1188" s="1310" t="s">
        <v>130</v>
      </c>
      <c r="F1188" s="1310" t="s">
        <v>1607</v>
      </c>
      <c r="G1188" s="1310" t="s">
        <v>267</v>
      </c>
      <c r="H1188" s="1310" t="s">
        <v>1562</v>
      </c>
      <c r="I1188" s="1310" t="s">
        <v>1580</v>
      </c>
      <c r="J1188" s="1310" t="s">
        <v>114</v>
      </c>
      <c r="K1188" s="1310" t="s">
        <v>1460</v>
      </c>
      <c r="L1188" s="1310" t="s">
        <v>1554</v>
      </c>
      <c r="M1188" s="1310" t="s">
        <v>1558</v>
      </c>
      <c r="N1188" s="1310" t="s">
        <v>115</v>
      </c>
      <c r="O1188" s="1310" t="s">
        <v>1454</v>
      </c>
      <c r="P1188" s="1310" t="s">
        <v>1447</v>
      </c>
      <c r="Q1188" s="1310" t="s">
        <v>1482</v>
      </c>
      <c r="R1188" s="1310" t="s">
        <v>1510</v>
      </c>
      <c r="S1188" s="1310" t="s">
        <v>1616</v>
      </c>
      <c r="T1188" s="1310" t="s">
        <v>1460</v>
      </c>
      <c r="U1188" s="1310" t="s">
        <v>1636</v>
      </c>
      <c r="V1188" s="1310" t="s">
        <v>1449</v>
      </c>
      <c r="W1188" s="1310" t="s">
        <v>1574</v>
      </c>
      <c r="X1188" s="1310" t="s">
        <v>1639</v>
      </c>
      <c r="Y1188" s="1310" t="s">
        <v>1527</v>
      </c>
      <c r="Z1188" s="1310" t="s">
        <v>1443</v>
      </c>
      <c r="AA1188" s="1310" t="s">
        <v>1450</v>
      </c>
      <c r="AB1188" s="1310" t="s">
        <v>1620</v>
      </c>
      <c r="AC1188" s="1310" t="s">
        <v>1613</v>
      </c>
      <c r="AD1188" s="1310" t="s">
        <v>1555</v>
      </c>
      <c r="AE1188" s="1310" t="s">
        <v>1460</v>
      </c>
      <c r="AF1188" s="1310" t="s">
        <v>1642</v>
      </c>
    </row>
    <row r="1189" spans="1:32" x14ac:dyDescent="0.3">
      <c r="A1189" s="1310" t="s">
        <v>1482</v>
      </c>
      <c r="B1189" s="1310" t="s">
        <v>1586</v>
      </c>
      <c r="C1189" s="1310" t="s">
        <v>1600</v>
      </c>
      <c r="D1189" s="1310" t="s">
        <v>1607</v>
      </c>
      <c r="E1189" s="1310" t="s">
        <v>1606</v>
      </c>
      <c r="F1189" s="1310" t="s">
        <v>1455</v>
      </c>
      <c r="G1189" s="1310" t="s">
        <v>1522</v>
      </c>
      <c r="H1189" s="1310" t="s">
        <v>1523</v>
      </c>
      <c r="I1189" s="1310" t="s">
        <v>1605</v>
      </c>
      <c r="J1189" s="1310" t="s">
        <v>1472</v>
      </c>
      <c r="K1189" s="1310" t="s">
        <v>1622</v>
      </c>
      <c r="L1189" s="1310" t="s">
        <v>1633</v>
      </c>
      <c r="M1189" s="1310" t="s">
        <v>110</v>
      </c>
      <c r="N1189" s="1310" t="s">
        <v>1457</v>
      </c>
      <c r="O1189" s="1310" t="s">
        <v>1659</v>
      </c>
      <c r="P1189" s="1310" t="s">
        <v>1640</v>
      </c>
      <c r="Q1189" s="1310" t="s">
        <v>1636</v>
      </c>
      <c r="R1189" s="1310" t="s">
        <v>1566</v>
      </c>
      <c r="S1189" s="1310" t="s">
        <v>1622</v>
      </c>
      <c r="T1189" s="1310" t="s">
        <v>1602</v>
      </c>
      <c r="U1189" s="1310" t="s">
        <v>1561</v>
      </c>
      <c r="V1189" s="1310" t="s">
        <v>1553</v>
      </c>
      <c r="W1189" s="1310" t="s">
        <v>1540</v>
      </c>
      <c r="X1189" s="1310" t="s">
        <v>1491</v>
      </c>
      <c r="Y1189" s="1310" t="s">
        <v>1557</v>
      </c>
      <c r="Z1189" s="1310" t="s">
        <v>114</v>
      </c>
      <c r="AA1189" s="1310" t="s">
        <v>1492</v>
      </c>
      <c r="AB1189" s="1310" t="s">
        <v>129</v>
      </c>
      <c r="AC1189" s="1310" t="s">
        <v>1556</v>
      </c>
      <c r="AD1189" s="1310" t="s">
        <v>132</v>
      </c>
      <c r="AE1189" s="1310" t="s">
        <v>115</v>
      </c>
      <c r="AF1189" s="1310" t="s">
        <v>1559</v>
      </c>
    </row>
    <row r="1190" spans="1:32" x14ac:dyDescent="0.3">
      <c r="A1190" s="1310" t="s">
        <v>1508</v>
      </c>
      <c r="B1190" s="1310" t="s">
        <v>1637</v>
      </c>
      <c r="C1190" s="1310" t="s">
        <v>1660</v>
      </c>
      <c r="D1190" s="1310" t="s">
        <v>1027</v>
      </c>
      <c r="E1190" s="1310" t="s">
        <v>1569</v>
      </c>
      <c r="F1190" s="1310" t="s">
        <v>1494</v>
      </c>
      <c r="G1190" s="1310" t="s">
        <v>130</v>
      </c>
      <c r="H1190" s="1310" t="s">
        <v>1446</v>
      </c>
      <c r="I1190" s="1310" t="s">
        <v>262</v>
      </c>
      <c r="J1190" s="1310" t="s">
        <v>1508</v>
      </c>
      <c r="K1190" s="1310" t="s">
        <v>1627</v>
      </c>
      <c r="L1190" s="1310" t="s">
        <v>1519</v>
      </c>
      <c r="M1190" s="1310" t="s">
        <v>1447</v>
      </c>
      <c r="N1190" s="1310" t="s">
        <v>130</v>
      </c>
      <c r="O1190" s="1310" t="s">
        <v>1612</v>
      </c>
      <c r="P1190" s="1310" t="s">
        <v>1623</v>
      </c>
      <c r="Q1190" s="1310" t="s">
        <v>1472</v>
      </c>
      <c r="R1190" s="1310" t="s">
        <v>1568</v>
      </c>
      <c r="S1190" s="1310" t="s">
        <v>1534</v>
      </c>
      <c r="T1190" s="1310" t="s">
        <v>1486</v>
      </c>
      <c r="U1190" s="1310" t="s">
        <v>1623</v>
      </c>
      <c r="V1190" s="1310" t="s">
        <v>1609</v>
      </c>
      <c r="W1190" s="1310" t="s">
        <v>1590</v>
      </c>
      <c r="X1190" s="1310" t="s">
        <v>268</v>
      </c>
      <c r="Y1190" s="1310" t="s">
        <v>1660</v>
      </c>
      <c r="Z1190" s="1310" t="s">
        <v>1511</v>
      </c>
      <c r="AA1190" s="1310" t="s">
        <v>112</v>
      </c>
      <c r="AB1190" s="1310" t="s">
        <v>1464</v>
      </c>
      <c r="AC1190" s="1310" t="s">
        <v>1511</v>
      </c>
      <c r="AD1190" s="1310" t="s">
        <v>1628</v>
      </c>
      <c r="AE1190" s="1310" t="s">
        <v>1497</v>
      </c>
      <c r="AF1190" s="1310" t="s">
        <v>269</v>
      </c>
    </row>
    <row r="1191" spans="1:32" x14ac:dyDescent="0.3">
      <c r="A1191" s="1310" t="s">
        <v>129</v>
      </c>
      <c r="B1191" s="1310" t="s">
        <v>1489</v>
      </c>
      <c r="C1191" s="1310" t="s">
        <v>1543</v>
      </c>
      <c r="D1191" s="1310" t="s">
        <v>1525</v>
      </c>
      <c r="E1191" s="1310" t="s">
        <v>1555</v>
      </c>
      <c r="F1191" s="1310" t="s">
        <v>1525</v>
      </c>
      <c r="G1191" s="1310" t="s">
        <v>1623</v>
      </c>
      <c r="H1191" s="1310" t="s">
        <v>1636</v>
      </c>
      <c r="I1191" s="1310" t="s">
        <v>1474</v>
      </c>
      <c r="J1191" s="1310" t="s">
        <v>1629</v>
      </c>
      <c r="K1191" s="1310" t="s">
        <v>1554</v>
      </c>
      <c r="L1191" s="1310" t="s">
        <v>1556</v>
      </c>
      <c r="M1191" s="1310" t="s">
        <v>1616</v>
      </c>
      <c r="N1191" s="1310" t="s">
        <v>1607</v>
      </c>
      <c r="O1191" s="1310" t="s">
        <v>1513</v>
      </c>
      <c r="P1191" s="1310" t="s">
        <v>1614</v>
      </c>
      <c r="Q1191" s="1310" t="s">
        <v>1601</v>
      </c>
      <c r="R1191" s="1310" t="s">
        <v>1633</v>
      </c>
      <c r="S1191" s="1310" t="s">
        <v>1498</v>
      </c>
      <c r="T1191" s="1310" t="s">
        <v>1600</v>
      </c>
      <c r="U1191" s="1310" t="s">
        <v>1565</v>
      </c>
      <c r="V1191" s="1310" t="s">
        <v>1595</v>
      </c>
      <c r="W1191" s="1310" t="s">
        <v>1460</v>
      </c>
      <c r="X1191" s="1310" t="s">
        <v>268</v>
      </c>
      <c r="Y1191" s="1310" t="s">
        <v>1645</v>
      </c>
      <c r="Z1191" s="1310" t="s">
        <v>1528</v>
      </c>
      <c r="AA1191" s="1310" t="s">
        <v>1646</v>
      </c>
      <c r="AB1191" s="1310" t="s">
        <v>1452</v>
      </c>
      <c r="AC1191" s="1310" t="s">
        <v>1573</v>
      </c>
      <c r="AD1191" s="1310" t="s">
        <v>1542</v>
      </c>
      <c r="AE1191" s="1310" t="s">
        <v>1521</v>
      </c>
      <c r="AF1191" s="1310" t="s">
        <v>1569</v>
      </c>
    </row>
    <row r="1192" spans="1:32" x14ac:dyDescent="0.3">
      <c r="A1192" s="1310" t="s">
        <v>1605</v>
      </c>
      <c r="B1192" s="1310" t="s">
        <v>1447</v>
      </c>
      <c r="C1192" s="1310" t="s">
        <v>1644</v>
      </c>
      <c r="D1192" s="1310" t="s">
        <v>1543</v>
      </c>
      <c r="E1192" s="1310" t="s">
        <v>1573</v>
      </c>
      <c r="F1192" s="1310" t="s">
        <v>1547</v>
      </c>
      <c r="G1192" s="1310" t="s">
        <v>1494</v>
      </c>
      <c r="H1192" s="1310" t="s">
        <v>1640</v>
      </c>
      <c r="I1192" s="1310" t="s">
        <v>1659</v>
      </c>
      <c r="J1192" s="1310" t="s">
        <v>125</v>
      </c>
      <c r="K1192" s="1310" t="s">
        <v>1566</v>
      </c>
      <c r="L1192" s="1310" t="s">
        <v>263</v>
      </c>
      <c r="M1192" s="1310" t="s">
        <v>1527</v>
      </c>
      <c r="N1192" s="1310" t="s">
        <v>1472</v>
      </c>
      <c r="O1192" s="1310" t="s">
        <v>1565</v>
      </c>
      <c r="P1192" s="1310" t="s">
        <v>1591</v>
      </c>
      <c r="Q1192" s="1310" t="s">
        <v>1643</v>
      </c>
      <c r="R1192" s="1310" t="s">
        <v>1493</v>
      </c>
      <c r="S1192" s="1310" t="s">
        <v>1572</v>
      </c>
      <c r="T1192" s="1310" t="s">
        <v>113</v>
      </c>
      <c r="U1192" s="1310" t="s">
        <v>1474</v>
      </c>
      <c r="V1192" s="1310" t="s">
        <v>1651</v>
      </c>
      <c r="W1192" s="1310" t="s">
        <v>1490</v>
      </c>
      <c r="X1192" s="1310" t="s">
        <v>266</v>
      </c>
      <c r="Y1192" s="1310" t="s">
        <v>1598</v>
      </c>
      <c r="Z1192" s="1310" t="s">
        <v>1500</v>
      </c>
      <c r="AA1192" s="1310" t="s">
        <v>117</v>
      </c>
      <c r="AB1192" s="1310" t="s">
        <v>119</v>
      </c>
      <c r="AC1192" s="1310" t="s">
        <v>1572</v>
      </c>
      <c r="AD1192" s="1310" t="s">
        <v>1467</v>
      </c>
      <c r="AE1192" s="1310" t="s">
        <v>1475</v>
      </c>
      <c r="AF1192" s="1310" t="s">
        <v>1513</v>
      </c>
    </row>
    <row r="1193" spans="1:32" x14ac:dyDescent="0.3">
      <c r="A1193" s="1310" t="s">
        <v>118</v>
      </c>
      <c r="B1193" s="1310" t="s">
        <v>1505</v>
      </c>
      <c r="C1193" s="1310" t="s">
        <v>1605</v>
      </c>
      <c r="D1193" s="1310" t="s">
        <v>1586</v>
      </c>
      <c r="E1193" s="1310" t="s">
        <v>1506</v>
      </c>
      <c r="F1193" s="1310" t="s">
        <v>1523</v>
      </c>
      <c r="G1193" s="1310" t="s">
        <v>114</v>
      </c>
      <c r="H1193" s="1310" t="s">
        <v>1648</v>
      </c>
      <c r="I1193" s="1310" t="s">
        <v>1451</v>
      </c>
      <c r="J1193" s="1310" t="s">
        <v>1461</v>
      </c>
      <c r="K1193" s="1310" t="s">
        <v>265</v>
      </c>
      <c r="L1193" s="1310" t="s">
        <v>1558</v>
      </c>
      <c r="M1193" s="1310" t="s">
        <v>1445</v>
      </c>
      <c r="N1193" s="1310" t="s">
        <v>1590</v>
      </c>
      <c r="O1193" s="1310" t="s">
        <v>1522</v>
      </c>
      <c r="P1193" s="1310" t="s">
        <v>1599</v>
      </c>
      <c r="Q1193" s="1310" t="s">
        <v>1650</v>
      </c>
      <c r="R1193" s="1310" t="s">
        <v>1648</v>
      </c>
      <c r="S1193" s="1310" t="s">
        <v>1448</v>
      </c>
      <c r="T1193" s="1310" t="s">
        <v>1601</v>
      </c>
      <c r="U1193" s="1310" t="s">
        <v>1629</v>
      </c>
      <c r="V1193" s="1310" t="s">
        <v>1593</v>
      </c>
      <c r="W1193" s="1310" t="s">
        <v>1584</v>
      </c>
      <c r="X1193" s="1310" t="s">
        <v>1624</v>
      </c>
      <c r="Y1193" s="1310" t="s">
        <v>1482</v>
      </c>
      <c r="Z1193" s="1310" t="s">
        <v>1621</v>
      </c>
      <c r="AA1193" s="1310" t="s">
        <v>1637</v>
      </c>
      <c r="AB1193" s="1310" t="s">
        <v>123</v>
      </c>
      <c r="AC1193" s="1310" t="s">
        <v>1482</v>
      </c>
      <c r="AD1193" s="1310" t="s">
        <v>1560</v>
      </c>
      <c r="AE1193" s="1310" t="s">
        <v>1551</v>
      </c>
      <c r="AF1193" s="1310" t="s">
        <v>1640</v>
      </c>
    </row>
    <row r="1194" spans="1:32" x14ac:dyDescent="0.3">
      <c r="A1194" s="1310" t="s">
        <v>1624</v>
      </c>
      <c r="B1194" s="1310" t="s">
        <v>1647</v>
      </c>
      <c r="C1194" s="1310" t="s">
        <v>1660</v>
      </c>
      <c r="D1194" s="1310" t="s">
        <v>1554</v>
      </c>
      <c r="E1194" s="1310" t="s">
        <v>1602</v>
      </c>
      <c r="F1194" s="1310" t="s">
        <v>1659</v>
      </c>
      <c r="G1194" s="1310" t="s">
        <v>1579</v>
      </c>
      <c r="H1194" s="1310" t="s">
        <v>1506</v>
      </c>
      <c r="I1194" s="1310" t="s">
        <v>123</v>
      </c>
      <c r="J1194" s="1310" t="s">
        <v>1482</v>
      </c>
      <c r="K1194" s="1310" t="s">
        <v>1550</v>
      </c>
      <c r="L1194" s="1310" t="s">
        <v>128</v>
      </c>
      <c r="M1194" s="1310" t="s">
        <v>124</v>
      </c>
      <c r="N1194" s="1310" t="s">
        <v>1618</v>
      </c>
      <c r="O1194" s="1310" t="s">
        <v>1576</v>
      </c>
      <c r="P1194" s="1310" t="s">
        <v>1588</v>
      </c>
      <c r="Q1194" s="1310" t="s">
        <v>1512</v>
      </c>
      <c r="R1194" s="1310" t="s">
        <v>1574</v>
      </c>
      <c r="S1194" s="1310" t="s">
        <v>133</v>
      </c>
      <c r="T1194" s="1310" t="s">
        <v>1615</v>
      </c>
      <c r="U1194" s="1310" t="s">
        <v>1504</v>
      </c>
      <c r="V1194" s="1310" t="s">
        <v>1649</v>
      </c>
      <c r="W1194" s="1310" t="s">
        <v>1595</v>
      </c>
      <c r="X1194" s="1310" t="s">
        <v>1622</v>
      </c>
      <c r="Y1194" s="1310" t="s">
        <v>1464</v>
      </c>
      <c r="Z1194" s="1310" t="s">
        <v>1448</v>
      </c>
      <c r="AA1194" s="1310" t="s">
        <v>1500</v>
      </c>
      <c r="AB1194" s="1310" t="s">
        <v>1452</v>
      </c>
      <c r="AC1194" s="1310" t="s">
        <v>1485</v>
      </c>
      <c r="AD1194" s="1310" t="s">
        <v>1539</v>
      </c>
      <c r="AE1194" s="1310" t="s">
        <v>1576</v>
      </c>
      <c r="AF1194" s="1310" t="s">
        <v>1472</v>
      </c>
    </row>
    <row r="1195" spans="1:32" x14ac:dyDescent="0.3">
      <c r="A1195" s="1310" t="s">
        <v>1505</v>
      </c>
      <c r="B1195" s="1310" t="s">
        <v>1461</v>
      </c>
      <c r="C1195" s="1310" t="s">
        <v>1459</v>
      </c>
      <c r="D1195" s="1310" t="s">
        <v>1449</v>
      </c>
      <c r="E1195" s="1310" t="s">
        <v>1558</v>
      </c>
      <c r="F1195" s="1310" t="s">
        <v>132</v>
      </c>
      <c r="G1195" s="1310" t="s">
        <v>1467</v>
      </c>
      <c r="H1195" s="1310" t="s">
        <v>1498</v>
      </c>
      <c r="I1195" s="1310" t="s">
        <v>1474</v>
      </c>
      <c r="J1195" s="1310" t="s">
        <v>1532</v>
      </c>
      <c r="K1195" s="1310" t="s">
        <v>127</v>
      </c>
      <c r="L1195" s="1310" t="s">
        <v>1576</v>
      </c>
      <c r="M1195" s="1310" t="s">
        <v>1505</v>
      </c>
      <c r="N1195" s="1310" t="s">
        <v>126</v>
      </c>
      <c r="O1195" s="1310" t="s">
        <v>1630</v>
      </c>
      <c r="P1195" s="1310" t="s">
        <v>1589</v>
      </c>
      <c r="Q1195" s="1310" t="s">
        <v>1649</v>
      </c>
      <c r="R1195" s="1310" t="s">
        <v>1539</v>
      </c>
      <c r="S1195" s="1310" t="s">
        <v>1532</v>
      </c>
      <c r="T1195" s="1310" t="s">
        <v>1567</v>
      </c>
      <c r="U1195" s="1310" t="s">
        <v>1583</v>
      </c>
      <c r="V1195" s="1310" t="s">
        <v>1559</v>
      </c>
      <c r="W1195" s="1310" t="s">
        <v>1604</v>
      </c>
      <c r="X1195" s="1310" t="s">
        <v>116</v>
      </c>
      <c r="Y1195" s="1310" t="s">
        <v>1522</v>
      </c>
      <c r="Z1195" s="1310" t="s">
        <v>1542</v>
      </c>
      <c r="AA1195" s="1310" t="s">
        <v>1597</v>
      </c>
      <c r="AB1195" s="1310" t="s">
        <v>1557</v>
      </c>
      <c r="AC1195" s="1310" t="s">
        <v>1568</v>
      </c>
      <c r="AD1195" s="1310" t="s">
        <v>1503</v>
      </c>
      <c r="AE1195" s="1310" t="s">
        <v>1557</v>
      </c>
      <c r="AF1195" s="1310" t="s">
        <v>1466</v>
      </c>
    </row>
    <row r="1196" spans="1:32" x14ac:dyDescent="0.3">
      <c r="A1196" s="1310" t="s">
        <v>1561</v>
      </c>
      <c r="B1196" s="1310" t="s">
        <v>1477</v>
      </c>
      <c r="C1196" s="1310" t="s">
        <v>1486</v>
      </c>
      <c r="D1196" s="1310" t="s">
        <v>1646</v>
      </c>
      <c r="E1196" s="1310" t="s">
        <v>1625</v>
      </c>
      <c r="F1196" s="1310" t="s">
        <v>122</v>
      </c>
      <c r="G1196" s="1310" t="s">
        <v>1643</v>
      </c>
      <c r="H1196" s="1310" t="s">
        <v>1547</v>
      </c>
      <c r="I1196" s="1310" t="s">
        <v>1635</v>
      </c>
      <c r="J1196" s="1310" t="s">
        <v>1486</v>
      </c>
      <c r="K1196" s="1310" t="s">
        <v>1581</v>
      </c>
      <c r="L1196" s="1310" t="s">
        <v>1460</v>
      </c>
      <c r="M1196" s="1310" t="s">
        <v>1502</v>
      </c>
      <c r="N1196" s="1310" t="s">
        <v>1512</v>
      </c>
      <c r="O1196" s="1310" t="s">
        <v>1530</v>
      </c>
      <c r="P1196" s="1310" t="s">
        <v>1522</v>
      </c>
      <c r="Q1196" s="1310" t="s">
        <v>110</v>
      </c>
      <c r="R1196" s="1310" t="s">
        <v>1519</v>
      </c>
      <c r="S1196" s="1310" t="s">
        <v>1540</v>
      </c>
      <c r="T1196" s="1310" t="s">
        <v>1508</v>
      </c>
      <c r="U1196" s="1310" t="s">
        <v>1479</v>
      </c>
      <c r="V1196" s="1310" t="s">
        <v>1515</v>
      </c>
      <c r="W1196" s="1310" t="s">
        <v>1635</v>
      </c>
      <c r="X1196" s="1310" t="s">
        <v>266</v>
      </c>
      <c r="Y1196" s="1310" t="s">
        <v>268</v>
      </c>
      <c r="Z1196" s="1310" t="s">
        <v>1498</v>
      </c>
      <c r="AA1196" s="1310" t="s">
        <v>1618</v>
      </c>
      <c r="AB1196" s="1310" t="s">
        <v>1658</v>
      </c>
      <c r="AC1196" s="1310" t="s">
        <v>1588</v>
      </c>
      <c r="AD1196" s="1310" t="s">
        <v>124</v>
      </c>
      <c r="AE1196" s="1310" t="s">
        <v>1470</v>
      </c>
      <c r="AF1196" s="1310" t="s">
        <v>1544</v>
      </c>
    </row>
    <row r="1197" spans="1:32" x14ac:dyDescent="0.3">
      <c r="A1197" s="1310" t="s">
        <v>1458</v>
      </c>
      <c r="B1197" s="1310" t="s">
        <v>1631</v>
      </c>
      <c r="C1197" s="1310" t="s">
        <v>1487</v>
      </c>
      <c r="D1197" s="1310" t="s">
        <v>1598</v>
      </c>
      <c r="E1197" s="1310" t="s">
        <v>1559</v>
      </c>
      <c r="F1197" s="1310" t="s">
        <v>1658</v>
      </c>
      <c r="G1197" s="1310" t="s">
        <v>1573</v>
      </c>
      <c r="H1197" s="1310" t="s">
        <v>1598</v>
      </c>
      <c r="I1197" s="1310" t="s">
        <v>1639</v>
      </c>
      <c r="J1197" s="1310" t="s">
        <v>1516</v>
      </c>
      <c r="K1197" s="1310" t="s">
        <v>262</v>
      </c>
      <c r="L1197" s="1310" t="s">
        <v>1030</v>
      </c>
      <c r="M1197" s="1310" t="s">
        <v>1535</v>
      </c>
      <c r="N1197" s="1310" t="s">
        <v>1598</v>
      </c>
      <c r="O1197" s="1310" t="s">
        <v>1601</v>
      </c>
      <c r="P1197" s="1310" t="s">
        <v>1625</v>
      </c>
      <c r="Q1197" s="1310" t="s">
        <v>1482</v>
      </c>
      <c r="R1197" s="1310" t="s">
        <v>1530</v>
      </c>
      <c r="S1197" s="1310" t="s">
        <v>1519</v>
      </c>
      <c r="T1197" s="1310" t="s">
        <v>1587</v>
      </c>
      <c r="U1197" s="1310" t="s">
        <v>1626</v>
      </c>
      <c r="V1197" s="1310" t="s">
        <v>471</v>
      </c>
      <c r="W1197" s="1310" t="s">
        <v>1573</v>
      </c>
      <c r="X1197" s="1310" t="s">
        <v>1617</v>
      </c>
      <c r="Y1197" s="1310" t="s">
        <v>119</v>
      </c>
      <c r="Z1197" s="1310" t="s">
        <v>1500</v>
      </c>
      <c r="AA1197" s="1310" t="s">
        <v>1659</v>
      </c>
      <c r="AB1197" s="1310" t="s">
        <v>1562</v>
      </c>
      <c r="AC1197" s="1310" t="s">
        <v>1638</v>
      </c>
      <c r="AD1197" s="1310" t="s">
        <v>113</v>
      </c>
      <c r="AE1197" s="1310" t="s">
        <v>1614</v>
      </c>
      <c r="AF1197" s="1310" t="s">
        <v>1545</v>
      </c>
    </row>
    <row r="1198" spans="1:32" x14ac:dyDescent="0.3">
      <c r="A1198" s="1310" t="s">
        <v>1637</v>
      </c>
      <c r="B1198" s="1310" t="s">
        <v>1593</v>
      </c>
      <c r="C1198" s="1310" t="s">
        <v>1573</v>
      </c>
      <c r="D1198" s="1310" t="s">
        <v>1557</v>
      </c>
      <c r="E1198" s="1310" t="s">
        <v>1556</v>
      </c>
      <c r="F1198" s="1310" t="s">
        <v>113</v>
      </c>
      <c r="G1198" s="1310" t="s">
        <v>125</v>
      </c>
      <c r="H1198" s="1310" t="s">
        <v>1482</v>
      </c>
      <c r="I1198" s="1310" t="s">
        <v>1524</v>
      </c>
      <c r="J1198" s="1310" t="s">
        <v>1494</v>
      </c>
      <c r="K1198" s="1310" t="s">
        <v>1488</v>
      </c>
      <c r="L1198" s="1310" t="s">
        <v>1462</v>
      </c>
      <c r="M1198" s="1310" t="s">
        <v>1604</v>
      </c>
      <c r="N1198" s="1310" t="s">
        <v>1610</v>
      </c>
      <c r="O1198" s="1310" t="s">
        <v>1656</v>
      </c>
      <c r="P1198" s="1310" t="s">
        <v>1452</v>
      </c>
      <c r="Q1198" s="1310" t="s">
        <v>1646</v>
      </c>
      <c r="R1198" s="1310" t="s">
        <v>1579</v>
      </c>
      <c r="S1198" s="1310" t="s">
        <v>1443</v>
      </c>
      <c r="T1198" s="1310" t="s">
        <v>1450</v>
      </c>
      <c r="U1198" s="1310" t="s">
        <v>1478</v>
      </c>
      <c r="V1198" s="1310" t="s">
        <v>1449</v>
      </c>
      <c r="W1198" s="1310" t="s">
        <v>1504</v>
      </c>
      <c r="X1198" s="1310" t="s">
        <v>1449</v>
      </c>
      <c r="Y1198" s="1310" t="s">
        <v>1514</v>
      </c>
      <c r="Z1198" s="1310" t="s">
        <v>1607</v>
      </c>
      <c r="AA1198" s="1310" t="s">
        <v>117</v>
      </c>
      <c r="AB1198" s="1310" t="s">
        <v>1510</v>
      </c>
      <c r="AC1198" s="1310" t="s">
        <v>117</v>
      </c>
      <c r="AD1198" s="1310" t="s">
        <v>1604</v>
      </c>
      <c r="AE1198" s="1310" t="s">
        <v>1640</v>
      </c>
      <c r="AF1198" s="1310" t="s">
        <v>1457</v>
      </c>
    </row>
    <row r="1199" spans="1:32" x14ac:dyDescent="0.3">
      <c r="A1199" s="1310" t="s">
        <v>1466</v>
      </c>
      <c r="B1199" s="1310" t="s">
        <v>1593</v>
      </c>
      <c r="C1199" s="1310" t="s">
        <v>1627</v>
      </c>
      <c r="D1199" s="1310" t="s">
        <v>1590</v>
      </c>
      <c r="E1199" s="1310" t="s">
        <v>1615</v>
      </c>
      <c r="F1199" s="1310" t="s">
        <v>1623</v>
      </c>
      <c r="G1199" s="1310" t="s">
        <v>1530</v>
      </c>
      <c r="H1199" s="1310" t="s">
        <v>1496</v>
      </c>
      <c r="I1199" s="1310" t="s">
        <v>1601</v>
      </c>
      <c r="J1199" s="1310" t="s">
        <v>1510</v>
      </c>
      <c r="K1199" s="1310" t="s">
        <v>117</v>
      </c>
      <c r="L1199" s="1310" t="s">
        <v>1658</v>
      </c>
      <c r="M1199" s="1310" t="s">
        <v>1621</v>
      </c>
      <c r="N1199" s="1310" t="s">
        <v>1474</v>
      </c>
      <c r="O1199" s="1310" t="s">
        <v>1457</v>
      </c>
      <c r="P1199" s="1310" t="s">
        <v>131</v>
      </c>
      <c r="Q1199" s="1310" t="s">
        <v>1570</v>
      </c>
      <c r="R1199" s="1310" t="s">
        <v>1617</v>
      </c>
      <c r="S1199" s="1310" t="s">
        <v>1633</v>
      </c>
      <c r="T1199" s="1310" t="s">
        <v>112</v>
      </c>
      <c r="U1199" s="1310" t="s">
        <v>1660</v>
      </c>
      <c r="V1199" s="1310" t="s">
        <v>1443</v>
      </c>
      <c r="W1199" s="1310" t="s">
        <v>1450</v>
      </c>
      <c r="X1199" s="1310" t="s">
        <v>1659</v>
      </c>
      <c r="Y1199" s="1310" t="s">
        <v>1570</v>
      </c>
      <c r="Z1199" s="1310" t="s">
        <v>1472</v>
      </c>
      <c r="AA1199" s="1310" t="s">
        <v>1579</v>
      </c>
      <c r="AB1199" s="1310" t="s">
        <v>1454</v>
      </c>
      <c r="AC1199" s="1310" t="s">
        <v>1501</v>
      </c>
      <c r="AD1199" s="1310" t="s">
        <v>1617</v>
      </c>
      <c r="AE1199" s="1310" t="s">
        <v>1597</v>
      </c>
      <c r="AF1199" s="1310" t="s">
        <v>1615</v>
      </c>
    </row>
    <row r="1200" spans="1:32" x14ac:dyDescent="0.3">
      <c r="A1200" s="1310" t="s">
        <v>1564</v>
      </c>
      <c r="B1200" s="1310" t="s">
        <v>1460</v>
      </c>
      <c r="C1200" s="1310" t="s">
        <v>126</v>
      </c>
      <c r="D1200" s="1310" t="s">
        <v>1650</v>
      </c>
      <c r="E1200" s="1310" t="s">
        <v>110</v>
      </c>
      <c r="F1200" s="1310" t="s">
        <v>1496</v>
      </c>
      <c r="G1200" s="1310" t="s">
        <v>1494</v>
      </c>
      <c r="H1200" s="1310" t="s">
        <v>1541</v>
      </c>
      <c r="I1200" s="1310" t="s">
        <v>1535</v>
      </c>
      <c r="J1200" s="1310" t="s">
        <v>1549</v>
      </c>
      <c r="K1200" s="1310" t="s">
        <v>1576</v>
      </c>
      <c r="L1200" s="1310" t="s">
        <v>1445</v>
      </c>
      <c r="M1200" s="1310" t="s">
        <v>1553</v>
      </c>
      <c r="N1200" s="1310" t="s">
        <v>1487</v>
      </c>
      <c r="O1200" s="1310" t="s">
        <v>1643</v>
      </c>
      <c r="P1200" s="1310" t="s">
        <v>265</v>
      </c>
      <c r="Q1200" s="1310" t="s">
        <v>1476</v>
      </c>
      <c r="R1200" s="1310" t="s">
        <v>1635</v>
      </c>
      <c r="S1200" s="1310" t="s">
        <v>1455</v>
      </c>
      <c r="T1200" s="1310" t="s">
        <v>128</v>
      </c>
      <c r="U1200" s="1310" t="s">
        <v>1504</v>
      </c>
      <c r="V1200" s="1310" t="s">
        <v>1501</v>
      </c>
      <c r="W1200" s="1310" t="s">
        <v>270</v>
      </c>
      <c r="X1200" s="1310" t="s">
        <v>1476</v>
      </c>
      <c r="Y1200" s="1310" t="s">
        <v>114</v>
      </c>
      <c r="Z1200" s="1310" t="s">
        <v>1623</v>
      </c>
      <c r="AA1200" s="1310" t="s">
        <v>1659</v>
      </c>
      <c r="AB1200" s="1310" t="s">
        <v>123</v>
      </c>
      <c r="AC1200" s="1310" t="s">
        <v>1529</v>
      </c>
      <c r="AD1200" s="1310" t="s">
        <v>1558</v>
      </c>
      <c r="AE1200" s="1310" t="s">
        <v>1617</v>
      </c>
      <c r="AF1200" s="1310" t="s">
        <v>1589</v>
      </c>
    </row>
    <row r="1201" spans="1:32" x14ac:dyDescent="0.3">
      <c r="A1201" s="1310" t="s">
        <v>123</v>
      </c>
      <c r="B1201" s="1310" t="s">
        <v>128</v>
      </c>
      <c r="C1201" s="1310" t="s">
        <v>1557</v>
      </c>
      <c r="D1201" s="1310" t="s">
        <v>1649</v>
      </c>
      <c r="E1201" s="1310" t="s">
        <v>267</v>
      </c>
      <c r="F1201" s="1310" t="s">
        <v>1649</v>
      </c>
      <c r="G1201" s="1310" t="s">
        <v>1622</v>
      </c>
      <c r="H1201" s="1310" t="s">
        <v>1590</v>
      </c>
      <c r="I1201" s="1310" t="s">
        <v>1451</v>
      </c>
      <c r="J1201" s="1310" t="s">
        <v>128</v>
      </c>
      <c r="K1201" s="1310" t="s">
        <v>1603</v>
      </c>
      <c r="L1201" s="1310" t="s">
        <v>1482</v>
      </c>
      <c r="M1201" s="1310" t="s">
        <v>1626</v>
      </c>
      <c r="N1201" s="1310" t="s">
        <v>117</v>
      </c>
      <c r="O1201" s="1310" t="s">
        <v>1585</v>
      </c>
      <c r="P1201" s="1310" t="s">
        <v>1629</v>
      </c>
      <c r="Q1201" s="1310" t="s">
        <v>1599</v>
      </c>
      <c r="R1201" s="1310" t="s">
        <v>1464</v>
      </c>
      <c r="S1201" s="1310" t="s">
        <v>1592</v>
      </c>
      <c r="T1201" s="1310" t="s">
        <v>1622</v>
      </c>
      <c r="U1201" s="1310" t="s">
        <v>1646</v>
      </c>
      <c r="V1201" s="1310" t="s">
        <v>1653</v>
      </c>
      <c r="W1201" s="1310" t="s">
        <v>1641</v>
      </c>
      <c r="X1201" s="1310" t="s">
        <v>1580</v>
      </c>
      <c r="Y1201" s="1310" t="s">
        <v>1510</v>
      </c>
      <c r="Z1201" s="1310" t="s">
        <v>1592</v>
      </c>
      <c r="AA1201" s="1310" t="s">
        <v>1489</v>
      </c>
      <c r="AB1201" s="1310" t="s">
        <v>1610</v>
      </c>
      <c r="AC1201" s="1310" t="s">
        <v>1658</v>
      </c>
      <c r="AD1201" s="1310" t="s">
        <v>1503</v>
      </c>
      <c r="AE1201" s="1310" t="s">
        <v>1500</v>
      </c>
      <c r="AF1201" s="1310" t="s">
        <v>126</v>
      </c>
    </row>
    <row r="1202" spans="1:32" x14ac:dyDescent="0.3">
      <c r="A1202" s="1310" t="s">
        <v>131</v>
      </c>
      <c r="B1202" s="1310" t="s">
        <v>1483</v>
      </c>
      <c r="C1202" s="1310" t="s">
        <v>1489</v>
      </c>
      <c r="D1202" s="1310" t="s">
        <v>1633</v>
      </c>
      <c r="E1202" s="1310" t="s">
        <v>1452</v>
      </c>
      <c r="F1202" s="1310" t="s">
        <v>1640</v>
      </c>
      <c r="G1202" s="1310" t="s">
        <v>1558</v>
      </c>
      <c r="H1202" s="1310" t="s">
        <v>1554</v>
      </c>
      <c r="I1202" s="1310" t="s">
        <v>1581</v>
      </c>
      <c r="J1202" s="1310" t="s">
        <v>1576</v>
      </c>
      <c r="K1202" s="1310" t="s">
        <v>1560</v>
      </c>
      <c r="L1202" s="1310" t="s">
        <v>125</v>
      </c>
      <c r="M1202" s="1310" t="s">
        <v>1650</v>
      </c>
      <c r="N1202" s="1310" t="s">
        <v>1487</v>
      </c>
      <c r="O1202" s="1310" t="s">
        <v>1654</v>
      </c>
      <c r="P1202" s="1310" t="s">
        <v>1543</v>
      </c>
      <c r="Q1202" s="1310" t="s">
        <v>1444</v>
      </c>
      <c r="R1202" s="1310" t="s">
        <v>1591</v>
      </c>
      <c r="S1202" s="1310" t="s">
        <v>1618</v>
      </c>
      <c r="T1202" s="1310" t="s">
        <v>1564</v>
      </c>
      <c r="U1202" s="1310" t="s">
        <v>1446</v>
      </c>
      <c r="V1202" s="1310" t="s">
        <v>1632</v>
      </c>
      <c r="W1202" s="1310" t="s">
        <v>1484</v>
      </c>
      <c r="X1202" s="1310" t="s">
        <v>1631</v>
      </c>
      <c r="Y1202" s="1310" t="s">
        <v>1510</v>
      </c>
      <c r="Z1202" s="1310" t="s">
        <v>1483</v>
      </c>
      <c r="AA1202" s="1310" t="s">
        <v>1443</v>
      </c>
      <c r="AB1202" s="1310" t="s">
        <v>1450</v>
      </c>
      <c r="AC1202" s="1310" t="s">
        <v>1629</v>
      </c>
      <c r="AD1202" s="1310" t="s">
        <v>1446</v>
      </c>
      <c r="AE1202" s="1310" t="s">
        <v>1468</v>
      </c>
      <c r="AF1202" s="1310" t="s">
        <v>127</v>
      </c>
    </row>
    <row r="1203" spans="1:32" x14ac:dyDescent="0.3">
      <c r="A1203" s="1310" t="s">
        <v>1580</v>
      </c>
      <c r="B1203" s="1310" t="s">
        <v>1615</v>
      </c>
      <c r="C1203" s="1310" t="s">
        <v>1614</v>
      </c>
      <c r="D1203" s="1310" t="s">
        <v>1648</v>
      </c>
      <c r="E1203" s="1310" t="s">
        <v>1447</v>
      </c>
      <c r="F1203" s="1310" t="s">
        <v>1493</v>
      </c>
      <c r="G1203" s="1310" t="s">
        <v>1640</v>
      </c>
      <c r="H1203" s="1310" t="s">
        <v>1624</v>
      </c>
      <c r="I1203" s="1310" t="s">
        <v>1647</v>
      </c>
      <c r="J1203" s="1310" t="s">
        <v>1613</v>
      </c>
      <c r="K1203" s="1310" t="s">
        <v>1488</v>
      </c>
      <c r="L1203" s="1310" t="s">
        <v>1569</v>
      </c>
      <c r="M1203" s="1310" t="s">
        <v>1617</v>
      </c>
      <c r="N1203" s="1310" t="s">
        <v>1654</v>
      </c>
      <c r="O1203" s="1310" t="s">
        <v>1474</v>
      </c>
      <c r="P1203" s="1310" t="s">
        <v>1502</v>
      </c>
      <c r="Q1203" s="1310" t="s">
        <v>1454</v>
      </c>
      <c r="R1203" s="1310" t="s">
        <v>1526</v>
      </c>
      <c r="S1203" s="1310" t="s">
        <v>1460</v>
      </c>
      <c r="T1203" s="1310" t="s">
        <v>1537</v>
      </c>
      <c r="U1203" s="1310" t="s">
        <v>1498</v>
      </c>
      <c r="V1203" s="1310" t="s">
        <v>128</v>
      </c>
      <c r="W1203" s="1310" t="s">
        <v>1492</v>
      </c>
      <c r="X1203" s="1310" t="s">
        <v>1496</v>
      </c>
      <c r="Y1203" s="1310" t="s">
        <v>1540</v>
      </c>
      <c r="Z1203" s="1310" t="s">
        <v>1523</v>
      </c>
      <c r="AA1203" s="1310" t="s">
        <v>1635</v>
      </c>
      <c r="AB1203" s="1310" t="s">
        <v>1564</v>
      </c>
      <c r="AC1203" s="1310" t="s">
        <v>129</v>
      </c>
      <c r="AD1203" s="1310" t="s">
        <v>1465</v>
      </c>
      <c r="AE1203" s="1310" t="s">
        <v>1647</v>
      </c>
      <c r="AF1203" s="1310" t="s">
        <v>1611</v>
      </c>
    </row>
    <row r="1204" spans="1:32" x14ac:dyDescent="0.3">
      <c r="A1204" s="1310" t="s">
        <v>1502</v>
      </c>
      <c r="B1204" s="1310" t="s">
        <v>1625</v>
      </c>
      <c r="C1204" s="1310" t="s">
        <v>1480</v>
      </c>
      <c r="D1204" s="1310" t="s">
        <v>129</v>
      </c>
      <c r="E1204" s="1310" t="s">
        <v>1537</v>
      </c>
      <c r="F1204" s="1310" t="s">
        <v>119</v>
      </c>
      <c r="G1204" s="1310" t="s">
        <v>118</v>
      </c>
      <c r="H1204" s="1310" t="s">
        <v>126</v>
      </c>
      <c r="I1204" s="1310" t="s">
        <v>1523</v>
      </c>
      <c r="J1204" s="1310" t="s">
        <v>1502</v>
      </c>
      <c r="K1204" s="1310" t="s">
        <v>112</v>
      </c>
      <c r="L1204" s="1310" t="s">
        <v>1504</v>
      </c>
      <c r="M1204" s="1310" t="s">
        <v>1545</v>
      </c>
      <c r="N1204" s="1310" t="s">
        <v>1588</v>
      </c>
      <c r="O1204" s="1310" t="s">
        <v>1538</v>
      </c>
      <c r="P1204" s="1310" t="s">
        <v>1658</v>
      </c>
      <c r="Q1204" s="1310" t="s">
        <v>114</v>
      </c>
      <c r="R1204" s="1310" t="s">
        <v>1508</v>
      </c>
      <c r="S1204" s="1310" t="s">
        <v>130</v>
      </c>
      <c r="T1204" s="1310" t="s">
        <v>1488</v>
      </c>
      <c r="U1204" s="1310" t="s">
        <v>1455</v>
      </c>
      <c r="V1204" s="1310" t="s">
        <v>1635</v>
      </c>
      <c r="W1204" s="1310" t="s">
        <v>1549</v>
      </c>
      <c r="X1204" s="1310" t="s">
        <v>1644</v>
      </c>
      <c r="Y1204" s="1310" t="s">
        <v>1632</v>
      </c>
      <c r="Z1204" s="1310" t="s">
        <v>1600</v>
      </c>
      <c r="AA1204" s="1310" t="s">
        <v>1509</v>
      </c>
      <c r="AB1204" s="1310" t="s">
        <v>1554</v>
      </c>
      <c r="AC1204" s="1310" t="s">
        <v>1452</v>
      </c>
      <c r="AD1204" s="1310" t="s">
        <v>1621</v>
      </c>
      <c r="AE1204" s="1310" t="s">
        <v>1541</v>
      </c>
      <c r="AF1204" s="1310" t="s">
        <v>1444</v>
      </c>
    </row>
    <row r="1205" spans="1:32" x14ac:dyDescent="0.3">
      <c r="A1205" s="1310" t="s">
        <v>465</v>
      </c>
      <c r="B1205" s="1310" t="s">
        <v>114</v>
      </c>
      <c r="C1205" s="1310" t="s">
        <v>1488</v>
      </c>
      <c r="D1205" s="1310" t="s">
        <v>1455</v>
      </c>
      <c r="E1205" s="1310" t="s">
        <v>1635</v>
      </c>
      <c r="F1205" s="1310" t="s">
        <v>1549</v>
      </c>
      <c r="G1205" s="1310" t="s">
        <v>1501</v>
      </c>
      <c r="H1205" s="1310" t="s">
        <v>1443</v>
      </c>
      <c r="I1205" s="1310" t="s">
        <v>1550</v>
      </c>
      <c r="J1205" s="1310" t="s">
        <v>1571</v>
      </c>
      <c r="K1205" s="1310" t="s">
        <v>1562</v>
      </c>
      <c r="L1205" s="1310" t="s">
        <v>1452</v>
      </c>
      <c r="M1205" s="1310" t="s">
        <v>1621</v>
      </c>
      <c r="N1205" s="1310" t="s">
        <v>1541</v>
      </c>
      <c r="O1205" s="1310" t="s">
        <v>1444</v>
      </c>
      <c r="P1205" s="1310" t="s">
        <v>465</v>
      </c>
      <c r="Q1205" s="1310" t="s">
        <v>114</v>
      </c>
      <c r="R1205" s="1310" t="s">
        <v>1488</v>
      </c>
      <c r="S1205" s="1310" t="s">
        <v>1455</v>
      </c>
      <c r="T1205" s="1310" t="s">
        <v>1635</v>
      </c>
      <c r="U1205" s="1310" t="s">
        <v>1549</v>
      </c>
      <c r="V1205" s="1310" t="s">
        <v>1644</v>
      </c>
      <c r="W1205" s="1310" t="s">
        <v>1632</v>
      </c>
      <c r="X1205" s="1310" t="s">
        <v>1600</v>
      </c>
      <c r="Y1205" s="1310" t="s">
        <v>1509</v>
      </c>
      <c r="Z1205" s="1310" t="s">
        <v>1554</v>
      </c>
      <c r="AA1205" s="1310" t="s">
        <v>1452</v>
      </c>
      <c r="AB1205" s="1310" t="s">
        <v>1621</v>
      </c>
      <c r="AC1205" s="1310" t="s">
        <v>1541</v>
      </c>
      <c r="AD1205" s="1310" t="s">
        <v>1444</v>
      </c>
      <c r="AE1205" s="1310" t="s">
        <v>465</v>
      </c>
      <c r="AF1205" s="1310" t="s">
        <v>114</v>
      </c>
    </row>
    <row r="1206" spans="1:32" x14ac:dyDescent="0.3">
      <c r="A1206" s="1310" t="s">
        <v>1488</v>
      </c>
      <c r="B1206" s="1310" t="s">
        <v>1593</v>
      </c>
      <c r="C1206" s="1310" t="s">
        <v>1580</v>
      </c>
      <c r="D1206" s="1310" t="s">
        <v>1601</v>
      </c>
      <c r="E1206" s="1310" t="s">
        <v>1633</v>
      </c>
      <c r="F1206" s="1310" t="s">
        <v>1636</v>
      </c>
      <c r="G1206" s="1310" t="s">
        <v>1480</v>
      </c>
      <c r="H1206" s="1310" t="s">
        <v>118</v>
      </c>
      <c r="I1206" s="1310" t="s">
        <v>1622</v>
      </c>
      <c r="J1206" s="1310" t="s">
        <v>1472</v>
      </c>
      <c r="K1206" s="1310" t="s">
        <v>1622</v>
      </c>
      <c r="L1206" s="1310" t="s">
        <v>1620</v>
      </c>
      <c r="M1206" s="1310" t="s">
        <v>1480</v>
      </c>
      <c r="N1206" s="1310" t="s">
        <v>1521</v>
      </c>
      <c r="O1206" s="1310" t="s">
        <v>1564</v>
      </c>
      <c r="P1206" s="1310" t="s">
        <v>1461</v>
      </c>
      <c r="Q1206" s="1310" t="s">
        <v>1590</v>
      </c>
      <c r="R1206" s="1310" t="s">
        <v>1493</v>
      </c>
      <c r="S1206" s="1310" t="s">
        <v>1457</v>
      </c>
      <c r="T1206" s="1310" t="s">
        <v>1632</v>
      </c>
      <c r="U1206" s="1310" t="s">
        <v>1560</v>
      </c>
      <c r="V1206" s="1310" t="s">
        <v>1572</v>
      </c>
      <c r="W1206" s="1310" t="s">
        <v>1536</v>
      </c>
      <c r="X1206" s="1310" t="s">
        <v>1541</v>
      </c>
      <c r="Y1206" s="1310" t="s">
        <v>1658</v>
      </c>
      <c r="Z1206" s="1310" t="s">
        <v>1534</v>
      </c>
      <c r="AA1206" s="1310" t="s">
        <v>1523</v>
      </c>
      <c r="AB1206" s="1310" t="s">
        <v>1502</v>
      </c>
      <c r="AC1206" s="1310" t="s">
        <v>1654</v>
      </c>
      <c r="AD1206" s="1310" t="s">
        <v>1660</v>
      </c>
      <c r="AE1206" s="1310" t="s">
        <v>1471</v>
      </c>
      <c r="AF1206" s="1310" t="s">
        <v>1546</v>
      </c>
    </row>
    <row r="1207" spans="1:32" x14ac:dyDescent="0.3">
      <c r="A1207" s="1310" t="s">
        <v>1514</v>
      </c>
      <c r="B1207" s="1310" t="s">
        <v>1541</v>
      </c>
      <c r="C1207" s="1310" t="s">
        <v>1622</v>
      </c>
      <c r="D1207" s="1310" t="s">
        <v>1459</v>
      </c>
      <c r="E1207" s="1310" t="s">
        <v>1526</v>
      </c>
      <c r="F1207" s="1310" t="s">
        <v>1569</v>
      </c>
      <c r="G1207" s="1310" t="s">
        <v>1491</v>
      </c>
      <c r="H1207" s="1310" t="s">
        <v>1630</v>
      </c>
      <c r="I1207" s="1310" t="s">
        <v>1621</v>
      </c>
      <c r="J1207" s="1310" t="s">
        <v>1571</v>
      </c>
      <c r="K1207" s="1310" t="s">
        <v>1571</v>
      </c>
      <c r="L1207" s="1310" t="s">
        <v>1592</v>
      </c>
      <c r="M1207" s="1310" t="s">
        <v>1475</v>
      </c>
      <c r="N1207" s="1310" t="s">
        <v>1581</v>
      </c>
      <c r="O1207" s="1310" t="s">
        <v>1604</v>
      </c>
      <c r="P1207" s="1310" t="s">
        <v>1523</v>
      </c>
      <c r="Q1207" s="1310" t="s">
        <v>1547</v>
      </c>
      <c r="R1207" s="1310" t="s">
        <v>1556</v>
      </c>
      <c r="S1207" s="1310" t="s">
        <v>1543</v>
      </c>
      <c r="T1207" s="1310" t="s">
        <v>1492</v>
      </c>
      <c r="U1207" s="1310" t="s">
        <v>1528</v>
      </c>
      <c r="V1207" s="1310" t="s">
        <v>1629</v>
      </c>
      <c r="W1207" s="1310" t="s">
        <v>124</v>
      </c>
      <c r="X1207" s="1310" t="s">
        <v>1463</v>
      </c>
      <c r="Y1207" s="1310" t="s">
        <v>1629</v>
      </c>
      <c r="Z1207" s="1310" t="s">
        <v>1568</v>
      </c>
      <c r="AA1207" s="1310" t="s">
        <v>1629</v>
      </c>
      <c r="AB1207" s="1310" t="s">
        <v>1649</v>
      </c>
      <c r="AC1207" s="1310" t="s">
        <v>268</v>
      </c>
      <c r="AD1207" s="1310" t="s">
        <v>1563</v>
      </c>
      <c r="AE1207" s="1310" t="s">
        <v>113</v>
      </c>
      <c r="AF1207" s="1310" t="s">
        <v>1617</v>
      </c>
    </row>
    <row r="1208" spans="1:32" x14ac:dyDescent="0.3">
      <c r="A1208" s="1310" t="s">
        <v>1533</v>
      </c>
      <c r="B1208" s="1310" t="s">
        <v>1657</v>
      </c>
      <c r="C1208" s="1310" t="s">
        <v>1558</v>
      </c>
      <c r="D1208" s="1310" t="s">
        <v>1457</v>
      </c>
      <c r="E1208" s="1310" t="s">
        <v>1480</v>
      </c>
      <c r="F1208" s="1310" t="s">
        <v>128</v>
      </c>
      <c r="G1208" s="1310" t="s">
        <v>1557</v>
      </c>
      <c r="H1208" s="1310" t="s">
        <v>1444</v>
      </c>
      <c r="I1208" s="1310" t="s">
        <v>1464</v>
      </c>
      <c r="J1208" s="1310" t="s">
        <v>113</v>
      </c>
      <c r="K1208" s="1310" t="s">
        <v>1622</v>
      </c>
      <c r="L1208" s="1310" t="s">
        <v>1620</v>
      </c>
      <c r="M1208" s="1310" t="s">
        <v>1651</v>
      </c>
      <c r="N1208" s="1310" t="s">
        <v>1591</v>
      </c>
      <c r="O1208" s="1310" t="s">
        <v>1451</v>
      </c>
      <c r="P1208" s="1310" t="s">
        <v>116</v>
      </c>
      <c r="Q1208" s="1310" t="s">
        <v>1544</v>
      </c>
      <c r="R1208" s="1310" t="s">
        <v>1560</v>
      </c>
      <c r="S1208" s="1310" t="s">
        <v>1564</v>
      </c>
      <c r="T1208" s="1310" t="s">
        <v>1460</v>
      </c>
      <c r="U1208" s="1310" t="s">
        <v>110</v>
      </c>
      <c r="V1208" s="1310" t="s">
        <v>1540</v>
      </c>
      <c r="W1208" s="1310" t="s">
        <v>1583</v>
      </c>
      <c r="X1208" s="1310" t="s">
        <v>1622</v>
      </c>
      <c r="Y1208" s="1310" t="s">
        <v>1564</v>
      </c>
      <c r="Z1208" s="1310" t="s">
        <v>1652</v>
      </c>
      <c r="AA1208" s="1310" t="s">
        <v>1641</v>
      </c>
      <c r="AB1208" s="1310" t="s">
        <v>1603</v>
      </c>
      <c r="AC1208" s="1310" t="s">
        <v>1510</v>
      </c>
      <c r="AD1208" s="1310" t="s">
        <v>1555</v>
      </c>
      <c r="AE1208" s="1310" t="s">
        <v>1481</v>
      </c>
      <c r="AF1208" s="1310" t="s">
        <v>1572</v>
      </c>
    </row>
    <row r="1209" spans="1:32" x14ac:dyDescent="0.3">
      <c r="A1209" s="1310" t="s">
        <v>1499</v>
      </c>
      <c r="B1209" s="1310" t="s">
        <v>1502</v>
      </c>
      <c r="C1209" s="1310" t="s">
        <v>1646</v>
      </c>
      <c r="D1209" s="1310" t="s">
        <v>269</v>
      </c>
      <c r="E1209" s="1310" t="s">
        <v>1587</v>
      </c>
      <c r="F1209" s="1310" t="s">
        <v>1474</v>
      </c>
      <c r="G1209" s="1310" t="s">
        <v>1472</v>
      </c>
      <c r="H1209" s="1310" t="s">
        <v>123</v>
      </c>
      <c r="I1209" s="1310" t="s">
        <v>1589</v>
      </c>
      <c r="J1209" s="1310" t="s">
        <v>1545</v>
      </c>
      <c r="K1209" s="1310" t="s">
        <v>1505</v>
      </c>
      <c r="L1209" s="1310" t="s">
        <v>1574</v>
      </c>
      <c r="M1209" s="1310" t="s">
        <v>1630</v>
      </c>
      <c r="N1209" s="1310" t="s">
        <v>1619</v>
      </c>
      <c r="O1209" s="1310" t="s">
        <v>1596</v>
      </c>
      <c r="P1209" s="1310" t="s">
        <v>1480</v>
      </c>
      <c r="Q1209" s="1310" t="s">
        <v>1515</v>
      </c>
      <c r="R1209" s="1310" t="s">
        <v>1597</v>
      </c>
      <c r="S1209" s="1310" t="s">
        <v>1503</v>
      </c>
      <c r="T1209" s="1310" t="s">
        <v>1630</v>
      </c>
      <c r="U1209" s="1310" t="s">
        <v>1482</v>
      </c>
      <c r="V1209" s="1310" t="s">
        <v>1462</v>
      </c>
      <c r="W1209" s="1310" t="s">
        <v>1513</v>
      </c>
      <c r="X1209" s="1310" t="s">
        <v>116</v>
      </c>
      <c r="Y1209" s="1310" t="s">
        <v>1463</v>
      </c>
      <c r="Z1209" s="1310" t="s">
        <v>1640</v>
      </c>
      <c r="AA1209" s="1310" t="s">
        <v>1618</v>
      </c>
      <c r="AB1209" s="1310" t="s">
        <v>1460</v>
      </c>
      <c r="AC1209" s="1310" t="s">
        <v>1497</v>
      </c>
      <c r="AD1209" s="1310" t="s">
        <v>1633</v>
      </c>
      <c r="AE1209" s="1310" t="s">
        <v>1518</v>
      </c>
      <c r="AF1209" s="1310" t="s">
        <v>1652</v>
      </c>
    </row>
    <row r="1210" spans="1:32" x14ac:dyDescent="0.3">
      <c r="A1210" s="1310" t="s">
        <v>262</v>
      </c>
      <c r="B1210" s="1310" t="s">
        <v>1463</v>
      </c>
      <c r="C1210" s="1310" t="s">
        <v>1579</v>
      </c>
      <c r="D1210" s="1310" t="s">
        <v>1533</v>
      </c>
      <c r="E1210" s="1310" t="s">
        <v>129</v>
      </c>
      <c r="F1210" s="1310" t="s">
        <v>1497</v>
      </c>
      <c r="G1210" s="1310" t="s">
        <v>1597</v>
      </c>
      <c r="H1210" s="1310" t="s">
        <v>1659</v>
      </c>
      <c r="I1210" s="1310" t="s">
        <v>1586</v>
      </c>
      <c r="J1210" s="1310" t="s">
        <v>1514</v>
      </c>
      <c r="K1210" s="1310" t="s">
        <v>1616</v>
      </c>
      <c r="L1210" s="1310" t="s">
        <v>1494</v>
      </c>
      <c r="M1210" s="1310" t="s">
        <v>1623</v>
      </c>
      <c r="N1210" s="1310" t="s">
        <v>1537</v>
      </c>
      <c r="O1210" s="1310" t="s">
        <v>1537</v>
      </c>
      <c r="P1210" s="1310" t="s">
        <v>1632</v>
      </c>
      <c r="Q1210" s="1310" t="s">
        <v>1508</v>
      </c>
      <c r="R1210" s="1310" t="s">
        <v>1658</v>
      </c>
      <c r="S1210" s="1310" t="s">
        <v>1550</v>
      </c>
      <c r="T1210" s="1310" t="s">
        <v>1647</v>
      </c>
      <c r="U1210" s="1310" t="s">
        <v>1643</v>
      </c>
      <c r="V1210" s="1310" t="s">
        <v>1640</v>
      </c>
      <c r="W1210" s="1310" t="s">
        <v>1635</v>
      </c>
      <c r="X1210" s="1310" t="s">
        <v>1630</v>
      </c>
      <c r="Y1210" s="1310" t="s">
        <v>1616</v>
      </c>
      <c r="Z1210" s="1310" t="s">
        <v>1633</v>
      </c>
      <c r="AA1210" s="1310" t="s">
        <v>1539</v>
      </c>
      <c r="AB1210" s="1310" t="s">
        <v>132</v>
      </c>
      <c r="AC1210" s="1310" t="s">
        <v>1603</v>
      </c>
      <c r="AD1210" s="1310" t="s">
        <v>1617</v>
      </c>
      <c r="AE1210" s="1310" t="s">
        <v>1605</v>
      </c>
      <c r="AF1210" s="1310" t="s">
        <v>1626</v>
      </c>
    </row>
    <row r="1211" spans="1:32" x14ac:dyDescent="0.3">
      <c r="A1211" s="1310" t="s">
        <v>1493</v>
      </c>
      <c r="B1211" s="1310" t="s">
        <v>1624</v>
      </c>
      <c r="C1211" s="1310" t="s">
        <v>1625</v>
      </c>
      <c r="D1211" s="1310" t="s">
        <v>6</v>
      </c>
      <c r="E1211" s="1310" t="s">
        <v>1490</v>
      </c>
      <c r="F1211" s="1310" t="s">
        <v>1561</v>
      </c>
      <c r="G1211" s="1310" t="s">
        <v>1601</v>
      </c>
      <c r="H1211" s="1310" t="s">
        <v>1583</v>
      </c>
      <c r="I1211" s="1310" t="s">
        <v>133</v>
      </c>
      <c r="J1211" s="1310" t="s">
        <v>1570</v>
      </c>
      <c r="K1211" s="1310" t="s">
        <v>1495</v>
      </c>
      <c r="L1211" s="1310" t="s">
        <v>1562</v>
      </c>
      <c r="M1211" s="1310" t="s">
        <v>1580</v>
      </c>
      <c r="N1211" s="1310" t="s">
        <v>1563</v>
      </c>
      <c r="O1211" s="1310" t="s">
        <v>264</v>
      </c>
      <c r="P1211" s="1310" t="s">
        <v>1525</v>
      </c>
      <c r="Q1211" s="1310" t="s">
        <v>1568</v>
      </c>
      <c r="R1211" s="1310" t="s">
        <v>1542</v>
      </c>
      <c r="S1211" s="1310" t="s">
        <v>1614</v>
      </c>
      <c r="T1211" s="1310" t="s">
        <v>117</v>
      </c>
      <c r="U1211" s="1310" t="s">
        <v>1617</v>
      </c>
      <c r="V1211" s="1310" t="s">
        <v>1516</v>
      </c>
      <c r="W1211" s="1310" t="s">
        <v>1579</v>
      </c>
      <c r="X1211" s="1310" t="s">
        <v>1658</v>
      </c>
      <c r="Y1211" s="1310" t="s">
        <v>1490</v>
      </c>
      <c r="Z1211" s="1310" t="s">
        <v>1465</v>
      </c>
      <c r="AA1211" s="1310" t="s">
        <v>1627</v>
      </c>
      <c r="AB1211" s="1310" t="s">
        <v>1502</v>
      </c>
      <c r="AC1211" s="1310" t="s">
        <v>1499</v>
      </c>
      <c r="AD1211" s="1310" t="s">
        <v>1658</v>
      </c>
      <c r="AE1211" s="1310" t="s">
        <v>1579</v>
      </c>
      <c r="AF1211" s="1310" t="s">
        <v>1487</v>
      </c>
    </row>
    <row r="1212" spans="1:32" x14ac:dyDescent="0.3">
      <c r="A1212" s="1310" t="s">
        <v>1589</v>
      </c>
      <c r="B1212" s="1310" t="s">
        <v>1549</v>
      </c>
      <c r="C1212" s="1310" t="s">
        <v>1625</v>
      </c>
      <c r="D1212" s="1310" t="s">
        <v>1502</v>
      </c>
      <c r="E1212" s="1310" t="s">
        <v>1543</v>
      </c>
      <c r="F1212" s="1310" t="s">
        <v>1648</v>
      </c>
      <c r="G1212" s="1310" t="s">
        <v>1656</v>
      </c>
      <c r="H1212" s="1310" t="s">
        <v>118</v>
      </c>
      <c r="I1212" s="1310" t="s">
        <v>1492</v>
      </c>
      <c r="J1212" s="1310" t="s">
        <v>116</v>
      </c>
      <c r="K1212" s="1310" t="s">
        <v>1529</v>
      </c>
      <c r="L1212" s="1310" t="s">
        <v>1506</v>
      </c>
      <c r="M1212" s="1310" t="s">
        <v>1520</v>
      </c>
      <c r="N1212" s="1310" t="s">
        <v>1553</v>
      </c>
      <c r="O1212" s="1310" t="s">
        <v>1599</v>
      </c>
      <c r="P1212" s="1310" t="s">
        <v>113</v>
      </c>
      <c r="Q1212" s="1310" t="s">
        <v>1516</v>
      </c>
      <c r="R1212" s="1310" t="s">
        <v>266</v>
      </c>
      <c r="S1212" s="1310" t="s">
        <v>1657</v>
      </c>
      <c r="T1212" s="1310" t="s">
        <v>471</v>
      </c>
      <c r="U1212" s="1310" t="s">
        <v>1452</v>
      </c>
      <c r="V1212" s="1310" t="s">
        <v>133</v>
      </c>
      <c r="W1212" s="1310" t="s">
        <v>1451</v>
      </c>
      <c r="X1212" s="1310" t="s">
        <v>1512</v>
      </c>
      <c r="Y1212" s="1310" t="s">
        <v>1538</v>
      </c>
      <c r="Z1212" s="1310" t="s">
        <v>1538</v>
      </c>
      <c r="AA1212" s="1310" t="s">
        <v>1508</v>
      </c>
      <c r="AB1212" s="1310" t="s">
        <v>471</v>
      </c>
      <c r="AC1212" s="1310" t="s">
        <v>1452</v>
      </c>
      <c r="AD1212" s="1310" t="s">
        <v>1640</v>
      </c>
      <c r="AE1212" s="1310" t="s">
        <v>1621</v>
      </c>
      <c r="AF1212" s="1310" t="s">
        <v>1542</v>
      </c>
    </row>
    <row r="1213" spans="1:32" x14ac:dyDescent="0.3">
      <c r="A1213" s="1310" t="s">
        <v>1548</v>
      </c>
      <c r="B1213" s="1310" t="s">
        <v>1467</v>
      </c>
      <c r="C1213" s="1310" t="s">
        <v>1608</v>
      </c>
      <c r="D1213" s="1310" t="s">
        <v>1625</v>
      </c>
      <c r="E1213" s="1310" t="s">
        <v>1541</v>
      </c>
      <c r="F1213" s="1310" t="s">
        <v>1487</v>
      </c>
      <c r="G1213" s="1310" t="s">
        <v>1537</v>
      </c>
      <c r="H1213" s="1310" t="s">
        <v>1576</v>
      </c>
      <c r="I1213" s="1310" t="s">
        <v>1524</v>
      </c>
      <c r="J1213" s="1310" t="s">
        <v>1602</v>
      </c>
      <c r="K1213" s="1310" t="s">
        <v>1596</v>
      </c>
      <c r="L1213" s="1310" t="s">
        <v>1509</v>
      </c>
      <c r="M1213" s="1310" t="s">
        <v>1455</v>
      </c>
      <c r="N1213" s="1310" t="s">
        <v>1572</v>
      </c>
      <c r="O1213" s="1310" t="s">
        <v>1560</v>
      </c>
      <c r="P1213" s="1310" t="s">
        <v>1616</v>
      </c>
      <c r="Q1213" s="1310" t="s">
        <v>1635</v>
      </c>
      <c r="R1213" s="1310" t="s">
        <v>1611</v>
      </c>
      <c r="S1213" s="1310" t="s">
        <v>130</v>
      </c>
      <c r="T1213" s="1310" t="s">
        <v>1455</v>
      </c>
      <c r="U1213" s="1310" t="s">
        <v>1583</v>
      </c>
      <c r="V1213" s="1310" t="s">
        <v>1574</v>
      </c>
      <c r="W1213" s="1310" t="s">
        <v>1560</v>
      </c>
      <c r="X1213" s="1310" t="s">
        <v>1583</v>
      </c>
      <c r="Y1213" s="1310" t="s">
        <v>264</v>
      </c>
      <c r="Z1213" s="1310" t="s">
        <v>1556</v>
      </c>
      <c r="AA1213" s="1310" t="s">
        <v>1030</v>
      </c>
      <c r="AB1213" s="1310" t="s">
        <v>1509</v>
      </c>
      <c r="AC1213" s="1310" t="s">
        <v>1582</v>
      </c>
      <c r="AD1213" s="1310" t="s">
        <v>1463</v>
      </c>
      <c r="AE1213" s="1310" t="s">
        <v>1544</v>
      </c>
      <c r="AF1213" s="1310" t="s">
        <v>1522</v>
      </c>
    </row>
    <row r="1214" spans="1:32" x14ac:dyDescent="0.3">
      <c r="A1214" s="1310" t="s">
        <v>1609</v>
      </c>
      <c r="B1214" s="1310" t="s">
        <v>1549</v>
      </c>
      <c r="C1214" s="1310" t="s">
        <v>1588</v>
      </c>
      <c r="D1214" s="1310" t="s">
        <v>1468</v>
      </c>
      <c r="E1214" s="1310" t="s">
        <v>1559</v>
      </c>
      <c r="F1214" s="1310" t="s">
        <v>1611</v>
      </c>
      <c r="G1214" s="1310" t="s">
        <v>1632</v>
      </c>
      <c r="H1214" s="1310" t="s">
        <v>1591</v>
      </c>
      <c r="I1214" s="1310" t="s">
        <v>1455</v>
      </c>
      <c r="J1214" s="1310" t="s">
        <v>1616</v>
      </c>
      <c r="K1214" s="1310" t="s">
        <v>1560</v>
      </c>
      <c r="L1214" s="1310" t="s">
        <v>1443</v>
      </c>
      <c r="M1214" s="1310" t="s">
        <v>1450</v>
      </c>
      <c r="N1214" s="1310" t="s">
        <v>1478</v>
      </c>
      <c r="O1214" s="1310" t="s">
        <v>1475</v>
      </c>
      <c r="P1214" s="1310" t="s">
        <v>1530</v>
      </c>
      <c r="Q1214" s="1310" t="s">
        <v>1498</v>
      </c>
      <c r="R1214" s="1310" t="s">
        <v>1473</v>
      </c>
      <c r="S1214" s="1310" t="s">
        <v>1577</v>
      </c>
      <c r="T1214" s="1310" t="s">
        <v>1563</v>
      </c>
      <c r="U1214" s="1310" t="s">
        <v>1572</v>
      </c>
      <c r="V1214" s="1310" t="s">
        <v>1576</v>
      </c>
      <c r="W1214" s="1310" t="s">
        <v>124</v>
      </c>
      <c r="X1214" s="1310" t="s">
        <v>1457</v>
      </c>
      <c r="Y1214" s="1310" t="s">
        <v>1456</v>
      </c>
      <c r="Z1214" s="1310" t="s">
        <v>1455</v>
      </c>
      <c r="AA1214" s="1310" t="s">
        <v>133</v>
      </c>
      <c r="AB1214" s="1310" t="s">
        <v>1614</v>
      </c>
      <c r="AC1214" s="1310" t="s">
        <v>1654</v>
      </c>
      <c r="AD1214" s="1310" t="s">
        <v>1623</v>
      </c>
      <c r="AE1214" s="1310" t="s">
        <v>113</v>
      </c>
      <c r="AF1214" s="1310" t="s">
        <v>1577</v>
      </c>
    </row>
    <row r="1215" spans="1:32" x14ac:dyDescent="0.3">
      <c r="A1215" s="1310" t="s">
        <v>1494</v>
      </c>
      <c r="B1215" s="1310" t="s">
        <v>1578</v>
      </c>
      <c r="C1215" s="1310" t="s">
        <v>1560</v>
      </c>
      <c r="D1215" s="1310" t="s">
        <v>1604</v>
      </c>
      <c r="E1215" s="1310" t="s">
        <v>1481</v>
      </c>
      <c r="F1215" s="1310" t="s">
        <v>1620</v>
      </c>
      <c r="G1215" s="1310" t="s">
        <v>1474</v>
      </c>
      <c r="H1215" s="1310" t="s">
        <v>1546</v>
      </c>
      <c r="I1215" s="1310" t="s">
        <v>1647</v>
      </c>
      <c r="J1215" s="1310" t="s">
        <v>1615</v>
      </c>
      <c r="K1215" s="1310" t="s">
        <v>1623</v>
      </c>
      <c r="L1215" s="1310" t="s">
        <v>1597</v>
      </c>
      <c r="M1215" s="1310" t="s">
        <v>1570</v>
      </c>
      <c r="N1215" s="1310" t="s">
        <v>1581</v>
      </c>
      <c r="O1215" s="1310" t="s">
        <v>1636</v>
      </c>
      <c r="P1215" s="1310" t="s">
        <v>1635</v>
      </c>
      <c r="Q1215" s="1310" t="s">
        <v>120</v>
      </c>
      <c r="R1215" s="1310" t="s">
        <v>1456</v>
      </c>
      <c r="S1215" s="1310" t="s">
        <v>1569</v>
      </c>
      <c r="T1215" s="1310" t="s">
        <v>117</v>
      </c>
      <c r="U1215" s="1310" t="s">
        <v>1517</v>
      </c>
      <c r="V1215" s="1310" t="s">
        <v>115</v>
      </c>
      <c r="W1215" s="1310" t="s">
        <v>1604</v>
      </c>
      <c r="X1215" s="1310" t="s">
        <v>120</v>
      </c>
      <c r="Y1215" s="1310" t="s">
        <v>1457</v>
      </c>
      <c r="Z1215" s="1310" t="s">
        <v>1629</v>
      </c>
      <c r="AA1215" s="1310" t="s">
        <v>1650</v>
      </c>
      <c r="AB1215" s="1310" t="s">
        <v>116</v>
      </c>
      <c r="AC1215" s="1310" t="s">
        <v>1584</v>
      </c>
      <c r="AD1215" s="1310" t="s">
        <v>1603</v>
      </c>
      <c r="AE1215" s="1310" t="s">
        <v>115</v>
      </c>
      <c r="AF1215" s="1310" t="s">
        <v>1494</v>
      </c>
    </row>
    <row r="1216" spans="1:32" x14ac:dyDescent="0.3">
      <c r="A1216" s="1310" t="s">
        <v>1594</v>
      </c>
      <c r="B1216" s="1310" t="s">
        <v>1615</v>
      </c>
      <c r="C1216" s="1310" t="s">
        <v>128</v>
      </c>
      <c r="D1216" s="1310" t="s">
        <v>265</v>
      </c>
      <c r="E1216" s="1310" t="s">
        <v>1648</v>
      </c>
      <c r="F1216" s="1310" t="s">
        <v>1479</v>
      </c>
      <c r="G1216" s="1310" t="s">
        <v>1648</v>
      </c>
      <c r="H1216" s="1310" t="s">
        <v>1543</v>
      </c>
      <c r="I1216" s="1310" t="s">
        <v>1483</v>
      </c>
      <c r="J1216" s="1310" t="s">
        <v>127</v>
      </c>
      <c r="K1216" s="1310" t="s">
        <v>1498</v>
      </c>
      <c r="L1216" s="1310" t="s">
        <v>1659</v>
      </c>
      <c r="M1216" s="1310" t="s">
        <v>1624</v>
      </c>
      <c r="N1216" s="1310" t="s">
        <v>1588</v>
      </c>
      <c r="O1216" s="1310" t="s">
        <v>1515</v>
      </c>
      <c r="P1216" s="1310" t="s">
        <v>1616</v>
      </c>
      <c r="Q1216" s="1310" t="s">
        <v>1633</v>
      </c>
      <c r="R1216" s="1310" t="s">
        <v>1476</v>
      </c>
      <c r="S1216" s="1310" t="s">
        <v>1597</v>
      </c>
      <c r="T1216" s="1310" t="s">
        <v>1546</v>
      </c>
      <c r="U1216" s="1310" t="s">
        <v>1500</v>
      </c>
      <c r="V1216" s="1310" t="s">
        <v>1554</v>
      </c>
      <c r="W1216" s="1310" t="s">
        <v>1514</v>
      </c>
      <c r="X1216" s="1310" t="s">
        <v>1544</v>
      </c>
      <c r="Y1216" s="1310" t="s">
        <v>1658</v>
      </c>
      <c r="Z1216" s="1310" t="s">
        <v>1571</v>
      </c>
      <c r="AA1216" s="1310" t="s">
        <v>1472</v>
      </c>
      <c r="AB1216" s="1310" t="s">
        <v>1620</v>
      </c>
      <c r="AC1216" s="1310" t="s">
        <v>1561</v>
      </c>
      <c r="AD1216" s="1310" t="s">
        <v>1568</v>
      </c>
      <c r="AE1216" s="1310" t="s">
        <v>1533</v>
      </c>
      <c r="AF1216" s="1310" t="s">
        <v>1508</v>
      </c>
    </row>
    <row r="1217" spans="1:32" x14ac:dyDescent="0.3">
      <c r="A1217" s="1310" t="s">
        <v>1596</v>
      </c>
      <c r="B1217" s="1310" t="s">
        <v>1461</v>
      </c>
      <c r="C1217" s="1310" t="s">
        <v>1652</v>
      </c>
      <c r="D1217" s="1310" t="s">
        <v>1484</v>
      </c>
      <c r="E1217" s="1310" t="s">
        <v>1548</v>
      </c>
      <c r="F1217" s="1310" t="s">
        <v>1450</v>
      </c>
      <c r="G1217" s="1310" t="s">
        <v>1548</v>
      </c>
      <c r="H1217" s="1310" t="s">
        <v>1030</v>
      </c>
      <c r="I1217" s="1310" t="s">
        <v>1485</v>
      </c>
      <c r="J1217" s="1310" t="s">
        <v>1588</v>
      </c>
      <c r="K1217" s="1310" t="s">
        <v>1493</v>
      </c>
      <c r="L1217" s="1310" t="s">
        <v>1558</v>
      </c>
      <c r="M1217" s="1310" t="s">
        <v>123</v>
      </c>
      <c r="N1217" s="1310" t="s">
        <v>1490</v>
      </c>
      <c r="O1217" s="1310" t="s">
        <v>1526</v>
      </c>
      <c r="P1217" s="1310" t="s">
        <v>1565</v>
      </c>
      <c r="Q1217" s="1310" t="s">
        <v>1659</v>
      </c>
      <c r="R1217" s="1310" t="s">
        <v>1465</v>
      </c>
      <c r="S1217" s="1310" t="s">
        <v>1509</v>
      </c>
      <c r="T1217" s="1310" t="s">
        <v>1612</v>
      </c>
      <c r="U1217" s="1310" t="s">
        <v>116</v>
      </c>
      <c r="V1217" s="1310" t="s">
        <v>1495</v>
      </c>
      <c r="W1217" s="1310" t="s">
        <v>123</v>
      </c>
      <c r="X1217" s="1310" t="s">
        <v>1496</v>
      </c>
      <c r="Y1217" s="1310" t="s">
        <v>1629</v>
      </c>
      <c r="Z1217" s="1310" t="s">
        <v>1585</v>
      </c>
      <c r="AA1217" s="1310" t="s">
        <v>1451</v>
      </c>
      <c r="AB1217" s="1310" t="s">
        <v>1535</v>
      </c>
      <c r="AC1217" s="1310" t="s">
        <v>1604</v>
      </c>
      <c r="AD1217" s="1310" t="s">
        <v>1550</v>
      </c>
      <c r="AE1217" s="1310" t="s">
        <v>118</v>
      </c>
      <c r="AF1217" s="1310" t="s">
        <v>1583</v>
      </c>
    </row>
    <row r="1218" spans="1:32" x14ac:dyDescent="0.3">
      <c r="A1218" s="1310" t="s">
        <v>1549</v>
      </c>
      <c r="B1218" s="1310" t="s">
        <v>1630</v>
      </c>
      <c r="C1218" s="1310" t="s">
        <v>1613</v>
      </c>
      <c r="D1218" s="1310" t="s">
        <v>1602</v>
      </c>
      <c r="E1218" s="1310" t="s">
        <v>1536</v>
      </c>
      <c r="F1218" s="1310" t="s">
        <v>125</v>
      </c>
      <c r="G1218" s="1310" t="s">
        <v>1607</v>
      </c>
      <c r="H1218" s="1310" t="s">
        <v>1515</v>
      </c>
      <c r="I1218" s="1310" t="s">
        <v>1451</v>
      </c>
      <c r="J1218" s="1310" t="s">
        <v>1480</v>
      </c>
      <c r="K1218" s="1310" t="s">
        <v>1591</v>
      </c>
      <c r="L1218" s="1310" t="s">
        <v>1534</v>
      </c>
      <c r="M1218" s="1310" t="s">
        <v>1644</v>
      </c>
      <c r="N1218" s="1310" t="s">
        <v>132</v>
      </c>
      <c r="O1218" s="1310" t="s">
        <v>112</v>
      </c>
      <c r="P1218" s="1310" t="s">
        <v>123</v>
      </c>
      <c r="Q1218" s="1310" t="s">
        <v>1579</v>
      </c>
      <c r="R1218" s="1310" t="s">
        <v>1490</v>
      </c>
      <c r="S1218" s="1310" t="s">
        <v>1560</v>
      </c>
      <c r="T1218" s="1310" t="s">
        <v>1475</v>
      </c>
      <c r="U1218" s="1310" t="s">
        <v>1615</v>
      </c>
      <c r="V1218" s="1310" t="s">
        <v>1529</v>
      </c>
      <c r="W1218" s="1310" t="s">
        <v>1619</v>
      </c>
      <c r="X1218" s="1310" t="s">
        <v>1501</v>
      </c>
      <c r="Y1218" s="1310" t="s">
        <v>268</v>
      </c>
      <c r="Z1218" s="1310" t="s">
        <v>1635</v>
      </c>
      <c r="AA1218" s="1310" t="s">
        <v>1622</v>
      </c>
      <c r="AB1218" s="1310" t="s">
        <v>1634</v>
      </c>
      <c r="AC1218" s="1310" t="s">
        <v>1520</v>
      </c>
      <c r="AD1218" s="1310" t="s">
        <v>118</v>
      </c>
      <c r="AE1218" s="1310" t="s">
        <v>1624</v>
      </c>
      <c r="AF1218" s="1310" t="s">
        <v>1565</v>
      </c>
    </row>
    <row r="1219" spans="1:32" x14ac:dyDescent="0.3">
      <c r="A1219" s="1310" t="s">
        <v>1608</v>
      </c>
      <c r="B1219" s="1310" t="s">
        <v>1564</v>
      </c>
      <c r="C1219" s="1310" t="s">
        <v>1607</v>
      </c>
      <c r="D1219" s="1310" t="s">
        <v>1594</v>
      </c>
      <c r="E1219" s="1310" t="s">
        <v>1479</v>
      </c>
      <c r="F1219" s="1310" t="s">
        <v>123</v>
      </c>
      <c r="G1219" s="1310" t="s">
        <v>1542</v>
      </c>
      <c r="H1219" s="1310" t="s">
        <v>1602</v>
      </c>
      <c r="I1219" s="1310" t="s">
        <v>1637</v>
      </c>
      <c r="J1219" s="1310" t="s">
        <v>1517</v>
      </c>
      <c r="K1219" s="1310" t="s">
        <v>1491</v>
      </c>
      <c r="L1219" s="1310" t="s">
        <v>1659</v>
      </c>
      <c r="M1219" s="1310" t="s">
        <v>1636</v>
      </c>
      <c r="N1219" s="1310" t="s">
        <v>1483</v>
      </c>
      <c r="O1219" s="1310" t="s">
        <v>1585</v>
      </c>
      <c r="P1219" s="1310" t="s">
        <v>1507</v>
      </c>
      <c r="Q1219" s="1310" t="s">
        <v>1639</v>
      </c>
      <c r="R1219" s="1310" t="s">
        <v>1618</v>
      </c>
      <c r="S1219" s="1310" t="s">
        <v>1584</v>
      </c>
      <c r="T1219" s="1310" t="s">
        <v>1620</v>
      </c>
      <c r="U1219" s="1310" t="s">
        <v>1537</v>
      </c>
      <c r="V1219" s="1310" t="s">
        <v>1521</v>
      </c>
      <c r="W1219" s="1310" t="s">
        <v>1620</v>
      </c>
      <c r="X1219" s="1310" t="s">
        <v>1484</v>
      </c>
      <c r="Y1219" s="1310" t="s">
        <v>1656</v>
      </c>
      <c r="Z1219" s="1310" t="s">
        <v>1655</v>
      </c>
      <c r="AA1219" s="1310" t="s">
        <v>1653</v>
      </c>
      <c r="AB1219" s="1310" t="s">
        <v>1526</v>
      </c>
      <c r="AC1219" s="1310" t="s">
        <v>1548</v>
      </c>
      <c r="AD1219" s="1310" t="s">
        <v>1599</v>
      </c>
      <c r="AE1219" s="1310" t="s">
        <v>1631</v>
      </c>
      <c r="AF1219" s="1310" t="s">
        <v>1450</v>
      </c>
    </row>
    <row r="1220" spans="1:32" x14ac:dyDescent="0.3">
      <c r="A1220" s="1310" t="s">
        <v>1472</v>
      </c>
      <c r="B1220" s="1310" t="s">
        <v>1487</v>
      </c>
      <c r="C1220" s="1310" t="s">
        <v>1648</v>
      </c>
      <c r="D1220" s="1310" t="s">
        <v>1597</v>
      </c>
      <c r="E1220" s="1310" t="s">
        <v>1556</v>
      </c>
      <c r="F1220" s="1310" t="s">
        <v>1446</v>
      </c>
      <c r="G1220" s="1310" t="s">
        <v>1628</v>
      </c>
      <c r="H1220" s="1310" t="s">
        <v>1452</v>
      </c>
      <c r="I1220" s="1310" t="s">
        <v>1586</v>
      </c>
      <c r="J1220" s="1310" t="s">
        <v>125</v>
      </c>
      <c r="K1220" s="1310" t="s">
        <v>1520</v>
      </c>
      <c r="L1220" s="1310" t="s">
        <v>1643</v>
      </c>
      <c r="M1220" s="1310" t="s">
        <v>1623</v>
      </c>
      <c r="N1220" s="1310" t="s">
        <v>1627</v>
      </c>
      <c r="O1220" s="1310" t="s">
        <v>1635</v>
      </c>
      <c r="P1220" s="1310" t="s">
        <v>1566</v>
      </c>
      <c r="Q1220" s="1310" t="s">
        <v>1446</v>
      </c>
      <c r="R1220" s="1310" t="s">
        <v>1464</v>
      </c>
      <c r="S1220" s="1310" t="s">
        <v>117</v>
      </c>
      <c r="T1220" s="1310" t="s">
        <v>1493</v>
      </c>
      <c r="U1220" s="1310" t="s">
        <v>115</v>
      </c>
      <c r="V1220" s="1310" t="s">
        <v>122</v>
      </c>
      <c r="W1220" s="1310" t="s">
        <v>1570</v>
      </c>
      <c r="X1220" s="1310" t="s">
        <v>1540</v>
      </c>
      <c r="Y1220" s="1310" t="s">
        <v>1597</v>
      </c>
      <c r="Z1220" s="1310" t="s">
        <v>1632</v>
      </c>
      <c r="AA1220" s="1310" t="s">
        <v>132</v>
      </c>
      <c r="AB1220" s="1310" t="s">
        <v>1636</v>
      </c>
      <c r="AC1220" s="1310" t="s">
        <v>1642</v>
      </c>
      <c r="AD1220" s="1310" t="s">
        <v>112</v>
      </c>
      <c r="AE1220" s="1310" t="s">
        <v>1639</v>
      </c>
      <c r="AF1220" s="1310" t="s">
        <v>1458</v>
      </c>
    </row>
    <row r="1221" spans="1:32" x14ac:dyDescent="0.3">
      <c r="A1221" s="1310" t="s">
        <v>1598</v>
      </c>
      <c r="B1221" s="1310" t="s">
        <v>126</v>
      </c>
      <c r="C1221" s="1310" t="s">
        <v>1516</v>
      </c>
      <c r="D1221" s="1310" t="s">
        <v>1495</v>
      </c>
      <c r="E1221" s="1310" t="s">
        <v>1499</v>
      </c>
      <c r="F1221" s="1310" t="s">
        <v>1467</v>
      </c>
      <c r="G1221" s="1310" t="s">
        <v>1606</v>
      </c>
      <c r="H1221" s="1310" t="s">
        <v>1590</v>
      </c>
      <c r="I1221" s="1310" t="s">
        <v>130</v>
      </c>
      <c r="J1221" s="1310" t="s">
        <v>1510</v>
      </c>
      <c r="K1221" s="1310" t="s">
        <v>1566</v>
      </c>
      <c r="L1221" s="1310" t="s">
        <v>1607</v>
      </c>
      <c r="M1221" s="1310" t="s">
        <v>1643</v>
      </c>
      <c r="N1221" s="1310" t="s">
        <v>1539</v>
      </c>
      <c r="O1221" s="1310" t="s">
        <v>1443</v>
      </c>
      <c r="P1221" s="1310" t="s">
        <v>1450</v>
      </c>
      <c r="Q1221" s="1310" t="s">
        <v>1629</v>
      </c>
      <c r="R1221" s="1310" t="s">
        <v>1537</v>
      </c>
      <c r="S1221" s="1310" t="s">
        <v>1468</v>
      </c>
      <c r="T1221" s="1310" t="s">
        <v>1466</v>
      </c>
      <c r="U1221" s="1310" t="s">
        <v>131</v>
      </c>
      <c r="V1221" s="1310" t="s">
        <v>1607</v>
      </c>
      <c r="W1221" s="1310" t="s">
        <v>1561</v>
      </c>
      <c r="X1221" s="1310" t="s">
        <v>1443</v>
      </c>
      <c r="Y1221" s="1310" t="s">
        <v>1450</v>
      </c>
      <c r="Z1221" s="1310" t="s">
        <v>1523</v>
      </c>
      <c r="AA1221" s="1310" t="s">
        <v>1468</v>
      </c>
      <c r="AB1221" s="1310" t="s">
        <v>1584</v>
      </c>
      <c r="AC1221" s="1310" t="s">
        <v>1635</v>
      </c>
      <c r="AD1221" s="1310" t="s">
        <v>1478</v>
      </c>
      <c r="AE1221" s="1310" t="s">
        <v>1483</v>
      </c>
      <c r="AF1221" s="1310" t="s">
        <v>1552</v>
      </c>
    </row>
    <row r="1222" spans="1:32" x14ac:dyDescent="0.3">
      <c r="A1222" s="1310" t="s">
        <v>1623</v>
      </c>
      <c r="B1222" s="1310" t="s">
        <v>1543</v>
      </c>
      <c r="C1222" s="1310" t="s">
        <v>6</v>
      </c>
      <c r="D1222" s="1310" t="s">
        <v>1620</v>
      </c>
      <c r="E1222" s="1310" t="s">
        <v>1612</v>
      </c>
      <c r="F1222" s="1310" t="s">
        <v>1552</v>
      </c>
      <c r="G1222" s="1310" t="s">
        <v>1630</v>
      </c>
      <c r="H1222" s="1310" t="s">
        <v>1454</v>
      </c>
      <c r="I1222" s="1310" t="s">
        <v>1488</v>
      </c>
      <c r="J1222" s="1310" t="s">
        <v>1513</v>
      </c>
      <c r="K1222" s="1310" t="s">
        <v>1521</v>
      </c>
      <c r="L1222" s="1310" t="s">
        <v>1475</v>
      </c>
      <c r="M1222" s="1310" t="s">
        <v>1481</v>
      </c>
      <c r="N1222" s="1310" t="s">
        <v>121</v>
      </c>
      <c r="O1222" s="1310" t="s">
        <v>1505</v>
      </c>
      <c r="P1222" s="1310" t="s">
        <v>1578</v>
      </c>
      <c r="Q1222" s="1310" t="s">
        <v>270</v>
      </c>
      <c r="R1222" s="1310" t="s">
        <v>1450</v>
      </c>
      <c r="S1222" s="1310" t="s">
        <v>1480</v>
      </c>
      <c r="T1222" s="1310" t="s">
        <v>1595</v>
      </c>
      <c r="U1222" s="1310" t="s">
        <v>1496</v>
      </c>
      <c r="V1222" s="1310" t="s">
        <v>1651</v>
      </c>
      <c r="W1222" s="1310" t="s">
        <v>1527</v>
      </c>
      <c r="X1222" s="1310" t="s">
        <v>1469</v>
      </c>
      <c r="Y1222" s="1310" t="s">
        <v>1533</v>
      </c>
      <c r="Z1222" s="1310" t="s">
        <v>1446</v>
      </c>
      <c r="AA1222" s="1310" t="s">
        <v>267</v>
      </c>
      <c r="AB1222" s="1310" t="s">
        <v>1473</v>
      </c>
      <c r="AC1222" s="1310" t="s">
        <v>1523</v>
      </c>
      <c r="AD1222" s="1310" t="s">
        <v>1526</v>
      </c>
      <c r="AE1222" s="1310" t="s">
        <v>1592</v>
      </c>
      <c r="AF1222" s="1310" t="s">
        <v>1608</v>
      </c>
    </row>
    <row r="1223" spans="1:32" x14ac:dyDescent="0.3">
      <c r="A1223" s="1310" t="s">
        <v>1510</v>
      </c>
      <c r="B1223" s="1310" t="s">
        <v>1444</v>
      </c>
      <c r="C1223" s="1310" t="s">
        <v>1583</v>
      </c>
      <c r="D1223" s="1310" t="s">
        <v>1564</v>
      </c>
      <c r="E1223" s="1310" t="s">
        <v>1548</v>
      </c>
      <c r="F1223" s="1310" t="s">
        <v>1627</v>
      </c>
      <c r="G1223" s="1310" t="s">
        <v>1595</v>
      </c>
      <c r="H1223" s="1310" t="s">
        <v>1027</v>
      </c>
      <c r="I1223" s="1310" t="s">
        <v>124</v>
      </c>
      <c r="J1223" s="1310" t="s">
        <v>126</v>
      </c>
      <c r="K1223" s="1310" t="s">
        <v>1637</v>
      </c>
      <c r="L1223" s="1310" t="s">
        <v>1655</v>
      </c>
      <c r="M1223" s="1310" t="s">
        <v>1498</v>
      </c>
      <c r="N1223" s="1310" t="s">
        <v>1522</v>
      </c>
      <c r="O1223" s="1310" t="s">
        <v>1568</v>
      </c>
      <c r="P1223" s="1310" t="s">
        <v>1578</v>
      </c>
      <c r="Q1223" s="1310" t="s">
        <v>1623</v>
      </c>
      <c r="R1223" s="1310" t="s">
        <v>1631</v>
      </c>
      <c r="S1223" s="1310" t="s">
        <v>1525</v>
      </c>
      <c r="T1223" s="1310" t="s">
        <v>1480</v>
      </c>
      <c r="U1223" s="1310" t="s">
        <v>1443</v>
      </c>
      <c r="V1223" s="1310" t="s">
        <v>1450</v>
      </c>
      <c r="W1223" s="1310" t="s">
        <v>1653</v>
      </c>
      <c r="X1223" s="1310" t="s">
        <v>1574</v>
      </c>
      <c r="Y1223" s="1310" t="s">
        <v>1443</v>
      </c>
      <c r="Z1223" s="1310" t="s">
        <v>1450</v>
      </c>
      <c r="AA1223" s="1310" t="s">
        <v>1658</v>
      </c>
      <c r="AB1223" s="1310" t="s">
        <v>1517</v>
      </c>
      <c r="AC1223" s="1310" t="s">
        <v>1464</v>
      </c>
      <c r="AD1223" s="1310" t="s">
        <v>1577</v>
      </c>
      <c r="AE1223" s="1310" t="s">
        <v>1477</v>
      </c>
      <c r="AF1223" s="1310" t="s">
        <v>1544</v>
      </c>
    </row>
    <row r="1224" spans="1:32" x14ac:dyDescent="0.3">
      <c r="A1224" s="1310" t="s">
        <v>1470</v>
      </c>
      <c r="B1224" s="1310" t="s">
        <v>1486</v>
      </c>
      <c r="C1224" s="1310" t="s">
        <v>1646</v>
      </c>
      <c r="D1224" s="1310" t="s">
        <v>1599</v>
      </c>
      <c r="E1224" s="1310" t="s">
        <v>1628</v>
      </c>
      <c r="F1224" s="1310" t="s">
        <v>1592</v>
      </c>
      <c r="G1224" s="1310" t="s">
        <v>1478</v>
      </c>
      <c r="H1224" s="1310" t="s">
        <v>1536</v>
      </c>
      <c r="I1224" s="1310" t="s">
        <v>1590</v>
      </c>
      <c r="J1224" s="1310" t="s">
        <v>1618</v>
      </c>
      <c r="K1224" s="1310" t="s">
        <v>1510</v>
      </c>
      <c r="L1224" s="1310" t="s">
        <v>1463</v>
      </c>
      <c r="M1224" s="1310" t="s">
        <v>132</v>
      </c>
      <c r="N1224" s="1310" t="s">
        <v>1560</v>
      </c>
      <c r="O1224" s="1310" t="s">
        <v>1630</v>
      </c>
      <c r="P1224" s="1310" t="s">
        <v>1530</v>
      </c>
      <c r="Q1224" s="1310" t="s">
        <v>114</v>
      </c>
      <c r="R1224" s="1310" t="s">
        <v>1488</v>
      </c>
      <c r="S1224" s="1310" t="s">
        <v>111</v>
      </c>
      <c r="T1224" s="1310" t="s">
        <v>1585</v>
      </c>
      <c r="U1224" s="1310" t="s">
        <v>127</v>
      </c>
      <c r="V1224" s="1310" t="s">
        <v>1563</v>
      </c>
      <c r="W1224" s="1310" t="s">
        <v>124</v>
      </c>
      <c r="X1224" s="1310" t="s">
        <v>1468</v>
      </c>
      <c r="Y1224" s="1310" t="s">
        <v>125</v>
      </c>
      <c r="Z1224" s="1310" t="s">
        <v>1622</v>
      </c>
      <c r="AA1224" s="1310" t="s">
        <v>1566</v>
      </c>
      <c r="AB1224" s="1310" t="s">
        <v>1500</v>
      </c>
      <c r="AC1224" s="1310" t="s">
        <v>1659</v>
      </c>
      <c r="AD1224" s="1310" t="s">
        <v>1586</v>
      </c>
      <c r="AE1224" s="1310" t="s">
        <v>1535</v>
      </c>
      <c r="AF1224" s="1310" t="s">
        <v>110</v>
      </c>
    </row>
    <row r="1225" spans="1:32" x14ac:dyDescent="0.3">
      <c r="A1225" s="1310" t="s">
        <v>1635</v>
      </c>
      <c r="B1225" s="1310" t="s">
        <v>1622</v>
      </c>
      <c r="C1225" s="1310" t="s">
        <v>131</v>
      </c>
      <c r="D1225" s="1310" t="s">
        <v>1451</v>
      </c>
      <c r="E1225" s="1310" t="s">
        <v>1645</v>
      </c>
      <c r="F1225" s="1310" t="s">
        <v>1530</v>
      </c>
      <c r="G1225" s="1310" t="s">
        <v>1593</v>
      </c>
      <c r="H1225" s="1310" t="s">
        <v>1559</v>
      </c>
      <c r="I1225" s="1310" t="s">
        <v>1553</v>
      </c>
      <c r="J1225" s="1310" t="s">
        <v>1574</v>
      </c>
      <c r="K1225" s="1310" t="s">
        <v>1473</v>
      </c>
      <c r="L1225" s="1310" t="s">
        <v>1550</v>
      </c>
      <c r="M1225" s="1310" t="s">
        <v>1660</v>
      </c>
      <c r="N1225" s="1310" t="s">
        <v>1640</v>
      </c>
      <c r="O1225" s="1310" t="s">
        <v>265</v>
      </c>
      <c r="P1225" s="1310" t="s">
        <v>1540</v>
      </c>
      <c r="Q1225" s="1310" t="s">
        <v>1530</v>
      </c>
      <c r="R1225" s="1310" t="s">
        <v>1524</v>
      </c>
      <c r="S1225" s="1310" t="s">
        <v>1027</v>
      </c>
      <c r="T1225" s="1310" t="s">
        <v>1633</v>
      </c>
      <c r="U1225" s="1310" t="s">
        <v>1471</v>
      </c>
      <c r="V1225" s="1310" t="s">
        <v>1525</v>
      </c>
      <c r="W1225" s="1310" t="s">
        <v>1581</v>
      </c>
      <c r="X1225" s="1310" t="s">
        <v>1604</v>
      </c>
      <c r="Y1225" s="1310" t="s">
        <v>1529</v>
      </c>
      <c r="Z1225" s="1310" t="s">
        <v>264</v>
      </c>
      <c r="AA1225" s="1310" t="s">
        <v>1587</v>
      </c>
      <c r="AB1225" s="1310" t="s">
        <v>1509</v>
      </c>
      <c r="AC1225" s="1310" t="s">
        <v>1523</v>
      </c>
      <c r="AD1225" s="1310" t="s">
        <v>1534</v>
      </c>
      <c r="AE1225" s="1310" t="s">
        <v>1521</v>
      </c>
      <c r="AF1225" s="1310" t="s">
        <v>126</v>
      </c>
    </row>
    <row r="1226" spans="1:32" x14ac:dyDescent="0.3">
      <c r="A1226" s="1310" t="s">
        <v>1497</v>
      </c>
      <c r="B1226" s="1310" t="s">
        <v>1541</v>
      </c>
      <c r="C1226" s="1310" t="s">
        <v>1577</v>
      </c>
      <c r="D1226" s="1310" t="s">
        <v>1030</v>
      </c>
      <c r="E1226" s="1310" t="s">
        <v>1547</v>
      </c>
      <c r="F1226" s="1310" t="s">
        <v>1622</v>
      </c>
      <c r="G1226" s="1310" t="s">
        <v>263</v>
      </c>
      <c r="H1226" s="1310" t="s">
        <v>1601</v>
      </c>
      <c r="I1226" s="1310" t="s">
        <v>1615</v>
      </c>
      <c r="J1226" s="1310" t="s">
        <v>1505</v>
      </c>
      <c r="K1226" s="1310" t="s">
        <v>1502</v>
      </c>
      <c r="L1226" s="1310" t="s">
        <v>1451</v>
      </c>
      <c r="M1226" s="1310" t="s">
        <v>1502</v>
      </c>
      <c r="N1226" s="1310" t="s">
        <v>1576</v>
      </c>
      <c r="O1226" s="1310" t="s">
        <v>1569</v>
      </c>
      <c r="P1226" s="1310" t="s">
        <v>1542</v>
      </c>
      <c r="Q1226" s="1310" t="s">
        <v>1584</v>
      </c>
      <c r="R1226" s="1310" t="s">
        <v>1516</v>
      </c>
      <c r="S1226" s="1310" t="s">
        <v>263</v>
      </c>
      <c r="T1226" s="1310" t="s">
        <v>1493</v>
      </c>
      <c r="U1226" s="1310" t="s">
        <v>1632</v>
      </c>
      <c r="V1226" s="1310" t="s">
        <v>1572</v>
      </c>
      <c r="W1226" s="1310" t="s">
        <v>1577</v>
      </c>
      <c r="X1226" s="1310" t="s">
        <v>1614</v>
      </c>
      <c r="Y1226" s="1310" t="s">
        <v>1553</v>
      </c>
      <c r="Z1226" s="1310" t="s">
        <v>1600</v>
      </c>
      <c r="AA1226" s="1310" t="s">
        <v>1545</v>
      </c>
      <c r="AB1226" s="1310" t="s">
        <v>1503</v>
      </c>
      <c r="AC1226" s="1310" t="s">
        <v>265</v>
      </c>
      <c r="AD1226" s="1310" t="s">
        <v>1520</v>
      </c>
      <c r="AE1226" s="1310" t="s">
        <v>1497</v>
      </c>
      <c r="AF1226" s="1310" t="s">
        <v>1485</v>
      </c>
    </row>
    <row r="1227" spans="1:32" x14ac:dyDescent="0.3">
      <c r="A1227" s="1310" t="s">
        <v>1523</v>
      </c>
      <c r="B1227" s="1310" t="s">
        <v>1599</v>
      </c>
      <c r="C1227" s="1310" t="s">
        <v>1627</v>
      </c>
      <c r="D1227" s="1310" t="s">
        <v>1655</v>
      </c>
      <c r="E1227" s="1310" t="s">
        <v>1540</v>
      </c>
      <c r="F1227" s="1310" t="s">
        <v>1651</v>
      </c>
      <c r="G1227" s="1310" t="s">
        <v>1447</v>
      </c>
      <c r="H1227" s="1310" t="s">
        <v>1468</v>
      </c>
      <c r="I1227" s="1310" t="s">
        <v>1451</v>
      </c>
      <c r="J1227" s="1310" t="s">
        <v>1521</v>
      </c>
      <c r="K1227" s="1310" t="s">
        <v>1500</v>
      </c>
      <c r="L1227" s="1310" t="s">
        <v>1642</v>
      </c>
      <c r="M1227" s="1310" t="s">
        <v>1030</v>
      </c>
      <c r="N1227" s="1310" t="s">
        <v>1540</v>
      </c>
      <c r="O1227" s="1310" t="s">
        <v>1486</v>
      </c>
      <c r="P1227" s="1310" t="s">
        <v>1576</v>
      </c>
      <c r="Q1227" s="1310" t="s">
        <v>1592</v>
      </c>
      <c r="R1227" s="1310" t="s">
        <v>1509</v>
      </c>
      <c r="S1227" s="1310" t="s">
        <v>1605</v>
      </c>
      <c r="T1227" s="1310" t="s">
        <v>1565</v>
      </c>
      <c r="U1227" s="1310" t="s">
        <v>1443</v>
      </c>
      <c r="V1227" s="1310" t="s">
        <v>1450</v>
      </c>
      <c r="W1227" s="1310" t="s">
        <v>1631</v>
      </c>
      <c r="X1227" s="1310" t="s">
        <v>1620</v>
      </c>
      <c r="Y1227" s="1310" t="s">
        <v>1443</v>
      </c>
      <c r="Z1227" s="1310" t="s">
        <v>1450</v>
      </c>
      <c r="AA1227" s="1310" t="s">
        <v>1574</v>
      </c>
      <c r="AB1227" s="1310" t="s">
        <v>1602</v>
      </c>
      <c r="AC1227" s="1310" t="s">
        <v>1557</v>
      </c>
      <c r="AD1227" s="1310" t="s">
        <v>1607</v>
      </c>
      <c r="AE1227" s="1310" t="s">
        <v>1557</v>
      </c>
      <c r="AF1227" s="1310" t="s">
        <v>1576</v>
      </c>
    </row>
    <row r="1228" spans="1:32" x14ac:dyDescent="0.3">
      <c r="A1228" s="1310" t="s">
        <v>1636</v>
      </c>
      <c r="B1228" s="1310" t="s">
        <v>1448</v>
      </c>
      <c r="C1228" s="1310" t="s">
        <v>1636</v>
      </c>
      <c r="D1228" s="1310" t="s">
        <v>1541</v>
      </c>
      <c r="E1228" s="1310" t="s">
        <v>1579</v>
      </c>
      <c r="F1228" s="1310" t="s">
        <v>1523</v>
      </c>
      <c r="G1228" s="1310" t="s">
        <v>1444</v>
      </c>
      <c r="H1228" s="1310" t="s">
        <v>1030</v>
      </c>
      <c r="I1228" s="1310" t="s">
        <v>1588</v>
      </c>
      <c r="J1228" s="1310" t="s">
        <v>1568</v>
      </c>
      <c r="K1228" s="1310" t="s">
        <v>1607</v>
      </c>
      <c r="L1228" s="1310" t="s">
        <v>1648</v>
      </c>
      <c r="M1228" s="1310" t="s">
        <v>1647</v>
      </c>
      <c r="N1228" s="1310" t="s">
        <v>1586</v>
      </c>
      <c r="O1228" s="1310" t="s">
        <v>1465</v>
      </c>
      <c r="P1228" s="1310" t="s">
        <v>1545</v>
      </c>
      <c r="Q1228" s="1310" t="s">
        <v>1532</v>
      </c>
      <c r="R1228" s="1310" t="s">
        <v>1567</v>
      </c>
      <c r="S1228" s="1310" t="s">
        <v>1594</v>
      </c>
      <c r="T1228" s="1310" t="s">
        <v>6</v>
      </c>
      <c r="U1228" s="1310" t="s">
        <v>1459</v>
      </c>
      <c r="V1228" s="1310" t="s">
        <v>1587</v>
      </c>
      <c r="W1228" s="1310" t="s">
        <v>1516</v>
      </c>
      <c r="X1228" s="1310" t="s">
        <v>117</v>
      </c>
      <c r="Y1228" s="1310" t="s">
        <v>1519</v>
      </c>
      <c r="Z1228" s="1310" t="s">
        <v>1469</v>
      </c>
      <c r="AA1228" s="1310" t="s">
        <v>1453</v>
      </c>
      <c r="AB1228" s="1310" t="s">
        <v>1538</v>
      </c>
      <c r="AC1228" s="1310" t="s">
        <v>264</v>
      </c>
      <c r="AD1228" s="1310" t="s">
        <v>1571</v>
      </c>
      <c r="AE1228" s="1310" t="s">
        <v>121</v>
      </c>
      <c r="AF1228" s="1310" t="s">
        <v>1628</v>
      </c>
    </row>
    <row r="1229" spans="1:32" x14ac:dyDescent="0.3">
      <c r="A1229" s="1310" t="s">
        <v>127</v>
      </c>
      <c r="B1229" s="1310" t="s">
        <v>1452</v>
      </c>
      <c r="C1229" s="1310" t="s">
        <v>1647</v>
      </c>
      <c r="D1229" s="1310" t="s">
        <v>133</v>
      </c>
      <c r="E1229" s="1310" t="s">
        <v>1521</v>
      </c>
      <c r="F1229" s="1310" t="s">
        <v>1649</v>
      </c>
      <c r="G1229" s="1310" t="s">
        <v>1473</v>
      </c>
      <c r="H1229" s="1310" t="s">
        <v>1577</v>
      </c>
      <c r="I1229" s="1310" t="s">
        <v>119</v>
      </c>
      <c r="J1229" s="1310" t="s">
        <v>1583</v>
      </c>
      <c r="K1229" s="1310" t="s">
        <v>1469</v>
      </c>
      <c r="L1229" s="1310" t="s">
        <v>1487</v>
      </c>
      <c r="M1229" s="1310" t="s">
        <v>1657</v>
      </c>
      <c r="N1229" s="1310" t="s">
        <v>1505</v>
      </c>
      <c r="O1229" s="1310" t="s">
        <v>1443</v>
      </c>
      <c r="P1229" s="1310" t="s">
        <v>1450</v>
      </c>
      <c r="Q1229" s="1310" t="s">
        <v>1515</v>
      </c>
      <c r="R1229" s="1310" t="s">
        <v>1443</v>
      </c>
      <c r="S1229" s="1310" t="s">
        <v>1450</v>
      </c>
      <c r="T1229" s="1310" t="s">
        <v>1570</v>
      </c>
      <c r="U1229" s="1310" t="s">
        <v>1597</v>
      </c>
      <c r="V1229" s="1310" t="s">
        <v>1517</v>
      </c>
      <c r="W1229" s="1310" t="s">
        <v>1461</v>
      </c>
      <c r="X1229" s="1310" t="s">
        <v>1580</v>
      </c>
      <c r="Y1229" s="1310" t="s">
        <v>1631</v>
      </c>
      <c r="Z1229" s="1310" t="s">
        <v>1635</v>
      </c>
      <c r="AA1229" s="1310" t="s">
        <v>112</v>
      </c>
      <c r="AB1229" s="1310" t="s">
        <v>1550</v>
      </c>
      <c r="AC1229" s="1310" t="s">
        <v>1479</v>
      </c>
      <c r="AD1229" s="1310" t="s">
        <v>1549</v>
      </c>
      <c r="AE1229" s="1310" t="s">
        <v>1474</v>
      </c>
      <c r="AF1229" s="1310" t="s">
        <v>1645</v>
      </c>
    </row>
    <row r="1230" spans="1:32" x14ac:dyDescent="0.3">
      <c r="A1230" s="1310" t="s">
        <v>1585</v>
      </c>
      <c r="B1230" s="1310" t="s">
        <v>1624</v>
      </c>
      <c r="C1230" s="1310" t="s">
        <v>1603</v>
      </c>
      <c r="D1230" s="1310" t="s">
        <v>6</v>
      </c>
      <c r="E1230" s="1310" t="s">
        <v>1590</v>
      </c>
      <c r="F1230" s="1310" t="s">
        <v>1493</v>
      </c>
      <c r="G1230" s="1310" t="s">
        <v>6</v>
      </c>
      <c r="H1230" s="1310" t="s">
        <v>1568</v>
      </c>
      <c r="I1230" s="1310" t="s">
        <v>1515</v>
      </c>
      <c r="J1230" s="1310" t="s">
        <v>1549</v>
      </c>
      <c r="K1230" s="1310" t="s">
        <v>1525</v>
      </c>
      <c r="L1230" s="1310" t="s">
        <v>1568</v>
      </c>
      <c r="M1230" s="1310" t="s">
        <v>1490</v>
      </c>
      <c r="N1230" s="1310" t="s">
        <v>1590</v>
      </c>
      <c r="O1230" s="1310" t="s">
        <v>1595</v>
      </c>
      <c r="P1230" s="1310" t="s">
        <v>1463</v>
      </c>
      <c r="Q1230" s="1310" t="s">
        <v>1583</v>
      </c>
      <c r="R1230" s="1310" t="s">
        <v>1533</v>
      </c>
      <c r="S1230" s="1310" t="s">
        <v>1594</v>
      </c>
      <c r="T1230" s="1310" t="s">
        <v>1446</v>
      </c>
      <c r="U1230" s="1310" t="s">
        <v>1542</v>
      </c>
      <c r="V1230" s="1310" t="s">
        <v>1457</v>
      </c>
      <c r="W1230" s="1310" t="s">
        <v>1544</v>
      </c>
      <c r="X1230" s="1310" t="s">
        <v>1475</v>
      </c>
      <c r="Y1230" s="1310" t="s">
        <v>1592</v>
      </c>
      <c r="Z1230" s="1310" t="s">
        <v>1494</v>
      </c>
      <c r="AA1230" s="1310" t="s">
        <v>1456</v>
      </c>
      <c r="AB1230" s="1310" t="s">
        <v>1625</v>
      </c>
      <c r="AC1230" s="1310" t="s">
        <v>1529</v>
      </c>
      <c r="AD1230" s="1310" t="s">
        <v>113</v>
      </c>
      <c r="AE1230" s="1310" t="s">
        <v>1629</v>
      </c>
      <c r="AF1230" s="1310" t="s">
        <v>1507</v>
      </c>
    </row>
    <row r="1231" spans="1:32" x14ac:dyDescent="0.3">
      <c r="A1231" s="1310" t="s">
        <v>1550</v>
      </c>
      <c r="B1231" s="1310" t="s">
        <v>1647</v>
      </c>
      <c r="C1231" s="1310" t="s">
        <v>112</v>
      </c>
      <c r="D1231" s="1310" t="s">
        <v>1448</v>
      </c>
      <c r="E1231" s="1310" t="s">
        <v>1647</v>
      </c>
      <c r="F1231" s="1310" t="s">
        <v>1554</v>
      </c>
      <c r="G1231" s="1310" t="s">
        <v>1595</v>
      </c>
      <c r="H1231" s="1310" t="s">
        <v>1548</v>
      </c>
      <c r="I1231" s="1310" t="s">
        <v>269</v>
      </c>
      <c r="J1231" s="1310" t="s">
        <v>1660</v>
      </c>
      <c r="K1231" s="1310" t="s">
        <v>1575</v>
      </c>
      <c r="L1231" s="1310" t="s">
        <v>1561</v>
      </c>
      <c r="M1231" s="1310" t="s">
        <v>465</v>
      </c>
      <c r="N1231" s="1310" t="s">
        <v>1540</v>
      </c>
      <c r="O1231" s="1310" t="s">
        <v>131</v>
      </c>
      <c r="P1231" s="1310" t="s">
        <v>1570</v>
      </c>
      <c r="Q1231" s="1310" t="s">
        <v>1649</v>
      </c>
      <c r="R1231" s="1310" t="s">
        <v>1564</v>
      </c>
      <c r="S1231" s="1310" t="s">
        <v>1515</v>
      </c>
      <c r="T1231" s="1310" t="s">
        <v>1618</v>
      </c>
      <c r="U1231" s="1310" t="s">
        <v>1478</v>
      </c>
      <c r="V1231" s="1310" t="s">
        <v>1470</v>
      </c>
      <c r="W1231" s="1310" t="s">
        <v>1580</v>
      </c>
      <c r="X1231" s="1310" t="s">
        <v>1586</v>
      </c>
      <c r="Y1231" s="1310" t="s">
        <v>1633</v>
      </c>
      <c r="Z1231" s="1310" t="s">
        <v>471</v>
      </c>
      <c r="AA1231" s="1310" t="s">
        <v>1537</v>
      </c>
      <c r="AB1231" s="1310" t="s">
        <v>1522</v>
      </c>
      <c r="AC1231" s="1310" t="s">
        <v>1460</v>
      </c>
      <c r="AD1231" s="1310" t="s">
        <v>1625</v>
      </c>
      <c r="AE1231" s="1310" t="s">
        <v>1645</v>
      </c>
      <c r="AF1231" s="1310" t="s">
        <v>1445</v>
      </c>
    </row>
    <row r="1232" spans="1:32" x14ac:dyDescent="0.3">
      <c r="A1232" s="1310" t="s">
        <v>1027</v>
      </c>
      <c r="B1232" s="1310" t="s">
        <v>1480</v>
      </c>
      <c r="C1232" s="1310" t="s">
        <v>1603</v>
      </c>
      <c r="D1232" s="1310" t="s">
        <v>1445</v>
      </c>
      <c r="E1232" s="1310" t="s">
        <v>1527</v>
      </c>
      <c r="F1232" s="1310" t="s">
        <v>1518</v>
      </c>
      <c r="G1232" s="1310" t="s">
        <v>1542</v>
      </c>
      <c r="H1232" s="1310" t="s">
        <v>1445</v>
      </c>
      <c r="I1232" s="1310" t="s">
        <v>1571</v>
      </c>
      <c r="J1232" s="1310" t="s">
        <v>123</v>
      </c>
      <c r="K1232" s="1310" t="s">
        <v>1609</v>
      </c>
      <c r="L1232" s="1310" t="s">
        <v>1557</v>
      </c>
      <c r="M1232" s="1310" t="s">
        <v>1529</v>
      </c>
      <c r="N1232" s="1310" t="s">
        <v>1601</v>
      </c>
      <c r="O1232" s="1310" t="s">
        <v>1458</v>
      </c>
      <c r="P1232" s="1310" t="s">
        <v>1632</v>
      </c>
      <c r="Q1232" s="1310" t="s">
        <v>1618</v>
      </c>
      <c r="R1232" s="1310" t="s">
        <v>1509</v>
      </c>
      <c r="S1232" s="1310" t="s">
        <v>1605</v>
      </c>
      <c r="T1232" s="1310" t="s">
        <v>1609</v>
      </c>
      <c r="U1232" s="1310" t="s">
        <v>1443</v>
      </c>
      <c r="V1232" s="1310" t="s">
        <v>1450</v>
      </c>
      <c r="W1232" s="1310" t="s">
        <v>1631</v>
      </c>
      <c r="X1232" s="1310" t="s">
        <v>1620</v>
      </c>
      <c r="Y1232" s="1310" t="s">
        <v>1622</v>
      </c>
      <c r="Z1232" s="1310" t="s">
        <v>1614</v>
      </c>
      <c r="AA1232" s="1310" t="s">
        <v>1616</v>
      </c>
      <c r="AB1232" s="1310" t="s">
        <v>1585</v>
      </c>
      <c r="AC1232" s="1310" t="s">
        <v>1646</v>
      </c>
      <c r="AD1232" s="1310" t="s">
        <v>1648</v>
      </c>
      <c r="AE1232" s="1310" t="s">
        <v>1577</v>
      </c>
      <c r="AF1232" s="1310" t="s">
        <v>1564</v>
      </c>
    </row>
    <row r="1233" spans="1:32" x14ac:dyDescent="0.3">
      <c r="A1233" s="1310" t="s">
        <v>1468</v>
      </c>
      <c r="B1233" s="1310" t="s">
        <v>127</v>
      </c>
      <c r="C1233" s="1310" t="s">
        <v>1571</v>
      </c>
      <c r="D1233" s="1310" t="s">
        <v>1551</v>
      </c>
      <c r="E1233" s="1310" t="s">
        <v>1446</v>
      </c>
      <c r="F1233" s="1310" t="s">
        <v>1638</v>
      </c>
      <c r="G1233" s="1310" t="s">
        <v>1451</v>
      </c>
      <c r="H1233" s="1310" t="s">
        <v>1616</v>
      </c>
      <c r="I1233" s="1310" t="s">
        <v>1576</v>
      </c>
      <c r="J1233" s="1310" t="s">
        <v>1638</v>
      </c>
      <c r="K1233" s="1310" t="s">
        <v>1539</v>
      </c>
      <c r="L1233" s="1310" t="s">
        <v>1481</v>
      </c>
      <c r="M1233" s="1310" t="s">
        <v>1596</v>
      </c>
      <c r="N1233" s="1310" t="s">
        <v>1565</v>
      </c>
      <c r="O1233" s="1310" t="s">
        <v>1560</v>
      </c>
      <c r="P1233" s="1310" t="s">
        <v>1635</v>
      </c>
      <c r="Q1233" s="1310" t="s">
        <v>1533</v>
      </c>
      <c r="R1233" s="1310" t="s">
        <v>1519</v>
      </c>
      <c r="S1233" s="1310" t="s">
        <v>465</v>
      </c>
      <c r="T1233" s="1310" t="s">
        <v>1547</v>
      </c>
      <c r="U1233" s="1310" t="s">
        <v>1466</v>
      </c>
      <c r="V1233" s="1310" t="s">
        <v>1449</v>
      </c>
      <c r="W1233" s="1310" t="s">
        <v>1601</v>
      </c>
      <c r="X1233" s="1310" t="s">
        <v>1615</v>
      </c>
      <c r="Y1233" s="1310" t="s">
        <v>1456</v>
      </c>
      <c r="Z1233" s="1310" t="s">
        <v>1445</v>
      </c>
      <c r="AA1233" s="1310" t="s">
        <v>1497</v>
      </c>
      <c r="AB1233" s="1310" t="s">
        <v>1609</v>
      </c>
      <c r="AC1233" s="1310" t="s">
        <v>125</v>
      </c>
      <c r="AD1233" s="1310" t="s">
        <v>1630</v>
      </c>
      <c r="AE1233" s="1310" t="s">
        <v>1527</v>
      </c>
      <c r="AF1233" s="1310" t="s">
        <v>1573</v>
      </c>
    </row>
    <row r="1234" spans="1:32" x14ac:dyDescent="0.3">
      <c r="A1234" s="1310" t="s">
        <v>113</v>
      </c>
      <c r="B1234" s="1310" t="s">
        <v>1502</v>
      </c>
      <c r="C1234" s="1310" t="s">
        <v>1643</v>
      </c>
      <c r="D1234" s="1310" t="s">
        <v>1528</v>
      </c>
      <c r="E1234" s="1310" t="s">
        <v>270</v>
      </c>
      <c r="F1234" s="1310" t="s">
        <v>1540</v>
      </c>
      <c r="G1234" s="1310" t="s">
        <v>1591</v>
      </c>
      <c r="H1234" s="1310" t="s">
        <v>1597</v>
      </c>
      <c r="I1234" s="1310" t="s">
        <v>1592</v>
      </c>
      <c r="J1234" s="1310" t="s">
        <v>126</v>
      </c>
      <c r="K1234" s="1310" t="s">
        <v>1539</v>
      </c>
      <c r="L1234" s="1310" t="s">
        <v>1541</v>
      </c>
      <c r="M1234" s="1310" t="s">
        <v>130</v>
      </c>
      <c r="N1234" s="1310" t="s">
        <v>1517</v>
      </c>
      <c r="O1234" s="1310" t="s">
        <v>1602</v>
      </c>
      <c r="P1234" s="1310" t="s">
        <v>1468</v>
      </c>
      <c r="Q1234" s="1310" t="s">
        <v>1549</v>
      </c>
      <c r="R1234" s="1310" t="s">
        <v>1474</v>
      </c>
      <c r="S1234" s="1310" t="s">
        <v>1561</v>
      </c>
      <c r="T1234" s="1310" t="s">
        <v>1443</v>
      </c>
      <c r="U1234" s="1310" t="s">
        <v>1450</v>
      </c>
      <c r="V1234" s="1310" t="s">
        <v>1627</v>
      </c>
      <c r="W1234" s="1310" t="s">
        <v>1622</v>
      </c>
      <c r="X1234" s="1310" t="s">
        <v>112</v>
      </c>
      <c r="Y1234" s="1310" t="s">
        <v>1640</v>
      </c>
      <c r="Z1234" s="1310" t="s">
        <v>1556</v>
      </c>
      <c r="AA1234" s="1310" t="s">
        <v>1465</v>
      </c>
      <c r="AB1234" s="1310" t="s">
        <v>1587</v>
      </c>
      <c r="AC1234" s="1310" t="s">
        <v>1587</v>
      </c>
      <c r="AD1234" s="1310" t="s">
        <v>1635</v>
      </c>
      <c r="AE1234" s="1310" t="s">
        <v>1587</v>
      </c>
      <c r="AF1234" s="1310" t="s">
        <v>465</v>
      </c>
    </row>
    <row r="1235" spans="1:32" x14ac:dyDescent="0.3">
      <c r="A1235" s="1310" t="s">
        <v>1030</v>
      </c>
      <c r="B1235" s="1310" t="s">
        <v>1638</v>
      </c>
      <c r="C1235" s="1310" t="s">
        <v>1578</v>
      </c>
      <c r="D1235" s="1310" t="s">
        <v>1472</v>
      </c>
      <c r="E1235" s="1310" t="s">
        <v>1528</v>
      </c>
      <c r="F1235" s="1310" t="s">
        <v>1631</v>
      </c>
      <c r="G1235" s="1310" t="s">
        <v>1568</v>
      </c>
      <c r="H1235" s="1310" t="s">
        <v>1598</v>
      </c>
      <c r="I1235" s="1310" t="s">
        <v>1499</v>
      </c>
      <c r="J1235" s="1310" t="s">
        <v>1648</v>
      </c>
      <c r="K1235" s="1310" t="s">
        <v>1537</v>
      </c>
      <c r="L1235" s="1310" t="s">
        <v>1616</v>
      </c>
      <c r="M1235" s="1310" t="s">
        <v>1485</v>
      </c>
      <c r="N1235" s="1310" t="s">
        <v>1453</v>
      </c>
      <c r="O1235" s="1310" t="s">
        <v>1446</v>
      </c>
      <c r="P1235" s="1310" t="s">
        <v>1497</v>
      </c>
      <c r="Q1235" s="1310" t="s">
        <v>1610</v>
      </c>
      <c r="R1235" s="1310" t="s">
        <v>1454</v>
      </c>
      <c r="S1235" s="1310" t="s">
        <v>1658</v>
      </c>
      <c r="T1235" s="1310" t="s">
        <v>1467</v>
      </c>
      <c r="U1235" s="1310" t="s">
        <v>1568</v>
      </c>
      <c r="V1235" s="1310" t="s">
        <v>1521</v>
      </c>
      <c r="W1235" s="1310" t="s">
        <v>1488</v>
      </c>
      <c r="X1235" s="1310" t="s">
        <v>1634</v>
      </c>
      <c r="Y1235" s="1310" t="s">
        <v>1501</v>
      </c>
      <c r="Z1235" s="1310" t="s">
        <v>132</v>
      </c>
      <c r="AA1235" s="1310" t="s">
        <v>1593</v>
      </c>
      <c r="AB1235" s="1310" t="s">
        <v>1619</v>
      </c>
      <c r="AC1235" s="1310" t="s">
        <v>1473</v>
      </c>
      <c r="AD1235" s="1310" t="s">
        <v>1634</v>
      </c>
      <c r="AE1235" s="1310" t="s">
        <v>1468</v>
      </c>
      <c r="AF1235" s="1310" t="s">
        <v>112</v>
      </c>
    </row>
    <row r="1236" spans="1:32" x14ac:dyDescent="0.3">
      <c r="A1236" s="1310" t="s">
        <v>1570</v>
      </c>
      <c r="B1236" s="1310" t="s">
        <v>1607</v>
      </c>
      <c r="C1236" s="1310" t="s">
        <v>1461</v>
      </c>
      <c r="D1236" s="1310" t="s">
        <v>1622</v>
      </c>
      <c r="E1236" s="1310" t="s">
        <v>1590</v>
      </c>
      <c r="F1236" s="1310" t="s">
        <v>1648</v>
      </c>
      <c r="G1236" s="1310" t="s">
        <v>1489</v>
      </c>
      <c r="H1236" s="1310" t="s">
        <v>114</v>
      </c>
      <c r="I1236" s="1310" t="s">
        <v>1579</v>
      </c>
      <c r="J1236" s="1310" t="s">
        <v>1577</v>
      </c>
      <c r="K1236" s="1310" t="s">
        <v>1492</v>
      </c>
      <c r="L1236" s="1310" t="s">
        <v>1464</v>
      </c>
      <c r="M1236" s="1310" t="s">
        <v>1556</v>
      </c>
      <c r="N1236" s="1310" t="s">
        <v>1635</v>
      </c>
      <c r="O1236" s="1310" t="s">
        <v>1547</v>
      </c>
      <c r="P1236" s="1310" t="s">
        <v>1581</v>
      </c>
      <c r="Q1236" s="1310" t="s">
        <v>1581</v>
      </c>
      <c r="R1236" s="1310" t="s">
        <v>1544</v>
      </c>
      <c r="S1236" s="1310" t="s">
        <v>1621</v>
      </c>
      <c r="T1236" s="1310" t="s">
        <v>267</v>
      </c>
      <c r="U1236" s="1310" t="s">
        <v>1569</v>
      </c>
      <c r="V1236" s="1310" t="s">
        <v>1027</v>
      </c>
      <c r="W1236" s="1310" t="s">
        <v>1497</v>
      </c>
      <c r="X1236" s="1310" t="s">
        <v>1541</v>
      </c>
      <c r="Y1236" s="1310" t="s">
        <v>263</v>
      </c>
      <c r="Z1236" s="1310" t="s">
        <v>1547</v>
      </c>
      <c r="AA1236" s="1310" t="s">
        <v>1649</v>
      </c>
      <c r="AB1236" s="1310" t="s">
        <v>1609</v>
      </c>
      <c r="AC1236" s="1310" t="s">
        <v>1467</v>
      </c>
      <c r="AD1236" s="1310" t="s">
        <v>1593</v>
      </c>
      <c r="AE1236" s="1310" t="s">
        <v>1495</v>
      </c>
      <c r="AF1236" s="1310" t="s">
        <v>116</v>
      </c>
    </row>
    <row r="1237" spans="1:32" x14ac:dyDescent="0.3">
      <c r="A1237" s="1310" t="s">
        <v>114</v>
      </c>
      <c r="B1237" s="1310" t="s">
        <v>1467</v>
      </c>
      <c r="C1237" s="1310" t="s">
        <v>1495</v>
      </c>
      <c r="D1237" s="1310" t="s">
        <v>114</v>
      </c>
      <c r="E1237" s="1310" t="s">
        <v>1607</v>
      </c>
      <c r="F1237" s="1310" t="s">
        <v>1487</v>
      </c>
      <c r="G1237" s="1310" t="s">
        <v>1443</v>
      </c>
      <c r="H1237" s="1310" t="s">
        <v>1450</v>
      </c>
      <c r="I1237" s="1310" t="s">
        <v>1445</v>
      </c>
      <c r="J1237" s="1310" t="s">
        <v>1535</v>
      </c>
      <c r="K1237" s="1310" t="s">
        <v>1584</v>
      </c>
      <c r="L1237" s="1310" t="s">
        <v>1539</v>
      </c>
      <c r="M1237" s="1310" t="s">
        <v>116</v>
      </c>
      <c r="N1237" s="1310" t="s">
        <v>1502</v>
      </c>
      <c r="O1237" s="1310" t="s">
        <v>1464</v>
      </c>
      <c r="P1237" s="1310" t="s">
        <v>1504</v>
      </c>
      <c r="Q1237" s="1310" t="s">
        <v>1511</v>
      </c>
      <c r="R1237" s="1310" t="s">
        <v>1649</v>
      </c>
      <c r="S1237" s="1310" t="s">
        <v>1601</v>
      </c>
      <c r="T1237" s="1310" t="s">
        <v>1585</v>
      </c>
      <c r="U1237" s="1310" t="s">
        <v>126</v>
      </c>
      <c r="V1237" s="1310" t="s">
        <v>1525</v>
      </c>
      <c r="W1237" s="1310" t="s">
        <v>1507</v>
      </c>
      <c r="X1237" s="1310" t="s">
        <v>1443</v>
      </c>
      <c r="Y1237" s="1310" t="s">
        <v>1450</v>
      </c>
      <c r="Z1237" s="1310" t="s">
        <v>1508</v>
      </c>
      <c r="AA1237" s="1310" t="s">
        <v>1637</v>
      </c>
      <c r="AB1237" s="1310" t="s">
        <v>131</v>
      </c>
      <c r="AC1237" s="1310" t="s">
        <v>264</v>
      </c>
      <c r="AD1237" s="1310" t="s">
        <v>1629</v>
      </c>
      <c r="AE1237" s="1310" t="s">
        <v>113</v>
      </c>
      <c r="AF1237" s="1310" t="s">
        <v>1554</v>
      </c>
    </row>
    <row r="1238" spans="1:32" x14ac:dyDescent="0.3">
      <c r="A1238" s="1310" t="s">
        <v>1593</v>
      </c>
      <c r="B1238" s="1310" t="s">
        <v>1466</v>
      </c>
      <c r="C1238" s="1310" t="s">
        <v>1600</v>
      </c>
      <c r="D1238" s="1310" t="s">
        <v>1486</v>
      </c>
      <c r="E1238" s="1310" t="s">
        <v>1607</v>
      </c>
      <c r="F1238" s="1310" t="s">
        <v>1606</v>
      </c>
      <c r="G1238" s="1310" t="s">
        <v>1506</v>
      </c>
      <c r="H1238" s="1310" t="s">
        <v>1643</v>
      </c>
      <c r="I1238" s="1310" t="s">
        <v>1660</v>
      </c>
      <c r="J1238" s="1310" t="s">
        <v>1589</v>
      </c>
      <c r="K1238" s="1310" t="s">
        <v>1580</v>
      </c>
      <c r="L1238" s="1310" t="s">
        <v>1498</v>
      </c>
      <c r="M1238" s="1310" t="s">
        <v>1553</v>
      </c>
      <c r="N1238" s="1310" t="s">
        <v>1569</v>
      </c>
      <c r="O1238" s="1310" t="s">
        <v>1548</v>
      </c>
      <c r="P1238" s="1310" t="s">
        <v>1645</v>
      </c>
      <c r="Q1238" s="1310" t="s">
        <v>1461</v>
      </c>
      <c r="R1238" s="1310" t="s">
        <v>1580</v>
      </c>
      <c r="S1238" s="1310" t="s">
        <v>1601</v>
      </c>
      <c r="T1238" s="1310" t="s">
        <v>1633</v>
      </c>
      <c r="U1238" s="1310" t="s">
        <v>1636</v>
      </c>
      <c r="V1238" s="1310" t="s">
        <v>1520</v>
      </c>
      <c r="W1238" s="1310" t="s">
        <v>1653</v>
      </c>
      <c r="X1238" s="1310" t="s">
        <v>1583</v>
      </c>
      <c r="Y1238" s="1310" t="s">
        <v>1644</v>
      </c>
      <c r="Z1238" s="1310" t="s">
        <v>270</v>
      </c>
      <c r="AA1238" s="1310" t="s">
        <v>117</v>
      </c>
      <c r="AB1238" s="1310" t="s">
        <v>1614</v>
      </c>
      <c r="AC1238" s="1310" t="s">
        <v>1637</v>
      </c>
      <c r="AD1238" s="1310" t="s">
        <v>1587</v>
      </c>
      <c r="AE1238" s="1310" t="s">
        <v>1509</v>
      </c>
      <c r="AF1238" s="1310" t="s">
        <v>1642</v>
      </c>
    </row>
    <row r="1239" spans="1:32" x14ac:dyDescent="0.3">
      <c r="A1239" s="1310" t="s">
        <v>1533</v>
      </c>
      <c r="B1239" s="1310" t="s">
        <v>1477</v>
      </c>
      <c r="C1239" s="1310" t="s">
        <v>1650</v>
      </c>
      <c r="D1239" s="1310" t="s">
        <v>1580</v>
      </c>
      <c r="E1239" s="1310" t="s">
        <v>1581</v>
      </c>
      <c r="F1239" s="1310" t="s">
        <v>1469</v>
      </c>
      <c r="G1239" s="1310" t="s">
        <v>1578</v>
      </c>
      <c r="H1239" s="1310" t="s">
        <v>1549</v>
      </c>
      <c r="I1239" s="1310" t="s">
        <v>1507</v>
      </c>
      <c r="J1239" s="1310" t="s">
        <v>1472</v>
      </c>
      <c r="K1239" s="1310" t="s">
        <v>1452</v>
      </c>
      <c r="L1239" s="1310" t="s">
        <v>1484</v>
      </c>
      <c r="M1239" s="1310" t="s">
        <v>1564</v>
      </c>
      <c r="N1239" s="1310" t="s">
        <v>1495</v>
      </c>
      <c r="O1239" s="1310" t="s">
        <v>1448</v>
      </c>
      <c r="P1239" s="1310" t="s">
        <v>1606</v>
      </c>
      <c r="Q1239" s="1310" t="s">
        <v>1538</v>
      </c>
      <c r="R1239" s="1310" t="s">
        <v>1543</v>
      </c>
      <c r="S1239" s="1310" t="s">
        <v>1655</v>
      </c>
      <c r="T1239" s="1310" t="s">
        <v>1631</v>
      </c>
      <c r="U1239" s="1310" t="s">
        <v>1494</v>
      </c>
      <c r="V1239" s="1310" t="s">
        <v>1506</v>
      </c>
      <c r="W1239" s="1310" t="s">
        <v>1545</v>
      </c>
      <c r="X1239" s="1310" t="s">
        <v>1501</v>
      </c>
      <c r="Y1239" s="1310" t="s">
        <v>110</v>
      </c>
      <c r="Z1239" s="1310" t="s">
        <v>1562</v>
      </c>
      <c r="AA1239" s="1310" t="s">
        <v>1532</v>
      </c>
      <c r="AB1239" s="1310" t="s">
        <v>1617</v>
      </c>
      <c r="AC1239" s="1310" t="s">
        <v>1621</v>
      </c>
      <c r="AD1239" s="1310" t="s">
        <v>1644</v>
      </c>
      <c r="AE1239" s="1310" t="s">
        <v>1595</v>
      </c>
      <c r="AF1239" s="1310" t="s">
        <v>113</v>
      </c>
    </row>
    <row r="1240" spans="1:32" x14ac:dyDescent="0.3">
      <c r="A1240" s="1310" t="s">
        <v>1511</v>
      </c>
      <c r="B1240" s="1310" t="s">
        <v>1549</v>
      </c>
      <c r="C1240" s="1310" t="s">
        <v>1653</v>
      </c>
      <c r="D1240" s="1310" t="s">
        <v>1526</v>
      </c>
      <c r="E1240" s="1310" t="s">
        <v>1587</v>
      </c>
      <c r="F1240" s="1310" t="s">
        <v>1599</v>
      </c>
      <c r="G1240" s="1310" t="s">
        <v>1564</v>
      </c>
      <c r="H1240" s="1310" t="s">
        <v>1468</v>
      </c>
      <c r="I1240" s="1310" t="s">
        <v>1579</v>
      </c>
      <c r="J1240" s="1310" t="s">
        <v>1489</v>
      </c>
      <c r="K1240" s="1310" t="s">
        <v>1489</v>
      </c>
      <c r="L1240" s="1310" t="s">
        <v>1531</v>
      </c>
      <c r="M1240" s="1310" t="s">
        <v>1502</v>
      </c>
      <c r="N1240" s="1310" t="s">
        <v>1544</v>
      </c>
      <c r="O1240" s="1310" t="s">
        <v>1517</v>
      </c>
      <c r="P1240" s="1310" t="s">
        <v>1601</v>
      </c>
      <c r="Q1240" s="1310" t="s">
        <v>1546</v>
      </c>
      <c r="R1240" s="1310" t="s">
        <v>270</v>
      </c>
      <c r="S1240" s="1310" t="s">
        <v>1624</v>
      </c>
      <c r="T1240" s="1310" t="s">
        <v>1624</v>
      </c>
      <c r="U1240" s="1310" t="s">
        <v>116</v>
      </c>
      <c r="V1240" s="1310" t="s">
        <v>117</v>
      </c>
      <c r="W1240" s="1310" t="s">
        <v>1600</v>
      </c>
      <c r="X1240" s="1310" t="s">
        <v>1502</v>
      </c>
      <c r="Y1240" s="1310" t="s">
        <v>1620</v>
      </c>
      <c r="Z1240" s="1310" t="s">
        <v>1443</v>
      </c>
      <c r="AA1240" s="1310" t="s">
        <v>1450</v>
      </c>
      <c r="AB1240" s="1310" t="s">
        <v>1652</v>
      </c>
      <c r="AC1240" s="1310" t="s">
        <v>1517</v>
      </c>
      <c r="AD1240" s="1310" t="s">
        <v>1653</v>
      </c>
      <c r="AE1240" s="1310" t="s">
        <v>1550</v>
      </c>
      <c r="AF1240" s="1310" t="s">
        <v>1503</v>
      </c>
    </row>
    <row r="1241" spans="1:32" x14ac:dyDescent="0.3">
      <c r="A1241" s="1310" t="s">
        <v>111</v>
      </c>
      <c r="B1241" s="1310" t="s">
        <v>1567</v>
      </c>
      <c r="C1241" s="1310" t="s">
        <v>116</v>
      </c>
      <c r="D1241" s="1310" t="s">
        <v>1445</v>
      </c>
      <c r="E1241" s="1310" t="s">
        <v>1618</v>
      </c>
      <c r="F1241" s="1310" t="s">
        <v>1586</v>
      </c>
      <c r="G1241" s="1310" t="s">
        <v>1588</v>
      </c>
      <c r="H1241" s="1310" t="s">
        <v>1560</v>
      </c>
      <c r="I1241" s="1310" t="s">
        <v>1456</v>
      </c>
      <c r="J1241" s="1310" t="s">
        <v>1478</v>
      </c>
      <c r="K1241" s="1310" t="s">
        <v>1507</v>
      </c>
      <c r="L1241" s="1310" t="s">
        <v>1455</v>
      </c>
      <c r="M1241" s="1310" t="s">
        <v>1555</v>
      </c>
      <c r="N1241" s="1310" t="s">
        <v>1511</v>
      </c>
      <c r="O1241" s="1310" t="s">
        <v>1514</v>
      </c>
      <c r="P1241" s="1310" t="s">
        <v>1538</v>
      </c>
      <c r="Q1241" s="1310" t="s">
        <v>1536</v>
      </c>
      <c r="R1241" s="1310" t="s">
        <v>1472</v>
      </c>
      <c r="S1241" s="1310" t="s">
        <v>1549</v>
      </c>
      <c r="T1241" s="1310" t="s">
        <v>1541</v>
      </c>
      <c r="U1241" s="1310" t="s">
        <v>1538</v>
      </c>
      <c r="V1241" s="1310" t="s">
        <v>1482</v>
      </c>
      <c r="W1241" s="1310" t="s">
        <v>1450</v>
      </c>
      <c r="X1241" s="1310" t="s">
        <v>263</v>
      </c>
      <c r="Y1241" s="1310" t="s">
        <v>1469</v>
      </c>
      <c r="Z1241" s="1310" t="s">
        <v>1500</v>
      </c>
      <c r="AA1241" s="1310" t="s">
        <v>1579</v>
      </c>
      <c r="AB1241" s="1310" t="s">
        <v>1653</v>
      </c>
      <c r="AC1241" s="1310" t="s">
        <v>118</v>
      </c>
      <c r="AD1241" s="1310" t="s">
        <v>1570</v>
      </c>
      <c r="AE1241" s="1310" t="s">
        <v>1637</v>
      </c>
      <c r="AF1241" s="1310" t="s">
        <v>1482</v>
      </c>
    </row>
    <row r="1242" spans="1:32" x14ac:dyDescent="0.3">
      <c r="A1242" s="1310" t="s">
        <v>1455</v>
      </c>
      <c r="B1242" s="1310" t="s">
        <v>1636</v>
      </c>
      <c r="C1242" s="1310" t="s">
        <v>1484</v>
      </c>
      <c r="D1242" s="1310" t="s">
        <v>1604</v>
      </c>
      <c r="E1242" s="1310" t="s">
        <v>263</v>
      </c>
      <c r="F1242" s="1310" t="s">
        <v>1579</v>
      </c>
      <c r="G1242" s="1310" t="s">
        <v>115</v>
      </c>
      <c r="H1242" s="1310" t="s">
        <v>128</v>
      </c>
      <c r="I1242" s="1310" t="s">
        <v>1498</v>
      </c>
      <c r="J1242" s="1310" t="s">
        <v>1486</v>
      </c>
      <c r="K1242" s="1310" t="s">
        <v>1475</v>
      </c>
      <c r="L1242" s="1310" t="s">
        <v>1591</v>
      </c>
      <c r="M1242" s="1310" t="s">
        <v>1631</v>
      </c>
      <c r="N1242" s="1310" t="s">
        <v>1540</v>
      </c>
      <c r="O1242" s="1310" t="s">
        <v>1644</v>
      </c>
      <c r="P1242" s="1310" t="s">
        <v>1631</v>
      </c>
      <c r="Q1242" s="1310" t="s">
        <v>1528</v>
      </c>
      <c r="R1242" s="1310" t="s">
        <v>131</v>
      </c>
      <c r="S1242" s="1310" t="s">
        <v>1627</v>
      </c>
      <c r="T1242" s="1310" t="s">
        <v>1521</v>
      </c>
      <c r="U1242" s="1310" t="s">
        <v>1521</v>
      </c>
      <c r="V1242" s="1310" t="s">
        <v>1609</v>
      </c>
      <c r="W1242" s="1310" t="s">
        <v>1527</v>
      </c>
      <c r="X1242" s="1310" t="s">
        <v>1635</v>
      </c>
      <c r="Y1242" s="1310" t="s">
        <v>1625</v>
      </c>
      <c r="Z1242" s="1310" t="s">
        <v>1541</v>
      </c>
      <c r="AA1242" s="1310" t="s">
        <v>1462</v>
      </c>
      <c r="AB1242" s="1310" t="s">
        <v>126</v>
      </c>
      <c r="AC1242" s="1310" t="s">
        <v>1578</v>
      </c>
      <c r="AD1242" s="1310" t="s">
        <v>1609</v>
      </c>
      <c r="AE1242" s="1310" t="s">
        <v>1609</v>
      </c>
      <c r="AF1242" s="1310" t="s">
        <v>1592</v>
      </c>
    </row>
    <row r="1243" spans="1:32" x14ac:dyDescent="0.3">
      <c r="A1243" s="1310" t="s">
        <v>1625</v>
      </c>
      <c r="B1243" s="1310" t="s">
        <v>119</v>
      </c>
      <c r="C1243" s="1310" t="s">
        <v>1520</v>
      </c>
      <c r="D1243" s="1310" t="s">
        <v>1474</v>
      </c>
      <c r="E1243" s="1310" t="s">
        <v>1530</v>
      </c>
      <c r="F1243" s="1310" t="s">
        <v>1651</v>
      </c>
      <c r="G1243" s="1310" t="s">
        <v>1522</v>
      </c>
      <c r="H1243" s="1310" t="s">
        <v>1654</v>
      </c>
      <c r="I1243" s="1310" t="s">
        <v>130</v>
      </c>
      <c r="J1243" s="1310" t="s">
        <v>1624</v>
      </c>
      <c r="K1243" s="1310" t="s">
        <v>1483</v>
      </c>
      <c r="L1243" s="1310" t="s">
        <v>1518</v>
      </c>
      <c r="M1243" s="1310" t="s">
        <v>1625</v>
      </c>
      <c r="N1243" s="1310" t="s">
        <v>1543</v>
      </c>
      <c r="O1243" s="1310" t="s">
        <v>1532</v>
      </c>
      <c r="P1243" s="1310" t="s">
        <v>1601</v>
      </c>
      <c r="Q1243" s="1310" t="s">
        <v>1479</v>
      </c>
      <c r="R1243" s="1310" t="s">
        <v>1551</v>
      </c>
      <c r="S1243" s="1310" t="s">
        <v>119</v>
      </c>
      <c r="T1243" s="1310" t="s">
        <v>1539</v>
      </c>
      <c r="U1243" s="1310" t="s">
        <v>1643</v>
      </c>
      <c r="V1243" s="1310" t="s">
        <v>1493</v>
      </c>
      <c r="W1243" s="1310" t="s">
        <v>1641</v>
      </c>
      <c r="X1243" s="1310" t="s">
        <v>1453</v>
      </c>
      <c r="Y1243" s="1310" t="s">
        <v>124</v>
      </c>
      <c r="Z1243" s="1310" t="s">
        <v>1505</v>
      </c>
      <c r="AA1243" s="1310" t="s">
        <v>1492</v>
      </c>
      <c r="AB1243" s="1310" t="s">
        <v>1585</v>
      </c>
      <c r="AC1243" s="1310" t="s">
        <v>116</v>
      </c>
      <c r="AD1243" s="1310" t="s">
        <v>1530</v>
      </c>
      <c r="AE1243" s="1310" t="s">
        <v>116</v>
      </c>
      <c r="AF1243" s="1310" t="s">
        <v>1549</v>
      </c>
    </row>
    <row r="1244" spans="1:32" x14ac:dyDescent="0.3">
      <c r="A1244" s="1310" t="s">
        <v>1632</v>
      </c>
      <c r="B1244" s="1310" t="s">
        <v>1617</v>
      </c>
      <c r="C1244" s="1310" t="s">
        <v>1647</v>
      </c>
      <c r="D1244" s="1310" t="s">
        <v>1646</v>
      </c>
      <c r="E1244" s="1310" t="s">
        <v>1547</v>
      </c>
      <c r="F1244" s="1310" t="s">
        <v>1560</v>
      </c>
      <c r="G1244" s="1310" t="s">
        <v>1646</v>
      </c>
      <c r="H1244" s="1310" t="s">
        <v>1449</v>
      </c>
      <c r="I1244" s="1310" t="s">
        <v>1584</v>
      </c>
      <c r="J1244" s="1310" t="s">
        <v>1608</v>
      </c>
      <c r="K1244" s="1310" t="s">
        <v>110</v>
      </c>
      <c r="L1244" s="1310" t="s">
        <v>1516</v>
      </c>
      <c r="M1244" s="1310" t="s">
        <v>125</v>
      </c>
      <c r="N1244" s="1310" t="s">
        <v>1514</v>
      </c>
      <c r="O1244" s="1310" t="s">
        <v>1643</v>
      </c>
      <c r="P1244" s="1310" t="s">
        <v>1499</v>
      </c>
      <c r="Q1244" s="1310" t="s">
        <v>1493</v>
      </c>
      <c r="R1244" s="1310" t="s">
        <v>1514</v>
      </c>
      <c r="S1244" s="1310" t="s">
        <v>1450</v>
      </c>
      <c r="T1244" s="1310" t="s">
        <v>1505</v>
      </c>
      <c r="U1244" s="1310" t="s">
        <v>1493</v>
      </c>
      <c r="V1244" s="1310" t="s">
        <v>1604</v>
      </c>
      <c r="W1244" s="1310" t="s">
        <v>1492</v>
      </c>
      <c r="X1244" s="1310" t="s">
        <v>1486</v>
      </c>
      <c r="Y1244" s="1310" t="s">
        <v>1570</v>
      </c>
      <c r="Z1244" s="1310" t="s">
        <v>1533</v>
      </c>
      <c r="AA1244" s="1310" t="s">
        <v>265</v>
      </c>
      <c r="AB1244" s="1310" t="s">
        <v>1532</v>
      </c>
      <c r="AC1244" s="1310" t="s">
        <v>1588</v>
      </c>
      <c r="AD1244" s="1310" t="s">
        <v>1545</v>
      </c>
      <c r="AE1244" s="1310" t="s">
        <v>1619</v>
      </c>
      <c r="AF1244" s="1310" t="s">
        <v>1649</v>
      </c>
    </row>
    <row r="1245" spans="1:32" x14ac:dyDescent="0.3">
      <c r="A1245" s="1310" t="s">
        <v>1651</v>
      </c>
      <c r="B1245" s="1310" t="s">
        <v>1480</v>
      </c>
      <c r="C1245" s="1310" t="s">
        <v>1505</v>
      </c>
      <c r="D1245" s="1310" t="s">
        <v>1606</v>
      </c>
      <c r="E1245" s="1310" t="s">
        <v>1459</v>
      </c>
      <c r="F1245" s="1310" t="s">
        <v>122</v>
      </c>
      <c r="G1245" s="1310" t="s">
        <v>1451</v>
      </c>
      <c r="H1245" s="1310" t="s">
        <v>1628</v>
      </c>
      <c r="I1245" s="1310" t="s">
        <v>119</v>
      </c>
      <c r="J1245" s="1310" t="s">
        <v>1509</v>
      </c>
      <c r="K1245" s="1310" t="s">
        <v>1624</v>
      </c>
      <c r="L1245" s="1310" t="s">
        <v>1483</v>
      </c>
      <c r="M1245" s="1310" t="s">
        <v>1487</v>
      </c>
      <c r="N1245" s="1310" t="s">
        <v>1624</v>
      </c>
      <c r="O1245" s="1310" t="s">
        <v>1466</v>
      </c>
      <c r="P1245" s="1310" t="s">
        <v>1605</v>
      </c>
      <c r="Q1245" s="1310" t="s">
        <v>1646</v>
      </c>
      <c r="R1245" s="1310" t="s">
        <v>1487</v>
      </c>
      <c r="S1245" s="1310" t="s">
        <v>1640</v>
      </c>
      <c r="T1245" s="1310" t="s">
        <v>1477</v>
      </c>
      <c r="U1245" s="1310" t="s">
        <v>1545</v>
      </c>
      <c r="V1245" s="1310" t="s">
        <v>1635</v>
      </c>
      <c r="W1245" s="1310" t="s">
        <v>1479</v>
      </c>
      <c r="X1245" s="1310" t="s">
        <v>1588</v>
      </c>
      <c r="Y1245" s="1310" t="s">
        <v>1508</v>
      </c>
      <c r="Z1245" s="1310" t="s">
        <v>1557</v>
      </c>
      <c r="AA1245" s="1310" t="s">
        <v>1607</v>
      </c>
      <c r="AB1245" s="1310" t="s">
        <v>1539</v>
      </c>
      <c r="AC1245" s="1310" t="s">
        <v>1598</v>
      </c>
      <c r="AD1245" s="1310" t="s">
        <v>1628</v>
      </c>
      <c r="AE1245" s="1310" t="s">
        <v>1637</v>
      </c>
      <c r="AF1245" s="1310" t="s">
        <v>1652</v>
      </c>
    </row>
    <row r="1246" spans="1:32" x14ac:dyDescent="0.3">
      <c r="A1246" s="1310" t="s">
        <v>1561</v>
      </c>
      <c r="B1246" s="1310" t="s">
        <v>1626</v>
      </c>
      <c r="C1246" s="1310" t="s">
        <v>1456</v>
      </c>
      <c r="D1246" s="1310" t="s">
        <v>110</v>
      </c>
      <c r="E1246" s="1310" t="s">
        <v>1607</v>
      </c>
      <c r="F1246" s="1310" t="s">
        <v>1523</v>
      </c>
      <c r="G1246" s="1310" t="s">
        <v>1595</v>
      </c>
      <c r="H1246" s="1310" t="s">
        <v>1466</v>
      </c>
      <c r="I1246" s="1310" t="s">
        <v>1637</v>
      </c>
      <c r="J1246" s="1310" t="s">
        <v>1527</v>
      </c>
      <c r="K1246" s="1310" t="s">
        <v>1480</v>
      </c>
      <c r="L1246" s="1310" t="s">
        <v>1487</v>
      </c>
      <c r="M1246" s="1310" t="s">
        <v>1491</v>
      </c>
      <c r="N1246" s="1310" t="s">
        <v>1605</v>
      </c>
      <c r="O1246" s="1310" t="s">
        <v>1537</v>
      </c>
      <c r="P1246" s="1310" t="s">
        <v>1497</v>
      </c>
      <c r="Q1246" s="1310" t="s">
        <v>114</v>
      </c>
      <c r="R1246" s="1310" t="s">
        <v>1591</v>
      </c>
      <c r="S1246" s="1310" t="s">
        <v>119</v>
      </c>
      <c r="T1246" s="1310" t="s">
        <v>126</v>
      </c>
      <c r="U1246" s="1310" t="s">
        <v>1453</v>
      </c>
      <c r="V1246" s="1310" t="s">
        <v>1604</v>
      </c>
      <c r="W1246" s="1310" t="s">
        <v>1533</v>
      </c>
      <c r="X1246" s="1310" t="s">
        <v>1589</v>
      </c>
      <c r="Y1246" s="1310" t="s">
        <v>116</v>
      </c>
      <c r="Z1246" s="1310" t="s">
        <v>1593</v>
      </c>
      <c r="AA1246" s="1310" t="s">
        <v>1536</v>
      </c>
      <c r="AB1246" s="1310" t="s">
        <v>1452</v>
      </c>
      <c r="AC1246" s="1310" t="s">
        <v>1634</v>
      </c>
      <c r="AD1246" s="1310" t="s">
        <v>1473</v>
      </c>
      <c r="AE1246" s="1310" t="s">
        <v>1534</v>
      </c>
      <c r="AF1246" s="1310" t="s">
        <v>1630</v>
      </c>
    </row>
    <row r="1247" spans="1:32" x14ac:dyDescent="0.3">
      <c r="A1247" s="1310" t="s">
        <v>1592</v>
      </c>
      <c r="B1247" s="1310" t="s">
        <v>1508</v>
      </c>
      <c r="C1247" s="1310" t="s">
        <v>1473</v>
      </c>
      <c r="D1247" s="1310" t="s">
        <v>1647</v>
      </c>
      <c r="E1247" s="1310" t="s">
        <v>1525</v>
      </c>
      <c r="F1247" s="1310" t="s">
        <v>1535</v>
      </c>
      <c r="G1247" s="1310" t="s">
        <v>264</v>
      </c>
      <c r="H1247" s="1310" t="s">
        <v>1567</v>
      </c>
      <c r="I1247" s="1310" t="s">
        <v>120</v>
      </c>
      <c r="J1247" s="1310" t="s">
        <v>1595</v>
      </c>
      <c r="K1247" s="1310" t="s">
        <v>1458</v>
      </c>
      <c r="L1247" s="1310" t="s">
        <v>1587</v>
      </c>
      <c r="M1247" s="1310" t="s">
        <v>1581</v>
      </c>
      <c r="N1247" s="1310" t="s">
        <v>126</v>
      </c>
      <c r="O1247" s="1310" t="s">
        <v>1504</v>
      </c>
      <c r="P1247" s="1310" t="s">
        <v>1622</v>
      </c>
      <c r="Q1247" s="1310" t="s">
        <v>1487</v>
      </c>
      <c r="R1247" s="1310" t="s">
        <v>1503</v>
      </c>
      <c r="S1247" s="1310" t="s">
        <v>1465</v>
      </c>
      <c r="T1247" s="1310" t="s">
        <v>127</v>
      </c>
      <c r="U1247" s="1310" t="s">
        <v>1455</v>
      </c>
      <c r="V1247" s="1310" t="s">
        <v>1572</v>
      </c>
      <c r="W1247" s="1310" t="s">
        <v>1595</v>
      </c>
      <c r="X1247" s="1310" t="s">
        <v>1614</v>
      </c>
      <c r="Y1247" s="1310" t="s">
        <v>1644</v>
      </c>
      <c r="Z1247" s="1310" t="s">
        <v>131</v>
      </c>
      <c r="AA1247" s="1310" t="s">
        <v>1484</v>
      </c>
      <c r="AB1247" s="1310" t="s">
        <v>1569</v>
      </c>
      <c r="AC1247" s="1310" t="s">
        <v>1658</v>
      </c>
      <c r="AD1247" s="1310" t="s">
        <v>1511</v>
      </c>
      <c r="AE1247" s="1310" t="s">
        <v>1547</v>
      </c>
      <c r="AF1247" s="1310" t="s">
        <v>1552</v>
      </c>
    </row>
    <row r="1248" spans="1:32" x14ac:dyDescent="0.3">
      <c r="A1248" s="1310" t="s">
        <v>1516</v>
      </c>
      <c r="B1248" s="1310" t="s">
        <v>1573</v>
      </c>
      <c r="C1248" s="1310" t="s">
        <v>1030</v>
      </c>
      <c r="D1248" s="1310" t="s">
        <v>1508</v>
      </c>
      <c r="E1248" s="1310" t="s">
        <v>1646</v>
      </c>
      <c r="F1248" s="1310" t="s">
        <v>1471</v>
      </c>
      <c r="G1248" s="1310" t="s">
        <v>1578</v>
      </c>
      <c r="H1248" s="1310" t="s">
        <v>1466</v>
      </c>
      <c r="I1248" s="1310" t="s">
        <v>1451</v>
      </c>
      <c r="J1248" s="1310" t="s">
        <v>1527</v>
      </c>
      <c r="K1248" s="1310" t="s">
        <v>1489</v>
      </c>
      <c r="L1248" s="1310" t="s">
        <v>119</v>
      </c>
      <c r="M1248" s="1310" t="s">
        <v>1466</v>
      </c>
      <c r="N1248" s="1310" t="s">
        <v>263</v>
      </c>
      <c r="O1248" s="1310" t="s">
        <v>270</v>
      </c>
      <c r="P1248" s="1310" t="s">
        <v>1572</v>
      </c>
      <c r="Q1248" s="1310" t="s">
        <v>1589</v>
      </c>
      <c r="R1248" s="1310" t="s">
        <v>1547</v>
      </c>
      <c r="S1248" s="1310" t="s">
        <v>1449</v>
      </c>
      <c r="T1248" s="1310" t="s">
        <v>1452</v>
      </c>
      <c r="U1248" s="1310" t="s">
        <v>1572</v>
      </c>
      <c r="V1248" s="1310" t="s">
        <v>1552</v>
      </c>
      <c r="W1248" s="1310" t="s">
        <v>1511</v>
      </c>
      <c r="X1248" s="1310" t="s">
        <v>1467</v>
      </c>
      <c r="Y1248" s="1310" t="s">
        <v>1530</v>
      </c>
      <c r="Z1248" s="1310" t="s">
        <v>1623</v>
      </c>
      <c r="AA1248" s="1310" t="s">
        <v>1517</v>
      </c>
      <c r="AB1248" s="1310" t="s">
        <v>1499</v>
      </c>
      <c r="AC1248" s="1310" t="s">
        <v>1500</v>
      </c>
      <c r="AD1248" s="1310" t="s">
        <v>118</v>
      </c>
      <c r="AE1248" s="1310" t="s">
        <v>1640</v>
      </c>
      <c r="AF1248" s="1310" t="s">
        <v>1643</v>
      </c>
    </row>
    <row r="1249" spans="1:32" x14ac:dyDescent="0.3">
      <c r="A1249" s="1310" t="s">
        <v>1606</v>
      </c>
      <c r="B1249" s="1310" t="s">
        <v>1564</v>
      </c>
      <c r="C1249" s="1310" t="s">
        <v>1581</v>
      </c>
      <c r="D1249" s="1310" t="s">
        <v>267</v>
      </c>
      <c r="E1249" s="1310" t="s">
        <v>1572</v>
      </c>
      <c r="F1249" s="1310" t="s">
        <v>1576</v>
      </c>
      <c r="G1249" s="1310" t="s">
        <v>1561</v>
      </c>
      <c r="H1249" s="1310" t="s">
        <v>1548</v>
      </c>
      <c r="I1249" s="1310" t="s">
        <v>1484</v>
      </c>
      <c r="J1249" s="1310" t="s">
        <v>1536</v>
      </c>
      <c r="K1249" s="1310" t="s">
        <v>1613</v>
      </c>
      <c r="L1249" s="1310" t="s">
        <v>1643</v>
      </c>
      <c r="M1249" s="1310" t="s">
        <v>1551</v>
      </c>
      <c r="N1249" s="1310" t="s">
        <v>1608</v>
      </c>
      <c r="O1249" s="1310" t="s">
        <v>1591</v>
      </c>
      <c r="P1249" s="1310" t="s">
        <v>133</v>
      </c>
      <c r="Q1249" s="1310" t="s">
        <v>1564</v>
      </c>
      <c r="R1249" s="1310" t="s">
        <v>270</v>
      </c>
      <c r="S1249" s="1310" t="s">
        <v>1572</v>
      </c>
      <c r="T1249" s="1310" t="s">
        <v>1504</v>
      </c>
      <c r="U1249" s="1310" t="s">
        <v>1484</v>
      </c>
      <c r="V1249" s="1310" t="s">
        <v>1485</v>
      </c>
      <c r="W1249" s="1310" t="s">
        <v>1548</v>
      </c>
      <c r="X1249" s="1310" t="s">
        <v>1585</v>
      </c>
      <c r="Y1249" s="1310" t="s">
        <v>1480</v>
      </c>
      <c r="Z1249" s="1310" t="s">
        <v>1621</v>
      </c>
      <c r="AA1249" s="1310" t="s">
        <v>1566</v>
      </c>
      <c r="AB1249" s="1310" t="s">
        <v>121</v>
      </c>
      <c r="AC1249" s="1310" t="s">
        <v>1594</v>
      </c>
      <c r="AD1249" s="1310" t="s">
        <v>1623</v>
      </c>
      <c r="AE1249" s="1310" t="s">
        <v>1611</v>
      </c>
      <c r="AF1249" s="1310" t="s">
        <v>1480</v>
      </c>
    </row>
    <row r="1250" spans="1:32" x14ac:dyDescent="0.3">
      <c r="A1250" s="1310" t="s">
        <v>1656</v>
      </c>
      <c r="B1250" s="1310" t="s">
        <v>133</v>
      </c>
      <c r="C1250" s="1310" t="s">
        <v>1595</v>
      </c>
      <c r="D1250" s="1310" t="s">
        <v>1645</v>
      </c>
      <c r="E1250" s="1310" t="s">
        <v>1621</v>
      </c>
      <c r="F1250" s="1310" t="s">
        <v>1642</v>
      </c>
      <c r="G1250" s="1310" t="s">
        <v>1551</v>
      </c>
      <c r="H1250" s="1310" t="s">
        <v>1494</v>
      </c>
      <c r="I1250" s="1310" t="s">
        <v>1604</v>
      </c>
      <c r="J1250" s="1310" t="s">
        <v>1519</v>
      </c>
      <c r="K1250" s="1310" t="s">
        <v>1473</v>
      </c>
      <c r="L1250" s="1310" t="s">
        <v>1477</v>
      </c>
      <c r="M1250" s="1310" t="s">
        <v>133</v>
      </c>
      <c r="N1250" s="1310" t="s">
        <v>1597</v>
      </c>
      <c r="O1250" s="1310" t="s">
        <v>1616</v>
      </c>
      <c r="P1250" s="1310" t="s">
        <v>1537</v>
      </c>
      <c r="Q1250" s="1310" t="s">
        <v>1457</v>
      </c>
      <c r="R1250" s="1310" t="s">
        <v>1635</v>
      </c>
      <c r="S1250" s="1310" t="s">
        <v>1472</v>
      </c>
      <c r="T1250" s="1310" t="s">
        <v>1654</v>
      </c>
      <c r="U1250" s="1310" t="s">
        <v>1658</v>
      </c>
      <c r="V1250" s="1310" t="s">
        <v>1452</v>
      </c>
      <c r="W1250" s="1310" t="s">
        <v>112</v>
      </c>
      <c r="X1250" s="1310" t="s">
        <v>1452</v>
      </c>
      <c r="Y1250" s="1310" t="s">
        <v>124</v>
      </c>
      <c r="Z1250" s="1310" t="s">
        <v>1473</v>
      </c>
      <c r="AA1250" s="1310" t="s">
        <v>126</v>
      </c>
      <c r="AB1250" s="1310" t="s">
        <v>1477</v>
      </c>
      <c r="AC1250" s="1310" t="s">
        <v>1537</v>
      </c>
      <c r="AD1250" s="1310" t="s">
        <v>1030</v>
      </c>
      <c r="AE1250" s="1310" t="s">
        <v>1505</v>
      </c>
      <c r="AF1250" s="1310" t="s">
        <v>131</v>
      </c>
    </row>
    <row r="1251" spans="1:32" x14ac:dyDescent="0.3">
      <c r="A1251" s="1310" t="s">
        <v>1530</v>
      </c>
      <c r="B1251" s="1310" t="s">
        <v>1558</v>
      </c>
      <c r="C1251" s="1310" t="s">
        <v>1564</v>
      </c>
      <c r="D1251" s="1310" t="s">
        <v>1455</v>
      </c>
      <c r="E1251" s="1310" t="s">
        <v>1630</v>
      </c>
      <c r="F1251" s="1310" t="s">
        <v>1487</v>
      </c>
      <c r="G1251" s="1310" t="s">
        <v>1518</v>
      </c>
      <c r="H1251" s="1310" t="s">
        <v>1534</v>
      </c>
      <c r="I1251" s="1310" t="s">
        <v>1596</v>
      </c>
      <c r="J1251" s="1310" t="s">
        <v>1556</v>
      </c>
      <c r="K1251" s="1310" t="s">
        <v>1658</v>
      </c>
      <c r="L1251" s="1310" t="s">
        <v>1546</v>
      </c>
      <c r="M1251" s="1310" t="s">
        <v>1558</v>
      </c>
      <c r="N1251" s="1310" t="s">
        <v>1601</v>
      </c>
      <c r="O1251" s="1310" t="s">
        <v>1584</v>
      </c>
      <c r="P1251" s="1310" t="s">
        <v>1653</v>
      </c>
      <c r="Q1251" s="1310" t="s">
        <v>1463</v>
      </c>
      <c r="R1251" s="1310" t="s">
        <v>1629</v>
      </c>
      <c r="S1251" s="1310" t="s">
        <v>1585</v>
      </c>
      <c r="T1251" s="1310" t="s">
        <v>267</v>
      </c>
      <c r="U1251" s="1310" t="s">
        <v>1537</v>
      </c>
      <c r="V1251" s="1310" t="s">
        <v>1622</v>
      </c>
      <c r="W1251" s="1310" t="s">
        <v>1565</v>
      </c>
      <c r="X1251" s="1310" t="s">
        <v>1653</v>
      </c>
      <c r="Y1251" s="1310" t="s">
        <v>1628</v>
      </c>
      <c r="Z1251" s="1310" t="s">
        <v>1580</v>
      </c>
      <c r="AA1251" s="1310" t="s">
        <v>1464</v>
      </c>
      <c r="AB1251" s="1310" t="s">
        <v>1618</v>
      </c>
      <c r="AC1251" s="1310" t="s">
        <v>1644</v>
      </c>
      <c r="AD1251" s="1310" t="s">
        <v>1504</v>
      </c>
      <c r="AE1251" s="1310" t="s">
        <v>1489</v>
      </c>
      <c r="AF1251" s="1310" t="s">
        <v>1504</v>
      </c>
    </row>
    <row r="1252" spans="1:32" x14ac:dyDescent="0.3">
      <c r="A1252" s="1310" t="s">
        <v>1521</v>
      </c>
      <c r="B1252" s="1310" t="s">
        <v>1447</v>
      </c>
      <c r="C1252" s="1310" t="s">
        <v>1571</v>
      </c>
      <c r="D1252" s="1310" t="s">
        <v>1606</v>
      </c>
      <c r="E1252" s="1310" t="s">
        <v>133</v>
      </c>
      <c r="F1252" s="1310" t="s">
        <v>1615</v>
      </c>
      <c r="G1252" s="1310" t="s">
        <v>1540</v>
      </c>
      <c r="H1252" s="1310" t="s">
        <v>1612</v>
      </c>
      <c r="I1252" s="1310" t="s">
        <v>1480</v>
      </c>
      <c r="J1252" s="1310" t="s">
        <v>1600</v>
      </c>
      <c r="K1252" s="1310" t="s">
        <v>121</v>
      </c>
      <c r="L1252" s="1310" t="s">
        <v>1570</v>
      </c>
      <c r="M1252" s="1310" t="s">
        <v>1481</v>
      </c>
      <c r="N1252" s="1310" t="s">
        <v>1564</v>
      </c>
      <c r="O1252" s="1310" t="s">
        <v>1540</v>
      </c>
      <c r="P1252" s="1310" t="s">
        <v>1649</v>
      </c>
      <c r="Q1252" s="1310" t="s">
        <v>1457</v>
      </c>
      <c r="R1252" s="1310" t="s">
        <v>1562</v>
      </c>
      <c r="S1252" s="1310" t="s">
        <v>1528</v>
      </c>
      <c r="T1252" s="1310" t="s">
        <v>1653</v>
      </c>
      <c r="U1252" s="1310" t="s">
        <v>1483</v>
      </c>
      <c r="V1252" s="1310" t="s">
        <v>1630</v>
      </c>
      <c r="W1252" s="1310" t="s">
        <v>1484</v>
      </c>
      <c r="X1252" s="1310" t="s">
        <v>1602</v>
      </c>
      <c r="Y1252" s="1310" t="s">
        <v>1654</v>
      </c>
      <c r="Z1252" s="1310" t="s">
        <v>1589</v>
      </c>
      <c r="AA1252" s="1310" t="s">
        <v>115</v>
      </c>
      <c r="AB1252" s="1310" t="s">
        <v>1500</v>
      </c>
      <c r="AC1252" s="1310" t="s">
        <v>1652</v>
      </c>
      <c r="AD1252" s="1310" t="s">
        <v>1638</v>
      </c>
      <c r="AE1252" s="1310" t="s">
        <v>1535</v>
      </c>
      <c r="AF1252" s="1310" t="s">
        <v>1543</v>
      </c>
    </row>
    <row r="1253" spans="1:32" x14ac:dyDescent="0.3">
      <c r="A1253" s="1310" t="s">
        <v>128</v>
      </c>
      <c r="B1253" s="1310" t="s">
        <v>1548</v>
      </c>
      <c r="C1253" s="1310" t="s">
        <v>265</v>
      </c>
      <c r="D1253" s="1310" t="s">
        <v>1479</v>
      </c>
      <c r="E1253" s="1310" t="s">
        <v>1525</v>
      </c>
      <c r="F1253" s="1310" t="s">
        <v>1482</v>
      </c>
      <c r="G1253" s="1310" t="s">
        <v>1466</v>
      </c>
      <c r="H1253" s="1310" t="s">
        <v>119</v>
      </c>
      <c r="I1253" s="1310" t="s">
        <v>1451</v>
      </c>
      <c r="J1253" s="1310" t="s">
        <v>1528</v>
      </c>
      <c r="K1253" s="1310" t="s">
        <v>1577</v>
      </c>
      <c r="L1253" s="1310" t="s">
        <v>1623</v>
      </c>
      <c r="M1253" s="1310" t="s">
        <v>1443</v>
      </c>
      <c r="N1253" s="1310" t="s">
        <v>1450</v>
      </c>
      <c r="O1253" s="1310" t="s">
        <v>1574</v>
      </c>
      <c r="P1253" s="1310" t="s">
        <v>1483</v>
      </c>
      <c r="Q1253" s="1310" t="s">
        <v>1622</v>
      </c>
      <c r="R1253" s="1310" t="s">
        <v>6</v>
      </c>
      <c r="S1253" s="1310" t="s">
        <v>1575</v>
      </c>
      <c r="T1253" s="1310" t="s">
        <v>1649</v>
      </c>
      <c r="U1253" s="1310" t="s">
        <v>1608</v>
      </c>
      <c r="V1253" s="1310" t="s">
        <v>1498</v>
      </c>
      <c r="W1253" s="1310" t="s">
        <v>1501</v>
      </c>
      <c r="X1253" s="1310" t="s">
        <v>1657</v>
      </c>
      <c r="Y1253" s="1310" t="s">
        <v>1596</v>
      </c>
      <c r="Z1253" s="1310" t="s">
        <v>1512</v>
      </c>
      <c r="AA1253" s="1310" t="s">
        <v>264</v>
      </c>
      <c r="AB1253" s="1310" t="s">
        <v>1561</v>
      </c>
      <c r="AC1253" s="1310" t="s">
        <v>1602</v>
      </c>
      <c r="AD1253" s="1310" t="s">
        <v>1486</v>
      </c>
      <c r="AE1253" s="1310" t="s">
        <v>1495</v>
      </c>
      <c r="AF1253" s="1310" t="s">
        <v>1632</v>
      </c>
    </row>
    <row r="1254" spans="1:32" x14ac:dyDescent="0.3">
      <c r="A1254" s="1310" t="s">
        <v>1624</v>
      </c>
      <c r="B1254" s="1310" t="s">
        <v>1543</v>
      </c>
      <c r="C1254" s="1310" t="s">
        <v>1583</v>
      </c>
      <c r="D1254" s="1310" t="s">
        <v>1492</v>
      </c>
      <c r="E1254" s="1310" t="s">
        <v>1558</v>
      </c>
      <c r="F1254" s="1310" t="s">
        <v>1466</v>
      </c>
      <c r="G1254" s="1310" t="s">
        <v>1473</v>
      </c>
      <c r="H1254" s="1310" t="s">
        <v>1577</v>
      </c>
      <c r="I1254" s="1310" t="s">
        <v>1508</v>
      </c>
      <c r="J1254" s="1310" t="s">
        <v>1521</v>
      </c>
      <c r="K1254" s="1310" t="s">
        <v>1443</v>
      </c>
      <c r="L1254" s="1310" t="s">
        <v>1450</v>
      </c>
      <c r="M1254" s="1310" t="s">
        <v>1532</v>
      </c>
      <c r="N1254" s="1310" t="s">
        <v>1649</v>
      </c>
      <c r="O1254" s="1310" t="s">
        <v>1476</v>
      </c>
      <c r="P1254" s="1310" t="s">
        <v>114</v>
      </c>
      <c r="Q1254" s="1310" t="s">
        <v>1623</v>
      </c>
      <c r="R1254" s="1310" t="s">
        <v>1485</v>
      </c>
      <c r="S1254" s="1310" t="s">
        <v>1545</v>
      </c>
      <c r="T1254" s="1310" t="s">
        <v>1644</v>
      </c>
      <c r="U1254" s="1310" t="s">
        <v>1632</v>
      </c>
      <c r="V1254" s="1310" t="s">
        <v>1600</v>
      </c>
      <c r="W1254" s="1310" t="s">
        <v>1509</v>
      </c>
      <c r="X1254" s="1310" t="s">
        <v>1554</v>
      </c>
      <c r="Y1254" s="1310" t="s">
        <v>1452</v>
      </c>
      <c r="Z1254" s="1310" t="s">
        <v>1621</v>
      </c>
      <c r="AA1254" s="1310" t="s">
        <v>1541</v>
      </c>
      <c r="AB1254" s="1310" t="s">
        <v>1444</v>
      </c>
      <c r="AC1254" s="1310" t="s">
        <v>465</v>
      </c>
      <c r="AD1254" s="1310" t="s">
        <v>114</v>
      </c>
      <c r="AE1254" s="1310" t="s">
        <v>1488</v>
      </c>
      <c r="AF1254" s="1310" t="s">
        <v>1455</v>
      </c>
    </row>
    <row r="1255" spans="1:32" x14ac:dyDescent="0.3">
      <c r="A1255" s="1310" t="s">
        <v>1635</v>
      </c>
      <c r="B1255" s="1310" t="s">
        <v>1549</v>
      </c>
      <c r="C1255" s="1310" t="s">
        <v>1644</v>
      </c>
      <c r="D1255" s="1310" t="s">
        <v>1632</v>
      </c>
      <c r="E1255" s="1310" t="s">
        <v>1600</v>
      </c>
      <c r="F1255" s="1310" t="s">
        <v>1509</v>
      </c>
      <c r="G1255" s="1310" t="s">
        <v>1580</v>
      </c>
      <c r="H1255" s="1310" t="s">
        <v>1443</v>
      </c>
      <c r="I1255" s="1310" t="s">
        <v>1560</v>
      </c>
      <c r="J1255" s="1310" t="s">
        <v>1571</v>
      </c>
      <c r="K1255" s="1310" t="s">
        <v>1562</v>
      </c>
      <c r="L1255" s="1310" t="s">
        <v>1452</v>
      </c>
      <c r="M1255" s="1310" t="s">
        <v>1621</v>
      </c>
      <c r="N1255" s="1310" t="s">
        <v>1541</v>
      </c>
      <c r="O1255" s="1310" t="s">
        <v>1444</v>
      </c>
      <c r="P1255" s="1310" t="s">
        <v>465</v>
      </c>
      <c r="Q1255" s="1310" t="s">
        <v>114</v>
      </c>
      <c r="R1255" s="1310" t="s">
        <v>1488</v>
      </c>
      <c r="S1255" s="1310" t="s">
        <v>1455</v>
      </c>
      <c r="T1255" s="1310" t="s">
        <v>1635</v>
      </c>
      <c r="U1255" s="1310" t="s">
        <v>1549</v>
      </c>
      <c r="V1255" s="1310" t="s">
        <v>1644</v>
      </c>
      <c r="W1255" s="1310" t="s">
        <v>1632</v>
      </c>
      <c r="X1255" s="1310" t="s">
        <v>1600</v>
      </c>
      <c r="Y1255" s="1310" t="s">
        <v>1509</v>
      </c>
      <c r="Z1255" s="1310" t="s">
        <v>1554</v>
      </c>
      <c r="AA1255" s="1310" t="s">
        <v>1452</v>
      </c>
      <c r="AB1255" s="1310" t="s">
        <v>1621</v>
      </c>
      <c r="AC1255" s="1310" t="s">
        <v>1541</v>
      </c>
      <c r="AD1255" s="1310" t="s">
        <v>1444</v>
      </c>
      <c r="AE1255" s="1310" t="s">
        <v>1616</v>
      </c>
      <c r="AF1255" s="1310" t="s">
        <v>1501</v>
      </c>
    </row>
    <row r="1256" spans="1:32" x14ac:dyDescent="0.3">
      <c r="A1256" s="1310" t="s">
        <v>1635</v>
      </c>
      <c r="B1256" s="1310" t="s">
        <v>1596</v>
      </c>
      <c r="C1256" s="1310" t="s">
        <v>1539</v>
      </c>
      <c r="D1256" s="1310" t="s">
        <v>1613</v>
      </c>
      <c r="E1256" s="1310" t="s">
        <v>1619</v>
      </c>
      <c r="F1256" s="1310" t="s">
        <v>122</v>
      </c>
      <c r="G1256" s="1310" t="s">
        <v>1645</v>
      </c>
      <c r="H1256" s="1310" t="s">
        <v>1542</v>
      </c>
      <c r="I1256" s="1310" t="s">
        <v>1587</v>
      </c>
      <c r="J1256" s="1310" t="s">
        <v>1527</v>
      </c>
      <c r="K1256" s="1310" t="s">
        <v>1475</v>
      </c>
      <c r="L1256" s="1310" t="s">
        <v>1445</v>
      </c>
      <c r="M1256" s="1310" t="s">
        <v>119</v>
      </c>
      <c r="N1256" s="1310" t="s">
        <v>1559</v>
      </c>
      <c r="O1256" s="1310" t="s">
        <v>1535</v>
      </c>
      <c r="P1256" s="1310" t="s">
        <v>1594</v>
      </c>
      <c r="Q1256" s="1310" t="s">
        <v>1585</v>
      </c>
      <c r="R1256" s="1310" t="s">
        <v>1576</v>
      </c>
      <c r="S1256" s="1310" t="s">
        <v>1545</v>
      </c>
      <c r="T1256" s="1310" t="s">
        <v>1477</v>
      </c>
      <c r="U1256" s="1310" t="s">
        <v>1616</v>
      </c>
      <c r="V1256" s="1310" t="s">
        <v>1660</v>
      </c>
      <c r="W1256" s="1310" t="s">
        <v>1633</v>
      </c>
      <c r="X1256" s="1310" t="s">
        <v>1609</v>
      </c>
      <c r="Y1256" s="1310" t="s">
        <v>1505</v>
      </c>
      <c r="Z1256" s="1310" t="s">
        <v>1509</v>
      </c>
      <c r="AA1256" s="1310" t="s">
        <v>1647</v>
      </c>
      <c r="AB1256" s="1310" t="s">
        <v>1472</v>
      </c>
      <c r="AC1256" s="1310" t="s">
        <v>1647</v>
      </c>
      <c r="AD1256" s="1310" t="s">
        <v>1580</v>
      </c>
      <c r="AE1256" s="1310" t="s">
        <v>1647</v>
      </c>
      <c r="AF1256" s="1310" t="s">
        <v>1484</v>
      </c>
    </row>
    <row r="1257" spans="1:32" x14ac:dyDescent="0.3">
      <c r="A1257" s="1310" t="s">
        <v>1030</v>
      </c>
      <c r="B1257" s="1310" t="s">
        <v>1647</v>
      </c>
      <c r="C1257" s="1310" t="s">
        <v>1480</v>
      </c>
      <c r="D1257" s="1310" t="s">
        <v>1647</v>
      </c>
      <c r="E1257" s="1310" t="s">
        <v>1582</v>
      </c>
      <c r="F1257" s="1310" t="s">
        <v>6</v>
      </c>
      <c r="G1257" s="1310" t="s">
        <v>1626</v>
      </c>
      <c r="H1257" s="1310" t="s">
        <v>1466</v>
      </c>
      <c r="I1257" s="1310" t="s">
        <v>1466</v>
      </c>
      <c r="J1257" s="1310" t="s">
        <v>1478</v>
      </c>
      <c r="K1257" s="1310" t="s">
        <v>1477</v>
      </c>
      <c r="L1257" s="1310" t="s">
        <v>1459</v>
      </c>
      <c r="M1257" s="1310" t="s">
        <v>1464</v>
      </c>
      <c r="N1257" s="1310" t="s">
        <v>1563</v>
      </c>
      <c r="O1257" s="1310" t="s">
        <v>1548</v>
      </c>
      <c r="P1257" s="1310" t="s">
        <v>1457</v>
      </c>
      <c r="Q1257" s="1310" t="s">
        <v>1469</v>
      </c>
      <c r="R1257" s="1310" t="s">
        <v>1578</v>
      </c>
      <c r="S1257" s="1310" t="s">
        <v>1490</v>
      </c>
      <c r="T1257" s="1310" t="s">
        <v>1660</v>
      </c>
      <c r="U1257" s="1310" t="s">
        <v>1588</v>
      </c>
      <c r="V1257" s="1310" t="s">
        <v>1534</v>
      </c>
      <c r="W1257" s="1310" t="s">
        <v>1641</v>
      </c>
      <c r="X1257" s="1310" t="s">
        <v>1651</v>
      </c>
      <c r="Y1257" s="1310" t="s">
        <v>1490</v>
      </c>
      <c r="Z1257" s="1310" t="s">
        <v>1637</v>
      </c>
      <c r="AA1257" s="1310" t="s">
        <v>1452</v>
      </c>
      <c r="AB1257" s="1310" t="s">
        <v>1523</v>
      </c>
      <c r="AC1257" s="1310" t="s">
        <v>1653</v>
      </c>
      <c r="AD1257" s="1310" t="s">
        <v>266</v>
      </c>
      <c r="AE1257" s="1310" t="s">
        <v>123</v>
      </c>
      <c r="AF1257" s="1310" t="s">
        <v>1611</v>
      </c>
    </row>
    <row r="1258" spans="1:32" x14ac:dyDescent="0.3">
      <c r="A1258" s="1310" t="s">
        <v>1508</v>
      </c>
      <c r="B1258" s="1310" t="s">
        <v>1507</v>
      </c>
      <c r="C1258" s="1310" t="s">
        <v>1558</v>
      </c>
      <c r="D1258" s="1310" t="s">
        <v>1582</v>
      </c>
      <c r="E1258" s="1310" t="s">
        <v>1475</v>
      </c>
      <c r="F1258" s="1310" t="s">
        <v>1630</v>
      </c>
      <c r="G1258" s="1310" t="s">
        <v>1539</v>
      </c>
      <c r="H1258" s="1310" t="s">
        <v>1450</v>
      </c>
      <c r="I1258" s="1310" t="s">
        <v>1607</v>
      </c>
      <c r="J1258" s="1310" t="s">
        <v>1493</v>
      </c>
      <c r="K1258" s="1310" t="s">
        <v>1654</v>
      </c>
      <c r="L1258" s="1310" t="s">
        <v>1493</v>
      </c>
      <c r="M1258" s="1310" t="s">
        <v>116</v>
      </c>
      <c r="N1258" s="1310" t="s">
        <v>1486</v>
      </c>
      <c r="O1258" s="1310" t="s">
        <v>1617</v>
      </c>
      <c r="P1258" s="1310" t="s">
        <v>1601</v>
      </c>
      <c r="Q1258" s="1310" t="s">
        <v>1638</v>
      </c>
      <c r="R1258" s="1310" t="s">
        <v>116</v>
      </c>
      <c r="S1258" s="1310" t="s">
        <v>1530</v>
      </c>
      <c r="T1258" s="1310" t="s">
        <v>1605</v>
      </c>
      <c r="U1258" s="1310" t="s">
        <v>1502</v>
      </c>
      <c r="V1258" s="1310" t="s">
        <v>1560</v>
      </c>
      <c r="W1258" s="1310" t="s">
        <v>1660</v>
      </c>
      <c r="X1258" s="1310" t="s">
        <v>1548</v>
      </c>
      <c r="Y1258" s="1310" t="s">
        <v>113</v>
      </c>
      <c r="Z1258" s="1310" t="s">
        <v>1569</v>
      </c>
      <c r="AA1258" s="1310" t="s">
        <v>1464</v>
      </c>
      <c r="AB1258" s="1310" t="s">
        <v>120</v>
      </c>
      <c r="AC1258" s="1310" t="s">
        <v>1629</v>
      </c>
      <c r="AD1258" s="1310" t="s">
        <v>1619</v>
      </c>
      <c r="AE1258" s="1310" t="s">
        <v>1567</v>
      </c>
      <c r="AF1258" s="1310" t="s">
        <v>1477</v>
      </c>
    </row>
    <row r="1259" spans="1:32" x14ac:dyDescent="0.3">
      <c r="A1259" s="1310" t="s">
        <v>1561</v>
      </c>
      <c r="B1259" s="1310" t="s">
        <v>1524</v>
      </c>
      <c r="C1259" s="1310" t="s">
        <v>1645</v>
      </c>
      <c r="D1259" s="1310" t="s">
        <v>1501</v>
      </c>
      <c r="E1259" s="1310" t="s">
        <v>131</v>
      </c>
      <c r="F1259" s="1310" t="s">
        <v>1503</v>
      </c>
      <c r="G1259" s="1310" t="s">
        <v>1565</v>
      </c>
      <c r="H1259" s="1310" t="s">
        <v>129</v>
      </c>
      <c r="I1259" s="1310" t="s">
        <v>1535</v>
      </c>
      <c r="J1259" s="1310" t="s">
        <v>1617</v>
      </c>
      <c r="K1259" s="1310" t="s">
        <v>119</v>
      </c>
      <c r="L1259" s="1310" t="s">
        <v>1626</v>
      </c>
      <c r="M1259" s="1310" t="s">
        <v>1494</v>
      </c>
      <c r="N1259" s="1310" t="s">
        <v>1604</v>
      </c>
      <c r="O1259" s="1310" t="s">
        <v>1465</v>
      </c>
      <c r="P1259" s="1310" t="s">
        <v>1584</v>
      </c>
      <c r="Q1259" s="1310" t="s">
        <v>122</v>
      </c>
      <c r="R1259" s="1310" t="s">
        <v>117</v>
      </c>
      <c r="S1259" s="1310" t="s">
        <v>1646</v>
      </c>
      <c r="T1259" s="1310" t="s">
        <v>1476</v>
      </c>
      <c r="U1259" s="1310" t="s">
        <v>1616</v>
      </c>
      <c r="V1259" s="1310" t="s">
        <v>1600</v>
      </c>
      <c r="W1259" s="1310" t="s">
        <v>1564</v>
      </c>
      <c r="X1259" s="1310" t="s">
        <v>1528</v>
      </c>
      <c r="Y1259" s="1310" t="s">
        <v>1628</v>
      </c>
      <c r="Z1259" s="1310" t="s">
        <v>1637</v>
      </c>
      <c r="AA1259" s="1310" t="s">
        <v>1484</v>
      </c>
      <c r="AB1259" s="1310" t="s">
        <v>1576</v>
      </c>
      <c r="AC1259" s="1310" t="s">
        <v>1502</v>
      </c>
      <c r="AD1259" s="1310" t="s">
        <v>1452</v>
      </c>
      <c r="AE1259" s="1310" t="s">
        <v>1548</v>
      </c>
      <c r="AF1259" s="1310" t="s">
        <v>1464</v>
      </c>
    </row>
    <row r="1260" spans="1:32" x14ac:dyDescent="0.3">
      <c r="A1260" s="1310" t="s">
        <v>1593</v>
      </c>
      <c r="B1260" s="1310" t="s">
        <v>1597</v>
      </c>
      <c r="C1260" s="1310" t="s">
        <v>1557</v>
      </c>
      <c r="D1260" s="1310" t="s">
        <v>1629</v>
      </c>
      <c r="E1260" s="1310" t="s">
        <v>1646</v>
      </c>
      <c r="F1260" s="1310" t="s">
        <v>1524</v>
      </c>
      <c r="G1260" s="1310" t="s">
        <v>1627</v>
      </c>
      <c r="H1260" s="1310" t="s">
        <v>1446</v>
      </c>
      <c r="I1260" s="1310" t="s">
        <v>268</v>
      </c>
      <c r="J1260" s="1310" t="s">
        <v>1532</v>
      </c>
      <c r="K1260" s="1310" t="s">
        <v>1556</v>
      </c>
      <c r="L1260" s="1310" t="s">
        <v>1653</v>
      </c>
      <c r="M1260" s="1310" t="s">
        <v>131</v>
      </c>
      <c r="N1260" s="1310" t="s">
        <v>1490</v>
      </c>
      <c r="O1260" s="1310" t="s">
        <v>1554</v>
      </c>
      <c r="P1260" s="1310" t="s">
        <v>1452</v>
      </c>
      <c r="Q1260" s="1310" t="s">
        <v>112</v>
      </c>
      <c r="R1260" s="1310" t="s">
        <v>1485</v>
      </c>
      <c r="S1260" s="1310" t="s">
        <v>1617</v>
      </c>
      <c r="T1260" s="1310" t="s">
        <v>1631</v>
      </c>
      <c r="U1260" s="1310" t="s">
        <v>1574</v>
      </c>
      <c r="V1260" s="1310" t="s">
        <v>1495</v>
      </c>
      <c r="W1260" s="1310" t="s">
        <v>114</v>
      </c>
      <c r="X1260" s="1310" t="s">
        <v>1640</v>
      </c>
      <c r="Y1260" s="1310" t="s">
        <v>1488</v>
      </c>
      <c r="Z1260" s="1310" t="s">
        <v>1621</v>
      </c>
      <c r="AA1260" s="1310" t="s">
        <v>1629</v>
      </c>
      <c r="AB1260" s="1310" t="s">
        <v>1572</v>
      </c>
      <c r="AC1260" s="1310" t="s">
        <v>1579</v>
      </c>
      <c r="AD1260" s="1310" t="s">
        <v>1572</v>
      </c>
      <c r="AE1260" s="1310" t="s">
        <v>113</v>
      </c>
      <c r="AF1260" s="1310" t="s">
        <v>132</v>
      </c>
    </row>
    <row r="1261" spans="1:32" x14ac:dyDescent="0.3">
      <c r="A1261" s="1310" t="s">
        <v>1474</v>
      </c>
      <c r="B1261" s="1310" t="s">
        <v>1459</v>
      </c>
      <c r="C1261" s="1310" t="s">
        <v>1639</v>
      </c>
      <c r="D1261" s="1310" t="s">
        <v>1565</v>
      </c>
      <c r="E1261" s="1310" t="s">
        <v>1601</v>
      </c>
      <c r="F1261" s="1310" t="s">
        <v>116</v>
      </c>
      <c r="G1261" s="1310" t="s">
        <v>1536</v>
      </c>
      <c r="H1261" s="1310" t="s">
        <v>126</v>
      </c>
      <c r="I1261" s="1310" t="s">
        <v>1640</v>
      </c>
      <c r="J1261" s="1310" t="s">
        <v>126</v>
      </c>
      <c r="K1261" s="1310" t="s">
        <v>1594</v>
      </c>
      <c r="L1261" s="1310" t="s">
        <v>1482</v>
      </c>
      <c r="M1261" s="1310" t="s">
        <v>1638</v>
      </c>
      <c r="N1261" s="1310" t="s">
        <v>1443</v>
      </c>
      <c r="O1261" s="1310" t="s">
        <v>1450</v>
      </c>
      <c r="P1261" s="1310" t="s">
        <v>1624</v>
      </c>
      <c r="Q1261" s="1310" t="s">
        <v>1610</v>
      </c>
      <c r="R1261" s="1310" t="s">
        <v>1510</v>
      </c>
      <c r="S1261" s="1310" t="s">
        <v>1564</v>
      </c>
      <c r="T1261" s="1310" t="s">
        <v>133</v>
      </c>
      <c r="U1261" s="1310" t="s">
        <v>1481</v>
      </c>
      <c r="V1261" s="1310" t="s">
        <v>1461</v>
      </c>
      <c r="W1261" s="1310" t="s">
        <v>1660</v>
      </c>
      <c r="X1261" s="1310" t="s">
        <v>1489</v>
      </c>
      <c r="Y1261" s="1310" t="s">
        <v>1619</v>
      </c>
      <c r="Z1261" s="1310" t="s">
        <v>1641</v>
      </c>
      <c r="AA1261" s="1310" t="s">
        <v>1451</v>
      </c>
      <c r="AB1261" s="1310" t="s">
        <v>1630</v>
      </c>
      <c r="AC1261" s="1310" t="s">
        <v>6</v>
      </c>
      <c r="AD1261" s="1310" t="s">
        <v>1523</v>
      </c>
      <c r="AE1261" s="1310" t="s">
        <v>119</v>
      </c>
      <c r="AF1261" s="1310" t="s">
        <v>1646</v>
      </c>
    </row>
    <row r="1262" spans="1:32" x14ac:dyDescent="0.3">
      <c r="A1262" s="1310" t="s">
        <v>264</v>
      </c>
      <c r="B1262" s="1310" t="s">
        <v>124</v>
      </c>
      <c r="C1262" s="1310" t="s">
        <v>1608</v>
      </c>
      <c r="D1262" s="1310" t="s">
        <v>121</v>
      </c>
      <c r="E1262" s="1310" t="s">
        <v>1601</v>
      </c>
      <c r="F1262" s="1310" t="s">
        <v>1537</v>
      </c>
      <c r="G1262" s="1310" t="s">
        <v>1508</v>
      </c>
      <c r="H1262" s="1310" t="s">
        <v>1642</v>
      </c>
      <c r="I1262" s="1310" t="s">
        <v>1527</v>
      </c>
      <c r="J1262" s="1310" t="s">
        <v>1495</v>
      </c>
      <c r="K1262" s="1310" t="s">
        <v>1478</v>
      </c>
      <c r="L1262" s="1310" t="s">
        <v>1617</v>
      </c>
      <c r="M1262" s="1310" t="s">
        <v>1629</v>
      </c>
      <c r="N1262" s="1310" t="s">
        <v>1511</v>
      </c>
      <c r="O1262" s="1310" t="s">
        <v>1525</v>
      </c>
      <c r="P1262" s="1310" t="s">
        <v>1476</v>
      </c>
      <c r="Q1262" s="1310" t="s">
        <v>1529</v>
      </c>
      <c r="R1262" s="1310" t="s">
        <v>1544</v>
      </c>
      <c r="S1262" s="1310" t="s">
        <v>119</v>
      </c>
      <c r="T1262" s="1310" t="s">
        <v>1591</v>
      </c>
      <c r="U1262" s="1310" t="s">
        <v>1640</v>
      </c>
      <c r="V1262" s="1310" t="s">
        <v>1546</v>
      </c>
      <c r="W1262" s="1310" t="s">
        <v>1030</v>
      </c>
      <c r="X1262" s="1310" t="s">
        <v>263</v>
      </c>
      <c r="Y1262" s="1310" t="s">
        <v>1485</v>
      </c>
      <c r="Z1262" s="1310" t="s">
        <v>1549</v>
      </c>
      <c r="AA1262" s="1310" t="s">
        <v>1599</v>
      </c>
      <c r="AB1262" s="1310" t="s">
        <v>1543</v>
      </c>
      <c r="AC1262" s="1310" t="s">
        <v>1602</v>
      </c>
      <c r="AD1262" s="1310" t="s">
        <v>465</v>
      </c>
      <c r="AE1262" s="1310" t="s">
        <v>1462</v>
      </c>
      <c r="AF1262" s="1310" t="s">
        <v>264</v>
      </c>
    </row>
    <row r="1263" spans="1:32" x14ac:dyDescent="0.3">
      <c r="A1263" s="1310" t="s">
        <v>126</v>
      </c>
      <c r="B1263" s="1310" t="s">
        <v>1549</v>
      </c>
      <c r="C1263" s="1310" t="s">
        <v>1599</v>
      </c>
      <c r="D1263" s="1310" t="s">
        <v>1509</v>
      </c>
      <c r="E1263" s="1310" t="s">
        <v>1558</v>
      </c>
      <c r="F1263" s="1310" t="s">
        <v>1655</v>
      </c>
      <c r="G1263" s="1310" t="s">
        <v>1497</v>
      </c>
      <c r="H1263" s="1310" t="s">
        <v>1603</v>
      </c>
      <c r="I1263" s="1310" t="s">
        <v>1533</v>
      </c>
      <c r="J1263" s="1310" t="s">
        <v>1452</v>
      </c>
      <c r="K1263" s="1310" t="s">
        <v>1584</v>
      </c>
      <c r="L1263" s="1310" t="s">
        <v>1474</v>
      </c>
      <c r="M1263" s="1310" t="s">
        <v>1487</v>
      </c>
      <c r="N1263" s="1310" t="s">
        <v>1613</v>
      </c>
      <c r="O1263" s="1310" t="s">
        <v>1517</v>
      </c>
      <c r="P1263" s="1310" t="s">
        <v>1596</v>
      </c>
      <c r="Q1263" s="1310" t="s">
        <v>1509</v>
      </c>
      <c r="R1263" s="1310" t="s">
        <v>1652</v>
      </c>
      <c r="S1263" s="1310" t="s">
        <v>1645</v>
      </c>
      <c r="T1263" s="1310" t="s">
        <v>1552</v>
      </c>
      <c r="U1263" s="1310" t="s">
        <v>111</v>
      </c>
      <c r="V1263" s="1310" t="s">
        <v>1656</v>
      </c>
      <c r="W1263" s="1310" t="s">
        <v>1468</v>
      </c>
      <c r="X1263" s="1310" t="s">
        <v>1588</v>
      </c>
      <c r="Y1263" s="1310" t="s">
        <v>465</v>
      </c>
      <c r="Z1263" s="1310" t="s">
        <v>1509</v>
      </c>
      <c r="AA1263" s="1310" t="s">
        <v>124</v>
      </c>
      <c r="AB1263" s="1310" t="s">
        <v>1645</v>
      </c>
      <c r="AC1263" s="1310" t="s">
        <v>1637</v>
      </c>
      <c r="AD1263" s="1310" t="s">
        <v>1569</v>
      </c>
      <c r="AE1263" s="1310" t="s">
        <v>1605</v>
      </c>
      <c r="AF1263" s="1310" t="s">
        <v>1541</v>
      </c>
    </row>
    <row r="1264" spans="1:32" x14ac:dyDescent="0.3">
      <c r="A1264" s="1310" t="s">
        <v>1595</v>
      </c>
      <c r="B1264" s="1310" t="s">
        <v>1516</v>
      </c>
      <c r="C1264" s="1310" t="s">
        <v>1640</v>
      </c>
      <c r="D1264" s="1310" t="s">
        <v>1650</v>
      </c>
      <c r="E1264" s="1310" t="s">
        <v>1629</v>
      </c>
      <c r="F1264" s="1310" t="s">
        <v>1541</v>
      </c>
      <c r="G1264" s="1310" t="s">
        <v>1657</v>
      </c>
      <c r="H1264" s="1310" t="s">
        <v>1578</v>
      </c>
      <c r="I1264" s="1310" t="s">
        <v>124</v>
      </c>
      <c r="J1264" s="1310" t="s">
        <v>126</v>
      </c>
      <c r="K1264" s="1310" t="s">
        <v>465</v>
      </c>
      <c r="L1264" s="1310" t="s">
        <v>1459</v>
      </c>
      <c r="M1264" s="1310" t="s">
        <v>1541</v>
      </c>
      <c r="N1264" s="1310" t="s">
        <v>1596</v>
      </c>
      <c r="O1264" s="1310" t="s">
        <v>1580</v>
      </c>
      <c r="P1264" s="1310" t="s">
        <v>117</v>
      </c>
      <c r="Q1264" s="1310" t="s">
        <v>1461</v>
      </c>
      <c r="R1264" s="1310" t="s">
        <v>1591</v>
      </c>
      <c r="S1264" s="1310" t="s">
        <v>113</v>
      </c>
      <c r="T1264" s="1310" t="s">
        <v>1461</v>
      </c>
      <c r="U1264" s="1310" t="s">
        <v>1623</v>
      </c>
      <c r="V1264" s="1310" t="s">
        <v>1525</v>
      </c>
      <c r="W1264" s="1310" t="s">
        <v>1499</v>
      </c>
      <c r="X1264" s="1310" t="s">
        <v>1486</v>
      </c>
      <c r="Y1264" s="1310" t="s">
        <v>1457</v>
      </c>
      <c r="Z1264" s="1310" t="s">
        <v>1492</v>
      </c>
      <c r="AA1264" s="1310" t="s">
        <v>1513</v>
      </c>
      <c r="AB1264" s="1310" t="s">
        <v>114</v>
      </c>
      <c r="AC1264" s="1310" t="s">
        <v>1610</v>
      </c>
      <c r="AD1264" s="1310" t="s">
        <v>1489</v>
      </c>
      <c r="AE1264" s="1310" t="s">
        <v>1556</v>
      </c>
      <c r="AF1264" s="1310" t="s">
        <v>471</v>
      </c>
    </row>
    <row r="1265" spans="1:32" x14ac:dyDescent="0.3">
      <c r="A1265" s="1310" t="s">
        <v>122</v>
      </c>
      <c r="B1265" s="1310" t="s">
        <v>1623</v>
      </c>
      <c r="C1265" s="1310" t="s">
        <v>1597</v>
      </c>
      <c r="D1265" s="1310" t="s">
        <v>1650</v>
      </c>
      <c r="E1265" s="1310" t="s">
        <v>1596</v>
      </c>
      <c r="F1265" s="1310" t="s">
        <v>1576</v>
      </c>
      <c r="G1265" s="1310" t="s">
        <v>1589</v>
      </c>
      <c r="H1265" s="1310" t="s">
        <v>1627</v>
      </c>
      <c r="I1265" s="1310" t="s">
        <v>1567</v>
      </c>
      <c r="J1265" s="1310" t="s">
        <v>1615</v>
      </c>
      <c r="K1265" s="1310" t="s">
        <v>1575</v>
      </c>
      <c r="L1265" s="1310" t="s">
        <v>1475</v>
      </c>
      <c r="M1265" s="1310" t="s">
        <v>1608</v>
      </c>
      <c r="N1265" s="1310" t="s">
        <v>1642</v>
      </c>
      <c r="O1265" s="1310" t="s">
        <v>132</v>
      </c>
      <c r="P1265" s="1310" t="s">
        <v>1516</v>
      </c>
      <c r="Q1265" s="1310" t="s">
        <v>1580</v>
      </c>
      <c r="R1265" s="1310" t="s">
        <v>1488</v>
      </c>
      <c r="S1265" s="1310" t="s">
        <v>1520</v>
      </c>
      <c r="T1265" s="1310" t="s">
        <v>1595</v>
      </c>
      <c r="U1265" s="1310" t="s">
        <v>1626</v>
      </c>
      <c r="V1265" s="1310" t="s">
        <v>1572</v>
      </c>
      <c r="W1265" s="1310" t="s">
        <v>1603</v>
      </c>
      <c r="X1265" s="1310" t="s">
        <v>1617</v>
      </c>
      <c r="Y1265" s="1310" t="s">
        <v>1576</v>
      </c>
      <c r="Z1265" s="1310" t="s">
        <v>125</v>
      </c>
      <c r="AA1265" s="1310" t="s">
        <v>1548</v>
      </c>
      <c r="AB1265" s="1310" t="s">
        <v>1624</v>
      </c>
      <c r="AC1265" s="1310" t="s">
        <v>1473</v>
      </c>
      <c r="AD1265" s="1310" t="s">
        <v>1599</v>
      </c>
      <c r="AE1265" s="1310" t="s">
        <v>1549</v>
      </c>
      <c r="AF1265" s="1310" t="s">
        <v>1590</v>
      </c>
    </row>
    <row r="1266" spans="1:32" x14ac:dyDescent="0.3">
      <c r="A1266" s="1310" t="s">
        <v>1617</v>
      </c>
      <c r="B1266" s="1310" t="s">
        <v>1597</v>
      </c>
      <c r="C1266" s="1310" t="s">
        <v>1607</v>
      </c>
      <c r="D1266" s="1310" t="s">
        <v>1475</v>
      </c>
      <c r="E1266" s="1310" t="s">
        <v>1460</v>
      </c>
      <c r="F1266" s="1310" t="s">
        <v>263</v>
      </c>
      <c r="G1266" s="1310" t="s">
        <v>1449</v>
      </c>
      <c r="H1266" s="1310" t="s">
        <v>1491</v>
      </c>
      <c r="I1266" s="1310" t="s">
        <v>1449</v>
      </c>
      <c r="J1266" s="1310" t="s">
        <v>1654</v>
      </c>
      <c r="K1266" s="1310" t="s">
        <v>1461</v>
      </c>
      <c r="L1266" s="1310" t="s">
        <v>1659</v>
      </c>
      <c r="M1266" s="1310" t="s">
        <v>1451</v>
      </c>
      <c r="N1266" s="1310" t="s">
        <v>1461</v>
      </c>
      <c r="O1266" s="1310" t="s">
        <v>1650</v>
      </c>
      <c r="P1266" s="1310" t="s">
        <v>1549</v>
      </c>
      <c r="Q1266" s="1310" t="s">
        <v>1467</v>
      </c>
      <c r="R1266" s="1310" t="s">
        <v>1461</v>
      </c>
      <c r="S1266" s="1310" t="s">
        <v>1652</v>
      </c>
      <c r="T1266" s="1310" t="s">
        <v>1540</v>
      </c>
      <c r="U1266" s="1310" t="s">
        <v>1494</v>
      </c>
      <c r="V1266" s="1310" t="s">
        <v>1521</v>
      </c>
      <c r="W1266" s="1310" t="s">
        <v>126</v>
      </c>
      <c r="X1266" s="1310" t="s">
        <v>1558</v>
      </c>
      <c r="Y1266" s="1310" t="s">
        <v>1526</v>
      </c>
      <c r="Z1266" s="1310" t="s">
        <v>1547</v>
      </c>
      <c r="AA1266" s="1310" t="s">
        <v>1567</v>
      </c>
      <c r="AB1266" s="1310" t="s">
        <v>1485</v>
      </c>
      <c r="AC1266" s="1310" t="s">
        <v>1522</v>
      </c>
      <c r="AD1266" s="1310" t="s">
        <v>1472</v>
      </c>
      <c r="AE1266" s="1310" t="s">
        <v>1030</v>
      </c>
      <c r="AF1266" s="1310" t="s">
        <v>1539</v>
      </c>
    </row>
    <row r="1267" spans="1:32" x14ac:dyDescent="0.3">
      <c r="A1267" s="1310" t="s">
        <v>1444</v>
      </c>
      <c r="B1267" s="1310" t="s">
        <v>1479</v>
      </c>
      <c r="C1267" s="1310" t="s">
        <v>1562</v>
      </c>
      <c r="D1267" s="1310" t="s">
        <v>122</v>
      </c>
      <c r="E1267" s="1310" t="s">
        <v>1473</v>
      </c>
      <c r="F1267" s="1310" t="s">
        <v>1578</v>
      </c>
      <c r="G1267" s="1310" t="s">
        <v>1501</v>
      </c>
      <c r="H1267" s="1310" t="s">
        <v>1457</v>
      </c>
      <c r="I1267" s="1310" t="s">
        <v>1522</v>
      </c>
      <c r="J1267" s="1310" t="s">
        <v>1596</v>
      </c>
      <c r="K1267" s="1310" t="s">
        <v>130</v>
      </c>
      <c r="L1267" s="1310" t="s">
        <v>1564</v>
      </c>
      <c r="M1267" s="1310" t="s">
        <v>1472</v>
      </c>
      <c r="N1267" s="1310" t="s">
        <v>1566</v>
      </c>
      <c r="O1267" s="1310" t="s">
        <v>122</v>
      </c>
      <c r="P1267" s="1310" t="s">
        <v>1586</v>
      </c>
      <c r="Q1267" s="1310" t="s">
        <v>1536</v>
      </c>
      <c r="R1267" s="1310" t="s">
        <v>1557</v>
      </c>
      <c r="S1267" s="1310" t="s">
        <v>1549</v>
      </c>
      <c r="T1267" s="1310" t="s">
        <v>1614</v>
      </c>
      <c r="U1267" s="1310" t="s">
        <v>1552</v>
      </c>
      <c r="V1267" s="1310" t="s">
        <v>1495</v>
      </c>
      <c r="W1267" s="1310" t="s">
        <v>1657</v>
      </c>
      <c r="X1267" s="1310" t="s">
        <v>130</v>
      </c>
      <c r="Y1267" s="1310" t="s">
        <v>1564</v>
      </c>
      <c r="Z1267" s="1310" t="s">
        <v>1653</v>
      </c>
      <c r="AA1267" s="1310" t="s">
        <v>1557</v>
      </c>
      <c r="AB1267" s="1310" t="s">
        <v>121</v>
      </c>
      <c r="AC1267" s="1310" t="s">
        <v>1574</v>
      </c>
      <c r="AD1267" s="1310" t="s">
        <v>122</v>
      </c>
      <c r="AE1267" s="1310" t="s">
        <v>1646</v>
      </c>
      <c r="AF1267" s="1310" t="s">
        <v>1456</v>
      </c>
    </row>
    <row r="1268" spans="1:32" x14ac:dyDescent="0.3">
      <c r="A1268" s="1310" t="s">
        <v>1655</v>
      </c>
      <c r="B1268" s="1310" t="s">
        <v>1560</v>
      </c>
      <c r="C1268" s="1310" t="s">
        <v>1571</v>
      </c>
      <c r="D1268" s="1310" t="s">
        <v>1517</v>
      </c>
      <c r="E1268" s="1310" t="s">
        <v>1533</v>
      </c>
      <c r="F1268" s="1310" t="s">
        <v>1479</v>
      </c>
      <c r="G1268" s="1310" t="s">
        <v>1581</v>
      </c>
      <c r="H1268" s="1310" t="s">
        <v>1623</v>
      </c>
      <c r="I1268" s="1310" t="s">
        <v>1512</v>
      </c>
      <c r="J1268" s="1310" t="s">
        <v>1464</v>
      </c>
      <c r="K1268" s="1310" t="s">
        <v>1660</v>
      </c>
      <c r="L1268" s="1310" t="s">
        <v>1609</v>
      </c>
      <c r="M1268" s="1310" t="s">
        <v>1536</v>
      </c>
      <c r="N1268" s="1310" t="s">
        <v>1572</v>
      </c>
      <c r="O1268" s="1310" t="s">
        <v>118</v>
      </c>
      <c r="P1268" s="1310" t="s">
        <v>1470</v>
      </c>
      <c r="Q1268" s="1310" t="s">
        <v>1499</v>
      </c>
      <c r="R1268" s="1310" t="s">
        <v>1449</v>
      </c>
      <c r="S1268" s="1310" t="s">
        <v>1443</v>
      </c>
      <c r="T1268" s="1310" t="s">
        <v>1450</v>
      </c>
      <c r="U1268" s="1310" t="s">
        <v>1504</v>
      </c>
      <c r="V1268" s="1310" t="s">
        <v>1529</v>
      </c>
      <c r="W1268" s="1310" t="s">
        <v>1630</v>
      </c>
      <c r="X1268" s="1310" t="s">
        <v>1647</v>
      </c>
      <c r="Y1268" s="1310" t="s">
        <v>1576</v>
      </c>
      <c r="Z1268" s="1310" t="s">
        <v>1628</v>
      </c>
      <c r="AA1268" s="1310" t="s">
        <v>1490</v>
      </c>
      <c r="AB1268" s="1310" t="s">
        <v>1492</v>
      </c>
      <c r="AC1268" s="1310" t="s">
        <v>1461</v>
      </c>
      <c r="AD1268" s="1310" t="s">
        <v>1620</v>
      </c>
      <c r="AE1268" s="1310" t="s">
        <v>1561</v>
      </c>
      <c r="AF1268" s="1310" t="s">
        <v>1030</v>
      </c>
    </row>
    <row r="1269" spans="1:32" x14ac:dyDescent="0.3">
      <c r="A1269" s="1310" t="s">
        <v>1613</v>
      </c>
      <c r="B1269" s="1310" t="s">
        <v>1594</v>
      </c>
      <c r="C1269" s="1310" t="s">
        <v>1630</v>
      </c>
      <c r="D1269" s="1310" t="s">
        <v>1543</v>
      </c>
      <c r="E1269" s="1310" t="s">
        <v>1482</v>
      </c>
      <c r="F1269" s="1310" t="s">
        <v>1650</v>
      </c>
      <c r="G1269" s="1310" t="s">
        <v>270</v>
      </c>
      <c r="H1269" s="1310" t="s">
        <v>1614</v>
      </c>
      <c r="I1269" s="1310" t="s">
        <v>1638</v>
      </c>
      <c r="J1269" s="1310" t="s">
        <v>1504</v>
      </c>
      <c r="K1269" s="1310" t="s">
        <v>1622</v>
      </c>
      <c r="L1269" s="1310" t="s">
        <v>1465</v>
      </c>
      <c r="M1269" s="1310" t="s">
        <v>1555</v>
      </c>
      <c r="N1269" s="1310" t="s">
        <v>1491</v>
      </c>
      <c r="O1269" s="1310" t="s">
        <v>1479</v>
      </c>
      <c r="P1269" s="1310" t="s">
        <v>1585</v>
      </c>
      <c r="Q1269" s="1310" t="s">
        <v>132</v>
      </c>
      <c r="R1269" s="1310" t="s">
        <v>1526</v>
      </c>
      <c r="S1269" s="1310" t="s">
        <v>1565</v>
      </c>
      <c r="T1269" s="1310" t="s">
        <v>132</v>
      </c>
      <c r="U1269" s="1310" t="s">
        <v>1568</v>
      </c>
      <c r="V1269" s="1310" t="s">
        <v>1660</v>
      </c>
      <c r="W1269" s="1310" t="s">
        <v>1460</v>
      </c>
      <c r="X1269" s="1310" t="s">
        <v>1502</v>
      </c>
      <c r="Y1269" s="1310" t="s">
        <v>1461</v>
      </c>
      <c r="Z1269" s="1310" t="s">
        <v>1027</v>
      </c>
      <c r="AA1269" s="1310" t="s">
        <v>1523</v>
      </c>
      <c r="AB1269" s="1310" t="s">
        <v>1498</v>
      </c>
      <c r="AC1269" s="1310" t="s">
        <v>1547</v>
      </c>
      <c r="AD1269" s="1310" t="s">
        <v>1526</v>
      </c>
      <c r="AE1269" s="1310" t="s">
        <v>1595</v>
      </c>
      <c r="AF1269" s="1310" t="s">
        <v>1514</v>
      </c>
    </row>
    <row r="1270" spans="1:32" x14ac:dyDescent="0.3">
      <c r="A1270" s="1310" t="s">
        <v>1475</v>
      </c>
      <c r="B1270" s="1310" t="s">
        <v>1475</v>
      </c>
      <c r="C1270" s="1310" t="s">
        <v>1520</v>
      </c>
      <c r="D1270" s="1310" t="s">
        <v>1524</v>
      </c>
      <c r="E1270" s="1310" t="s">
        <v>269</v>
      </c>
      <c r="F1270" s="1310" t="s">
        <v>1618</v>
      </c>
      <c r="G1270" s="1310" t="s">
        <v>1471</v>
      </c>
      <c r="H1270" s="1310" t="s">
        <v>1543</v>
      </c>
      <c r="I1270" s="1310" t="s">
        <v>1473</v>
      </c>
      <c r="J1270" s="1310" t="s">
        <v>1522</v>
      </c>
      <c r="K1270" s="1310" t="s">
        <v>1624</v>
      </c>
      <c r="L1270" s="1310" t="s">
        <v>1565</v>
      </c>
      <c r="M1270" s="1310" t="s">
        <v>1486</v>
      </c>
      <c r="N1270" s="1310" t="s">
        <v>1455</v>
      </c>
      <c r="O1270" s="1310" t="s">
        <v>1513</v>
      </c>
      <c r="P1270" s="1310" t="s">
        <v>1464</v>
      </c>
      <c r="Q1270" s="1310" t="s">
        <v>1522</v>
      </c>
      <c r="R1270" s="1310" t="s">
        <v>1622</v>
      </c>
      <c r="S1270" s="1310" t="s">
        <v>1570</v>
      </c>
      <c r="T1270" s="1310" t="s">
        <v>131</v>
      </c>
      <c r="U1270" s="1310" t="s">
        <v>133</v>
      </c>
      <c r="V1270" s="1310" t="s">
        <v>1579</v>
      </c>
      <c r="W1270" s="1310" t="s">
        <v>1543</v>
      </c>
      <c r="X1270" s="1310" t="s">
        <v>1644</v>
      </c>
      <c r="Y1270" s="1310" t="s">
        <v>1488</v>
      </c>
      <c r="Z1270" s="1310" t="s">
        <v>1524</v>
      </c>
      <c r="AA1270" s="1310" t="s">
        <v>268</v>
      </c>
      <c r="AB1270" s="1310" t="s">
        <v>1451</v>
      </c>
      <c r="AC1270" s="1310" t="s">
        <v>1493</v>
      </c>
      <c r="AD1270" s="1310" t="s">
        <v>1541</v>
      </c>
      <c r="AE1270" s="1310" t="s">
        <v>1557</v>
      </c>
      <c r="AF1270" s="1310" t="s">
        <v>1548</v>
      </c>
    </row>
    <row r="1271" spans="1:32" x14ac:dyDescent="0.3">
      <c r="A1271" s="1310" t="s">
        <v>1516</v>
      </c>
      <c r="B1271" s="1310" t="s">
        <v>1594</v>
      </c>
      <c r="C1271" s="1310" t="s">
        <v>262</v>
      </c>
      <c r="D1271" s="1310" t="s">
        <v>1466</v>
      </c>
      <c r="E1271" s="1310" t="s">
        <v>1583</v>
      </c>
      <c r="F1271" s="1310" t="s">
        <v>1554</v>
      </c>
      <c r="G1271" s="1310" t="s">
        <v>1472</v>
      </c>
      <c r="H1271" s="1310" t="s">
        <v>1030</v>
      </c>
      <c r="I1271" s="1310" t="s">
        <v>1562</v>
      </c>
      <c r="J1271" s="1310" t="s">
        <v>1565</v>
      </c>
      <c r="K1271" s="1310" t="s">
        <v>1466</v>
      </c>
      <c r="L1271" s="1310" t="s">
        <v>1541</v>
      </c>
      <c r="M1271" s="1310" t="s">
        <v>1555</v>
      </c>
      <c r="N1271" s="1310" t="s">
        <v>1576</v>
      </c>
      <c r="O1271" s="1310" t="s">
        <v>1470</v>
      </c>
      <c r="P1271" s="1310" t="s">
        <v>1620</v>
      </c>
      <c r="Q1271" s="1310" t="s">
        <v>1540</v>
      </c>
      <c r="R1271" s="1310" t="s">
        <v>113</v>
      </c>
      <c r="S1271" s="1310" t="s">
        <v>1621</v>
      </c>
      <c r="T1271" s="1310" t="s">
        <v>6</v>
      </c>
      <c r="U1271" s="1310" t="s">
        <v>1617</v>
      </c>
      <c r="V1271" s="1310" t="s">
        <v>1592</v>
      </c>
      <c r="W1271" s="1310" t="s">
        <v>1527</v>
      </c>
      <c r="X1271" s="1310" t="s">
        <v>1459</v>
      </c>
      <c r="Y1271" s="1310" t="s">
        <v>1551</v>
      </c>
      <c r="Z1271" s="1310" t="s">
        <v>1572</v>
      </c>
      <c r="AA1271" s="1310" t="s">
        <v>1644</v>
      </c>
      <c r="AB1271" s="1310" t="s">
        <v>1528</v>
      </c>
      <c r="AC1271" s="1310" t="s">
        <v>122</v>
      </c>
      <c r="AD1271" s="1310" t="s">
        <v>1501</v>
      </c>
      <c r="AE1271" s="1310" t="s">
        <v>130</v>
      </c>
      <c r="AF1271" s="1310" t="s">
        <v>1614</v>
      </c>
    </row>
    <row r="1272" spans="1:32" x14ac:dyDescent="0.3">
      <c r="A1272" s="1310" t="s">
        <v>1587</v>
      </c>
      <c r="B1272" s="1310" t="s">
        <v>1570</v>
      </c>
      <c r="C1272" s="1310" t="s">
        <v>1604</v>
      </c>
      <c r="D1272" s="1310" t="s">
        <v>1480</v>
      </c>
      <c r="E1272" s="1310" t="s">
        <v>123</v>
      </c>
      <c r="F1272" s="1310" t="s">
        <v>1600</v>
      </c>
      <c r="G1272" s="1310" t="s">
        <v>1509</v>
      </c>
      <c r="H1272" s="1310" t="s">
        <v>1623</v>
      </c>
      <c r="I1272" s="1310" t="s">
        <v>1637</v>
      </c>
      <c r="J1272" s="1310" t="s">
        <v>1622</v>
      </c>
      <c r="K1272" s="1310" t="s">
        <v>1509</v>
      </c>
      <c r="L1272" s="1310" t="s">
        <v>128</v>
      </c>
      <c r="M1272" s="1310" t="s">
        <v>1657</v>
      </c>
      <c r="N1272" s="1310" t="s">
        <v>1456</v>
      </c>
      <c r="O1272" s="1310" t="s">
        <v>1590</v>
      </c>
      <c r="P1272" s="1310" t="s">
        <v>1526</v>
      </c>
      <c r="Q1272" s="1310" t="s">
        <v>1647</v>
      </c>
      <c r="R1272" s="1310" t="s">
        <v>1633</v>
      </c>
      <c r="S1272" s="1310" t="s">
        <v>1647</v>
      </c>
      <c r="T1272" s="1310" t="s">
        <v>1474</v>
      </c>
      <c r="U1272" s="1310" t="s">
        <v>1549</v>
      </c>
      <c r="V1272" s="1310" t="s">
        <v>1455</v>
      </c>
      <c r="W1272" s="1310" t="s">
        <v>1577</v>
      </c>
      <c r="X1272" s="1310" t="s">
        <v>1556</v>
      </c>
      <c r="Y1272" s="1310" t="s">
        <v>1604</v>
      </c>
      <c r="Z1272" s="1310" t="s">
        <v>1551</v>
      </c>
      <c r="AA1272" s="1310" t="s">
        <v>1645</v>
      </c>
      <c r="AB1272" s="1310" t="s">
        <v>122</v>
      </c>
      <c r="AC1272" s="1310" t="s">
        <v>1556</v>
      </c>
      <c r="AD1272" s="1310" t="s">
        <v>1563</v>
      </c>
      <c r="AE1272" s="1310" t="s">
        <v>1624</v>
      </c>
      <c r="AF1272" s="1310" t="s">
        <v>133</v>
      </c>
    </row>
    <row r="1273" spans="1:32" x14ac:dyDescent="0.3">
      <c r="A1273" s="1310" t="s">
        <v>127</v>
      </c>
      <c r="B1273" s="1310" t="s">
        <v>1463</v>
      </c>
      <c r="C1273" s="1310" t="s">
        <v>1618</v>
      </c>
      <c r="D1273" s="1310" t="s">
        <v>1584</v>
      </c>
      <c r="E1273" s="1310" t="s">
        <v>1585</v>
      </c>
      <c r="F1273" s="1310" t="s">
        <v>1548</v>
      </c>
      <c r="G1273" s="1310" t="s">
        <v>1596</v>
      </c>
      <c r="H1273" s="1310" t="s">
        <v>1569</v>
      </c>
      <c r="I1273" s="1310" t="s">
        <v>1522</v>
      </c>
      <c r="J1273" s="1310" t="s">
        <v>1606</v>
      </c>
      <c r="K1273" s="1310" t="s">
        <v>1451</v>
      </c>
      <c r="L1273" s="1310" t="s">
        <v>1493</v>
      </c>
      <c r="M1273" s="1310" t="s">
        <v>1653</v>
      </c>
      <c r="N1273" s="1310" t="s">
        <v>1456</v>
      </c>
      <c r="O1273" s="1310" t="s">
        <v>1524</v>
      </c>
      <c r="P1273" s="1310" t="s">
        <v>131</v>
      </c>
      <c r="Q1273" s="1310" t="s">
        <v>1607</v>
      </c>
      <c r="R1273" s="1310" t="s">
        <v>1496</v>
      </c>
      <c r="S1273" s="1310" t="s">
        <v>1615</v>
      </c>
      <c r="T1273" s="1310" t="s">
        <v>267</v>
      </c>
      <c r="U1273" s="1310" t="s">
        <v>118</v>
      </c>
      <c r="V1273" s="1310" t="s">
        <v>1480</v>
      </c>
      <c r="W1273" s="1310" t="s">
        <v>1521</v>
      </c>
      <c r="X1273" s="1310" t="s">
        <v>1474</v>
      </c>
      <c r="Y1273" s="1310" t="s">
        <v>1521</v>
      </c>
      <c r="Z1273" s="1310" t="s">
        <v>1460</v>
      </c>
      <c r="AA1273" s="1310" t="s">
        <v>1531</v>
      </c>
      <c r="AB1273" s="1310" t="s">
        <v>1617</v>
      </c>
      <c r="AC1273" s="1310" t="s">
        <v>1659</v>
      </c>
      <c r="AD1273" s="1310" t="s">
        <v>1607</v>
      </c>
      <c r="AE1273" s="1310" t="s">
        <v>1493</v>
      </c>
      <c r="AF1273" s="1310" t="s">
        <v>1605</v>
      </c>
    </row>
    <row r="1274" spans="1:32" x14ac:dyDescent="0.3">
      <c r="A1274" s="1310" t="s">
        <v>1484</v>
      </c>
      <c r="B1274" s="1310" t="s">
        <v>1464</v>
      </c>
      <c r="C1274" s="1310" t="s">
        <v>1567</v>
      </c>
      <c r="D1274" s="1310" t="s">
        <v>127</v>
      </c>
      <c r="E1274" s="1310" t="s">
        <v>1608</v>
      </c>
      <c r="F1274" s="1310" t="s">
        <v>1569</v>
      </c>
      <c r="G1274" s="1310" t="s">
        <v>124</v>
      </c>
      <c r="H1274" s="1310" t="s">
        <v>1562</v>
      </c>
      <c r="I1274" s="1310" t="s">
        <v>1647</v>
      </c>
      <c r="J1274" s="1310" t="s">
        <v>1502</v>
      </c>
      <c r="K1274" s="1310" t="s">
        <v>1527</v>
      </c>
      <c r="L1274" s="1310" t="s">
        <v>1522</v>
      </c>
      <c r="M1274" s="1310" t="s">
        <v>1506</v>
      </c>
      <c r="N1274" s="1310" t="s">
        <v>1531</v>
      </c>
      <c r="O1274" s="1310" t="s">
        <v>1443</v>
      </c>
      <c r="P1274" s="1310" t="s">
        <v>1450</v>
      </c>
      <c r="Q1274" s="1310" t="s">
        <v>1652</v>
      </c>
      <c r="R1274" s="1310" t="s">
        <v>1453</v>
      </c>
      <c r="S1274" s="1310" t="s">
        <v>1549</v>
      </c>
      <c r="T1274" s="1310" t="s">
        <v>270</v>
      </c>
      <c r="U1274" s="1310" t="s">
        <v>1473</v>
      </c>
      <c r="V1274" s="1310" t="s">
        <v>1506</v>
      </c>
      <c r="W1274" s="1310" t="s">
        <v>1554</v>
      </c>
      <c r="X1274" s="1310" t="s">
        <v>1570</v>
      </c>
      <c r="Y1274" s="1310" t="s">
        <v>270</v>
      </c>
      <c r="Z1274" s="1310" t="s">
        <v>1521</v>
      </c>
      <c r="AA1274" s="1310" t="s">
        <v>1473</v>
      </c>
      <c r="AB1274" s="1310" t="s">
        <v>1577</v>
      </c>
      <c r="AC1274" s="1310" t="s">
        <v>1547</v>
      </c>
      <c r="AD1274" s="1310" t="s">
        <v>1490</v>
      </c>
      <c r="AE1274" s="1310" t="s">
        <v>1543</v>
      </c>
      <c r="AF1274" s="1310" t="s">
        <v>1460</v>
      </c>
    </row>
    <row r="1275" spans="1:32" x14ac:dyDescent="0.3">
      <c r="A1275" s="1310" t="s">
        <v>1636</v>
      </c>
      <c r="B1275" s="1310" t="s">
        <v>1658</v>
      </c>
      <c r="C1275" s="1310" t="s">
        <v>1484</v>
      </c>
      <c r="D1275" s="1310" t="s">
        <v>1473</v>
      </c>
      <c r="E1275" s="1310" t="s">
        <v>1531</v>
      </c>
      <c r="F1275" s="1310" t="s">
        <v>1507</v>
      </c>
      <c r="G1275" s="1310" t="s">
        <v>1632</v>
      </c>
      <c r="H1275" s="1310" t="s">
        <v>1631</v>
      </c>
      <c r="I1275" s="1310" t="s">
        <v>267</v>
      </c>
      <c r="J1275" s="1310" t="s">
        <v>1568</v>
      </c>
      <c r="K1275" s="1310" t="s">
        <v>1561</v>
      </c>
      <c r="L1275" s="1310" t="s">
        <v>1641</v>
      </c>
      <c r="M1275" s="1310" t="s">
        <v>116</v>
      </c>
      <c r="N1275" s="1310" t="s">
        <v>1446</v>
      </c>
      <c r="O1275" s="1310" t="s">
        <v>1560</v>
      </c>
      <c r="P1275" s="1310" t="s">
        <v>117</v>
      </c>
      <c r="Q1275" s="1310" t="s">
        <v>1030</v>
      </c>
      <c r="R1275" s="1310" t="s">
        <v>1487</v>
      </c>
      <c r="S1275" s="1310" t="s">
        <v>1579</v>
      </c>
      <c r="T1275" s="1310" t="s">
        <v>1465</v>
      </c>
      <c r="U1275" s="1310" t="s">
        <v>1457</v>
      </c>
      <c r="V1275" s="1310" t="s">
        <v>1577</v>
      </c>
      <c r="W1275" s="1310" t="s">
        <v>1536</v>
      </c>
      <c r="X1275" s="1310" t="s">
        <v>1443</v>
      </c>
      <c r="Y1275" s="1310" t="s">
        <v>1450</v>
      </c>
      <c r="Z1275" s="1310" t="s">
        <v>1588</v>
      </c>
      <c r="AA1275" s="1310" t="s">
        <v>114</v>
      </c>
      <c r="AB1275" s="1310" t="s">
        <v>1589</v>
      </c>
      <c r="AC1275" s="1310" t="s">
        <v>1561</v>
      </c>
      <c r="AD1275" s="1310" t="s">
        <v>1509</v>
      </c>
      <c r="AE1275" s="1310" t="s">
        <v>1632</v>
      </c>
      <c r="AF1275" s="1310" t="s">
        <v>1660</v>
      </c>
    </row>
    <row r="1276" spans="1:32" x14ac:dyDescent="0.3">
      <c r="A1276" s="1310" t="s">
        <v>1527</v>
      </c>
      <c r="B1276" s="1310" t="s">
        <v>1526</v>
      </c>
      <c r="C1276" s="1310" t="s">
        <v>1523</v>
      </c>
      <c r="D1276" s="1310" t="s">
        <v>1618</v>
      </c>
      <c r="E1276" s="1310" t="s">
        <v>1563</v>
      </c>
      <c r="F1276" s="1310" t="s">
        <v>1625</v>
      </c>
      <c r="G1276" s="1310" t="s">
        <v>1527</v>
      </c>
      <c r="H1276" s="1310" t="s">
        <v>1549</v>
      </c>
      <c r="I1276" s="1310" t="s">
        <v>1515</v>
      </c>
      <c r="J1276" s="1310" t="s">
        <v>1027</v>
      </c>
      <c r="K1276" s="1310" t="s">
        <v>1523</v>
      </c>
      <c r="L1276" s="1310" t="s">
        <v>1653</v>
      </c>
      <c r="M1276" s="1310" t="s">
        <v>1462</v>
      </c>
      <c r="N1276" s="1310" t="s">
        <v>1632</v>
      </c>
      <c r="O1276" s="1310" t="s">
        <v>121</v>
      </c>
      <c r="P1276" s="1310" t="s">
        <v>1637</v>
      </c>
      <c r="Q1276" s="1310" t="s">
        <v>1462</v>
      </c>
      <c r="R1276" s="1310" t="s">
        <v>1632</v>
      </c>
      <c r="S1276" s="1310" t="s">
        <v>1529</v>
      </c>
      <c r="T1276" s="1310" t="s">
        <v>1549</v>
      </c>
      <c r="U1276" s="1310" t="s">
        <v>1452</v>
      </c>
      <c r="V1276" s="1310" t="s">
        <v>1660</v>
      </c>
      <c r="W1276" s="1310" t="s">
        <v>1460</v>
      </c>
      <c r="X1276" s="1310" t="s">
        <v>1515</v>
      </c>
      <c r="Y1276" s="1310" t="s">
        <v>1498</v>
      </c>
      <c r="Z1276" s="1310" t="s">
        <v>1642</v>
      </c>
      <c r="AA1276" s="1310" t="s">
        <v>112</v>
      </c>
      <c r="AB1276" s="1310" t="s">
        <v>116</v>
      </c>
      <c r="AC1276" s="1310" t="s">
        <v>1481</v>
      </c>
      <c r="AD1276" s="1310" t="s">
        <v>121</v>
      </c>
      <c r="AE1276" s="1310" t="s">
        <v>1612</v>
      </c>
      <c r="AF1276" s="1310" t="s">
        <v>465</v>
      </c>
    </row>
    <row r="1277" spans="1:32" x14ac:dyDescent="0.3">
      <c r="A1277" s="1310" t="s">
        <v>1570</v>
      </c>
      <c r="B1277" s="1310" t="s">
        <v>1645</v>
      </c>
      <c r="C1277" s="1310" t="s">
        <v>1490</v>
      </c>
      <c r="D1277" s="1310" t="s">
        <v>1443</v>
      </c>
      <c r="E1277" s="1310" t="s">
        <v>1450</v>
      </c>
      <c r="F1277" s="1310" t="s">
        <v>1601</v>
      </c>
      <c r="G1277" s="1310" t="s">
        <v>1493</v>
      </c>
      <c r="H1277" s="1310" t="s">
        <v>1636</v>
      </c>
      <c r="I1277" s="1310" t="s">
        <v>1624</v>
      </c>
      <c r="J1277" s="1310" t="s">
        <v>1596</v>
      </c>
      <c r="K1277" s="1310" t="s">
        <v>1443</v>
      </c>
      <c r="L1277" s="1310" t="s">
        <v>1450</v>
      </c>
      <c r="M1277" s="1310" t="s">
        <v>1606</v>
      </c>
      <c r="N1277" s="1310" t="s">
        <v>1608</v>
      </c>
      <c r="O1277" s="1310" t="s">
        <v>1480</v>
      </c>
      <c r="P1277" s="1310" t="s">
        <v>1468</v>
      </c>
      <c r="Q1277" s="1310" t="s">
        <v>1650</v>
      </c>
      <c r="R1277" s="1310" t="s">
        <v>124</v>
      </c>
      <c r="S1277" s="1310" t="s">
        <v>1468</v>
      </c>
      <c r="T1277" s="1310" t="s">
        <v>1604</v>
      </c>
      <c r="U1277" s="1310" t="s">
        <v>1448</v>
      </c>
      <c r="V1277" s="1310" t="s">
        <v>1591</v>
      </c>
      <c r="W1277" s="1310" t="s">
        <v>1505</v>
      </c>
      <c r="X1277" s="1310" t="s">
        <v>1633</v>
      </c>
      <c r="Y1277" s="1310" t="s">
        <v>1611</v>
      </c>
      <c r="Z1277" s="1310" t="s">
        <v>1655</v>
      </c>
      <c r="AA1277" s="1310" t="s">
        <v>1454</v>
      </c>
      <c r="AB1277" s="1310" t="s">
        <v>1513</v>
      </c>
      <c r="AC1277" s="1310" t="s">
        <v>1534</v>
      </c>
      <c r="AD1277" s="1310" t="s">
        <v>1471</v>
      </c>
      <c r="AE1277" s="1310" t="s">
        <v>1572</v>
      </c>
      <c r="AF1277" s="1310" t="s">
        <v>1538</v>
      </c>
    </row>
    <row r="1278" spans="1:32" x14ac:dyDescent="0.3">
      <c r="A1278" s="1310" t="s">
        <v>1502</v>
      </c>
      <c r="B1278" s="1310" t="s">
        <v>1633</v>
      </c>
      <c r="C1278" s="1310" t="s">
        <v>1558</v>
      </c>
      <c r="D1278" s="1310" t="s">
        <v>1632</v>
      </c>
      <c r="E1278" s="1310" t="s">
        <v>1560</v>
      </c>
      <c r="F1278" s="1310" t="s">
        <v>1622</v>
      </c>
      <c r="G1278" s="1310" t="s">
        <v>1595</v>
      </c>
      <c r="H1278" s="1310" t="s">
        <v>1463</v>
      </c>
      <c r="I1278" s="1310" t="s">
        <v>130</v>
      </c>
      <c r="J1278" s="1310" t="s">
        <v>1543</v>
      </c>
      <c r="K1278" s="1310" t="s">
        <v>1523</v>
      </c>
      <c r="L1278" s="1310" t="s">
        <v>1548</v>
      </c>
      <c r="M1278" s="1310" t="s">
        <v>266</v>
      </c>
      <c r="N1278" s="1310" t="s">
        <v>1655</v>
      </c>
      <c r="O1278" s="1310" t="s">
        <v>1573</v>
      </c>
      <c r="P1278" s="1310" t="s">
        <v>1533</v>
      </c>
      <c r="Q1278" s="1310" t="s">
        <v>1520</v>
      </c>
      <c r="R1278" s="1310" t="s">
        <v>1515</v>
      </c>
      <c r="S1278" s="1310" t="s">
        <v>1647</v>
      </c>
      <c r="T1278" s="1310" t="s">
        <v>1499</v>
      </c>
      <c r="U1278" s="1310" t="s">
        <v>1454</v>
      </c>
      <c r="V1278" s="1310" t="s">
        <v>1493</v>
      </c>
      <c r="W1278" s="1310" t="s">
        <v>1633</v>
      </c>
      <c r="X1278" s="1310" t="s">
        <v>117</v>
      </c>
      <c r="Y1278" s="1310" t="s">
        <v>1615</v>
      </c>
      <c r="Z1278" s="1310" t="s">
        <v>471</v>
      </c>
      <c r="AA1278" s="1310" t="s">
        <v>1632</v>
      </c>
      <c r="AB1278" s="1310" t="s">
        <v>1632</v>
      </c>
      <c r="AC1278" s="1310" t="s">
        <v>1458</v>
      </c>
      <c r="AD1278" s="1310" t="s">
        <v>1495</v>
      </c>
      <c r="AE1278" s="1310" t="s">
        <v>1609</v>
      </c>
      <c r="AF1278" s="1310" t="s">
        <v>1476</v>
      </c>
    </row>
    <row r="1279" spans="1:32" x14ac:dyDescent="0.3">
      <c r="A1279" s="1310" t="s">
        <v>1522</v>
      </c>
      <c r="B1279" s="1310" t="s">
        <v>1533</v>
      </c>
      <c r="C1279" s="1310" t="s">
        <v>1458</v>
      </c>
      <c r="D1279" s="1310" t="s">
        <v>1455</v>
      </c>
      <c r="E1279" s="1310" t="s">
        <v>1477</v>
      </c>
      <c r="F1279" s="1310" t="s">
        <v>1523</v>
      </c>
      <c r="G1279" s="1310" t="s">
        <v>1559</v>
      </c>
      <c r="H1279" s="1310" t="s">
        <v>1469</v>
      </c>
      <c r="I1279" s="1310" t="s">
        <v>1452</v>
      </c>
      <c r="J1279" s="1310" t="s">
        <v>1616</v>
      </c>
      <c r="K1279" s="1310" t="s">
        <v>1628</v>
      </c>
      <c r="L1279" s="1310" t="s">
        <v>1495</v>
      </c>
      <c r="M1279" s="1310" t="s">
        <v>1450</v>
      </c>
      <c r="N1279" s="1310" t="s">
        <v>1513</v>
      </c>
      <c r="O1279" s="1310" t="s">
        <v>1469</v>
      </c>
      <c r="P1279" s="1310" t="s">
        <v>264</v>
      </c>
      <c r="Q1279" s="1310" t="s">
        <v>1495</v>
      </c>
      <c r="R1279" s="1310" t="s">
        <v>1549</v>
      </c>
      <c r="S1279" s="1310" t="s">
        <v>1619</v>
      </c>
      <c r="T1279" s="1310" t="s">
        <v>1542</v>
      </c>
      <c r="U1279" s="1310" t="s">
        <v>1443</v>
      </c>
      <c r="V1279" s="1310" t="s">
        <v>1450</v>
      </c>
      <c r="W1279" s="1310" t="s">
        <v>1631</v>
      </c>
      <c r="X1279" s="1310" t="s">
        <v>264</v>
      </c>
      <c r="Y1279" s="1310" t="s">
        <v>1591</v>
      </c>
      <c r="Z1279" s="1310" t="s">
        <v>1579</v>
      </c>
      <c r="AA1279" s="1310" t="s">
        <v>1581</v>
      </c>
      <c r="AB1279" s="1310" t="s">
        <v>1563</v>
      </c>
      <c r="AC1279" s="1310" t="s">
        <v>128</v>
      </c>
      <c r="AD1279" s="1310" t="s">
        <v>1464</v>
      </c>
      <c r="AE1279" s="1310" t="s">
        <v>1561</v>
      </c>
      <c r="AF1279" s="1310" t="s">
        <v>1513</v>
      </c>
    </row>
    <row r="1280" spans="1:32" x14ac:dyDescent="0.3">
      <c r="A1280" s="1310" t="s">
        <v>1561</v>
      </c>
      <c r="B1280" s="1310" t="s">
        <v>465</v>
      </c>
      <c r="C1280" s="1310" t="s">
        <v>1526</v>
      </c>
      <c r="D1280" s="1310" t="s">
        <v>1519</v>
      </c>
      <c r="E1280" s="1310" t="s">
        <v>1505</v>
      </c>
      <c r="F1280" s="1310" t="s">
        <v>1598</v>
      </c>
      <c r="G1280" s="1310" t="s">
        <v>268</v>
      </c>
      <c r="H1280" s="1310" t="s">
        <v>1636</v>
      </c>
      <c r="I1280" s="1310" t="s">
        <v>6</v>
      </c>
      <c r="J1280" s="1310" t="s">
        <v>1525</v>
      </c>
      <c r="K1280" s="1310" t="s">
        <v>1491</v>
      </c>
      <c r="L1280" s="1310" t="s">
        <v>1555</v>
      </c>
      <c r="M1280" s="1310" t="s">
        <v>1642</v>
      </c>
      <c r="N1280" s="1310" t="s">
        <v>1516</v>
      </c>
      <c r="O1280" s="1310" t="s">
        <v>1644</v>
      </c>
      <c r="P1280" s="1310" t="s">
        <v>1497</v>
      </c>
      <c r="Q1280" s="1310" t="s">
        <v>1634</v>
      </c>
      <c r="R1280" s="1310" t="s">
        <v>1586</v>
      </c>
      <c r="S1280" s="1310" t="s">
        <v>1528</v>
      </c>
      <c r="T1280" s="1310" t="s">
        <v>1511</v>
      </c>
      <c r="U1280" s="1310" t="s">
        <v>1471</v>
      </c>
      <c r="V1280" s="1310" t="s">
        <v>1653</v>
      </c>
      <c r="W1280" s="1310" t="s">
        <v>1651</v>
      </c>
      <c r="X1280" s="1310" t="s">
        <v>130</v>
      </c>
      <c r="Y1280" s="1310" t="s">
        <v>1616</v>
      </c>
      <c r="Z1280" s="1310" t="s">
        <v>1443</v>
      </c>
      <c r="AA1280" s="1310" t="s">
        <v>1450</v>
      </c>
      <c r="AB1280" s="1310" t="s">
        <v>1544</v>
      </c>
      <c r="AC1280" s="1310" t="s">
        <v>1543</v>
      </c>
      <c r="AD1280" s="1310" t="s">
        <v>1452</v>
      </c>
      <c r="AE1280" s="1310" t="s">
        <v>1468</v>
      </c>
      <c r="AF1280" s="1310" t="s">
        <v>1466</v>
      </c>
    </row>
    <row r="1281" spans="1:32" x14ac:dyDescent="0.3">
      <c r="A1281" s="1310" t="s">
        <v>1468</v>
      </c>
      <c r="B1281" s="1310" t="s">
        <v>1584</v>
      </c>
      <c r="C1281" s="1310" t="s">
        <v>1468</v>
      </c>
      <c r="D1281" s="1310" t="s">
        <v>1027</v>
      </c>
      <c r="E1281" s="1310" t="s">
        <v>1589</v>
      </c>
      <c r="F1281" s="1310" t="s">
        <v>1560</v>
      </c>
      <c r="G1281" s="1310" t="s">
        <v>1605</v>
      </c>
      <c r="H1281" s="1310" t="s">
        <v>1547</v>
      </c>
      <c r="I1281" s="1310" t="s">
        <v>1622</v>
      </c>
      <c r="J1281" s="1310" t="s">
        <v>1522</v>
      </c>
      <c r="K1281" s="1310" t="s">
        <v>1622</v>
      </c>
      <c r="L1281" s="1310" t="s">
        <v>1566</v>
      </c>
      <c r="M1281" s="1310" t="s">
        <v>1591</v>
      </c>
      <c r="N1281" s="1310" t="s">
        <v>129</v>
      </c>
      <c r="O1281" s="1310" t="s">
        <v>268</v>
      </c>
      <c r="P1281" s="1310" t="s">
        <v>1609</v>
      </c>
      <c r="Q1281" s="1310" t="s">
        <v>1551</v>
      </c>
      <c r="R1281" s="1310" t="s">
        <v>1607</v>
      </c>
      <c r="S1281" s="1310" t="s">
        <v>1645</v>
      </c>
      <c r="T1281" s="1310" t="s">
        <v>1626</v>
      </c>
      <c r="U1281" s="1310" t="s">
        <v>1554</v>
      </c>
      <c r="V1281" s="1310" t="s">
        <v>1572</v>
      </c>
      <c r="W1281" s="1310" t="s">
        <v>1517</v>
      </c>
      <c r="X1281" s="1310" t="s">
        <v>1515</v>
      </c>
      <c r="Y1281" s="1310" t="s">
        <v>1566</v>
      </c>
      <c r="Z1281" s="1310" t="s">
        <v>1560</v>
      </c>
      <c r="AA1281" s="1310" t="s">
        <v>1560</v>
      </c>
      <c r="AB1281" s="1310" t="s">
        <v>1526</v>
      </c>
      <c r="AC1281" s="1310" t="s">
        <v>123</v>
      </c>
      <c r="AD1281" s="1310" t="s">
        <v>1473</v>
      </c>
      <c r="AE1281" s="1310" t="s">
        <v>266</v>
      </c>
      <c r="AF1281" s="1310" t="s">
        <v>1589</v>
      </c>
    </row>
    <row r="1282" spans="1:32" x14ac:dyDescent="0.3">
      <c r="A1282" s="1310" t="s">
        <v>1461</v>
      </c>
      <c r="B1282" s="1310" t="s">
        <v>1492</v>
      </c>
      <c r="C1282" s="1310" t="s">
        <v>1553</v>
      </c>
      <c r="D1282" s="1310" t="s">
        <v>6</v>
      </c>
      <c r="E1282" s="1310" t="s">
        <v>1597</v>
      </c>
      <c r="F1282" s="1310" t="s">
        <v>1651</v>
      </c>
      <c r="G1282" s="1310" t="s">
        <v>1629</v>
      </c>
      <c r="H1282" s="1310" t="s">
        <v>1604</v>
      </c>
      <c r="I1282" s="1310" t="s">
        <v>1543</v>
      </c>
      <c r="J1282" s="1310" t="s">
        <v>1579</v>
      </c>
      <c r="K1282" s="1310" t="s">
        <v>1481</v>
      </c>
      <c r="L1282" s="1310" t="s">
        <v>1562</v>
      </c>
      <c r="M1282" s="1310" t="s">
        <v>1640</v>
      </c>
      <c r="N1282" s="1310" t="s">
        <v>1597</v>
      </c>
      <c r="O1282" s="1310" t="s">
        <v>1647</v>
      </c>
      <c r="P1282" s="1310" t="s">
        <v>1453</v>
      </c>
      <c r="Q1282" s="1310" t="s">
        <v>1521</v>
      </c>
      <c r="R1282" s="1310" t="s">
        <v>1551</v>
      </c>
      <c r="S1282" s="1310" t="s">
        <v>1620</v>
      </c>
      <c r="T1282" s="1310" t="s">
        <v>1489</v>
      </c>
      <c r="U1282" s="1310" t="s">
        <v>1567</v>
      </c>
      <c r="V1282" s="1310" t="s">
        <v>1518</v>
      </c>
      <c r="W1282" s="1310" t="s">
        <v>1495</v>
      </c>
      <c r="X1282" s="1310" t="s">
        <v>1594</v>
      </c>
      <c r="Y1282" s="1310" t="s">
        <v>1500</v>
      </c>
      <c r="Z1282" s="1310" t="s">
        <v>1476</v>
      </c>
      <c r="AA1282" s="1310" t="s">
        <v>1636</v>
      </c>
      <c r="AB1282" s="1310" t="s">
        <v>132</v>
      </c>
      <c r="AC1282" s="1310" t="s">
        <v>1519</v>
      </c>
      <c r="AD1282" s="1310" t="s">
        <v>1556</v>
      </c>
      <c r="AE1282" s="1310" t="s">
        <v>1511</v>
      </c>
      <c r="AF1282" s="1310" t="s">
        <v>126</v>
      </c>
    </row>
    <row r="1283" spans="1:32" x14ac:dyDescent="0.3">
      <c r="A1283" s="1310" t="s">
        <v>1517</v>
      </c>
      <c r="B1283" s="1310" t="s">
        <v>110</v>
      </c>
      <c r="C1283" s="1310" t="s">
        <v>1568</v>
      </c>
      <c r="D1283" s="1310" t="s">
        <v>1507</v>
      </c>
      <c r="E1283" s="1310" t="s">
        <v>1556</v>
      </c>
      <c r="F1283" s="1310" t="s">
        <v>1563</v>
      </c>
      <c r="G1283" s="1310" t="s">
        <v>1468</v>
      </c>
      <c r="H1283" s="1310" t="s">
        <v>1643</v>
      </c>
      <c r="I1283" s="1310" t="s">
        <v>1481</v>
      </c>
      <c r="J1283" s="1310" t="s">
        <v>1592</v>
      </c>
      <c r="K1283" s="1310" t="s">
        <v>1655</v>
      </c>
      <c r="L1283" s="1310" t="s">
        <v>1527</v>
      </c>
      <c r="M1283" s="1310" t="s">
        <v>1603</v>
      </c>
      <c r="N1283" s="1310" t="s">
        <v>1640</v>
      </c>
      <c r="O1283" s="1310" t="s">
        <v>1537</v>
      </c>
      <c r="P1283" s="1310" t="s">
        <v>1546</v>
      </c>
      <c r="Q1283" s="1310" t="s">
        <v>1534</v>
      </c>
      <c r="R1283" s="1310" t="s">
        <v>270</v>
      </c>
      <c r="S1283" s="1310" t="s">
        <v>1606</v>
      </c>
      <c r="T1283" s="1310" t="s">
        <v>1523</v>
      </c>
      <c r="U1283" s="1310" t="s">
        <v>1579</v>
      </c>
      <c r="V1283" s="1310" t="s">
        <v>1471</v>
      </c>
      <c r="W1283" s="1310" t="s">
        <v>1633</v>
      </c>
      <c r="X1283" s="1310" t="s">
        <v>1617</v>
      </c>
      <c r="Y1283" s="1310" t="s">
        <v>116</v>
      </c>
      <c r="Z1283" s="1310" t="s">
        <v>119</v>
      </c>
      <c r="AA1283" s="1310" t="s">
        <v>116</v>
      </c>
      <c r="AB1283" s="1310" t="s">
        <v>1591</v>
      </c>
      <c r="AC1283" s="1310" t="s">
        <v>1521</v>
      </c>
      <c r="AD1283" s="1310" t="s">
        <v>1644</v>
      </c>
      <c r="AE1283" s="1310" t="s">
        <v>1632</v>
      </c>
      <c r="AF1283" s="1310" t="s">
        <v>1587</v>
      </c>
    </row>
    <row r="1284" spans="1:32" x14ac:dyDescent="0.3">
      <c r="A1284" s="1310" t="s">
        <v>1470</v>
      </c>
      <c r="B1284" s="1310" t="s">
        <v>131</v>
      </c>
      <c r="C1284" s="1310" t="s">
        <v>465</v>
      </c>
      <c r="D1284" s="1310" t="s">
        <v>131</v>
      </c>
      <c r="E1284" s="1310" t="s">
        <v>1534</v>
      </c>
      <c r="F1284" s="1310" t="s">
        <v>1599</v>
      </c>
      <c r="G1284" s="1310" t="s">
        <v>1468</v>
      </c>
      <c r="H1284" s="1310" t="s">
        <v>1559</v>
      </c>
      <c r="I1284" s="1310" t="s">
        <v>1575</v>
      </c>
      <c r="J1284" s="1310" t="s">
        <v>1540</v>
      </c>
      <c r="K1284" s="1310" t="s">
        <v>1494</v>
      </c>
      <c r="L1284" s="1310" t="s">
        <v>1027</v>
      </c>
      <c r="M1284" s="1310" t="s">
        <v>1556</v>
      </c>
      <c r="N1284" s="1310" t="s">
        <v>1613</v>
      </c>
      <c r="O1284" s="1310" t="s">
        <v>1530</v>
      </c>
      <c r="P1284" s="1310" t="s">
        <v>1567</v>
      </c>
      <c r="Q1284" s="1310" t="s">
        <v>1492</v>
      </c>
      <c r="R1284" s="1310" t="s">
        <v>1587</v>
      </c>
      <c r="S1284" s="1310" t="s">
        <v>1550</v>
      </c>
      <c r="T1284" s="1310" t="s">
        <v>1467</v>
      </c>
      <c r="U1284" s="1310" t="s">
        <v>1634</v>
      </c>
      <c r="V1284" s="1310" t="s">
        <v>1643</v>
      </c>
      <c r="W1284" s="1310" t="s">
        <v>1502</v>
      </c>
      <c r="X1284" s="1310" t="s">
        <v>1639</v>
      </c>
      <c r="Y1284" s="1310" t="s">
        <v>1640</v>
      </c>
      <c r="Z1284" s="1310" t="s">
        <v>1575</v>
      </c>
      <c r="AA1284" s="1310" t="s">
        <v>1518</v>
      </c>
      <c r="AB1284" s="1310" t="s">
        <v>1543</v>
      </c>
      <c r="AC1284" s="1310" t="s">
        <v>1578</v>
      </c>
      <c r="AD1284" s="1310" t="s">
        <v>123</v>
      </c>
      <c r="AE1284" s="1310" t="s">
        <v>1554</v>
      </c>
      <c r="AF1284" s="1310" t="s">
        <v>1516</v>
      </c>
    </row>
    <row r="1285" spans="1:32" x14ac:dyDescent="0.3">
      <c r="A1285" s="1310" t="s">
        <v>1515</v>
      </c>
      <c r="B1285" s="1310" t="s">
        <v>1603</v>
      </c>
      <c r="C1285" s="1310" t="s">
        <v>1512</v>
      </c>
      <c r="D1285" s="1310" t="s">
        <v>1550</v>
      </c>
      <c r="E1285" s="1310" t="s">
        <v>1589</v>
      </c>
      <c r="F1285" s="1310" t="s">
        <v>1563</v>
      </c>
      <c r="G1285" s="1310" t="s">
        <v>1476</v>
      </c>
      <c r="H1285" s="1310" t="s">
        <v>1528</v>
      </c>
      <c r="I1285" s="1310" t="s">
        <v>1559</v>
      </c>
      <c r="J1285" s="1310" t="s">
        <v>1607</v>
      </c>
      <c r="K1285" s="1310" t="s">
        <v>1629</v>
      </c>
      <c r="L1285" s="1310" t="s">
        <v>1532</v>
      </c>
      <c r="M1285" s="1310" t="s">
        <v>1613</v>
      </c>
      <c r="N1285" s="1310" t="s">
        <v>1474</v>
      </c>
      <c r="O1285" s="1310" t="s">
        <v>1027</v>
      </c>
      <c r="P1285" s="1310" t="s">
        <v>1582</v>
      </c>
      <c r="Q1285" s="1310" t="s">
        <v>122</v>
      </c>
      <c r="R1285" s="1310" t="s">
        <v>133</v>
      </c>
      <c r="S1285" s="1310" t="s">
        <v>1590</v>
      </c>
      <c r="T1285" s="1310" t="s">
        <v>1654</v>
      </c>
      <c r="U1285" s="1310" t="s">
        <v>1448</v>
      </c>
      <c r="V1285" s="1310" t="s">
        <v>1553</v>
      </c>
      <c r="W1285" s="1310" t="s">
        <v>1577</v>
      </c>
      <c r="X1285" s="1310" t="s">
        <v>1535</v>
      </c>
      <c r="Y1285" s="1310" t="s">
        <v>1609</v>
      </c>
      <c r="Z1285" s="1310" t="s">
        <v>1484</v>
      </c>
      <c r="AA1285" s="1310" t="s">
        <v>1558</v>
      </c>
      <c r="AB1285" s="1310" t="s">
        <v>1463</v>
      </c>
      <c r="AC1285" s="1310" t="s">
        <v>1483</v>
      </c>
      <c r="AD1285" s="1310" t="s">
        <v>111</v>
      </c>
      <c r="AE1285" s="1310" t="s">
        <v>1481</v>
      </c>
      <c r="AF1285" s="1310" t="s">
        <v>1555</v>
      </c>
    </row>
    <row r="1286" spans="1:32" x14ac:dyDescent="0.3">
      <c r="A1286" s="1310" t="s">
        <v>1462</v>
      </c>
      <c r="B1286" s="1310" t="s">
        <v>1641</v>
      </c>
      <c r="C1286" s="1310" t="s">
        <v>1643</v>
      </c>
      <c r="D1286" s="1310" t="s">
        <v>1526</v>
      </c>
      <c r="E1286" s="1310" t="s">
        <v>1503</v>
      </c>
      <c r="F1286" s="1310" t="s">
        <v>1648</v>
      </c>
      <c r="G1286" s="1310" t="s">
        <v>1624</v>
      </c>
      <c r="H1286" s="1310" t="s">
        <v>1621</v>
      </c>
      <c r="I1286" s="1310" t="s">
        <v>1568</v>
      </c>
      <c r="J1286" s="1310" t="s">
        <v>1554</v>
      </c>
      <c r="K1286" s="1310" t="s">
        <v>1631</v>
      </c>
      <c r="L1286" s="1310" t="s">
        <v>1519</v>
      </c>
      <c r="M1286" s="1310" t="s">
        <v>1645</v>
      </c>
      <c r="N1286" s="1310" t="s">
        <v>1490</v>
      </c>
      <c r="O1286" s="1310" t="s">
        <v>1628</v>
      </c>
      <c r="P1286" s="1310" t="s">
        <v>1648</v>
      </c>
      <c r="Q1286" s="1310" t="s">
        <v>1473</v>
      </c>
      <c r="R1286" s="1310" t="s">
        <v>1482</v>
      </c>
      <c r="S1286" s="1310" t="s">
        <v>114</v>
      </c>
      <c r="T1286" s="1310" t="s">
        <v>1595</v>
      </c>
      <c r="U1286" s="1310" t="s">
        <v>1527</v>
      </c>
      <c r="V1286" s="1310" t="s">
        <v>1496</v>
      </c>
      <c r="W1286" s="1310" t="s">
        <v>1538</v>
      </c>
      <c r="X1286" s="1310" t="s">
        <v>1614</v>
      </c>
      <c r="Y1286" s="1310" t="s">
        <v>1546</v>
      </c>
      <c r="Z1286" s="1310" t="s">
        <v>1565</v>
      </c>
      <c r="AA1286" s="1310" t="s">
        <v>1573</v>
      </c>
      <c r="AB1286" s="1310" t="s">
        <v>1565</v>
      </c>
      <c r="AC1286" s="1310" t="s">
        <v>1525</v>
      </c>
      <c r="AD1286" s="1310" t="s">
        <v>1453</v>
      </c>
      <c r="AE1286" s="1310" t="s">
        <v>1587</v>
      </c>
      <c r="AF1286" s="1310" t="s">
        <v>1594</v>
      </c>
    </row>
    <row r="1287" spans="1:32" x14ac:dyDescent="0.3">
      <c r="A1287" s="1310" t="s">
        <v>113</v>
      </c>
      <c r="B1287" s="1310" t="s">
        <v>1614</v>
      </c>
      <c r="C1287" s="1310" t="s">
        <v>1523</v>
      </c>
      <c r="D1287" s="1310" t="s">
        <v>1542</v>
      </c>
      <c r="E1287" s="1310" t="s">
        <v>1585</v>
      </c>
      <c r="F1287" s="1310" t="s">
        <v>1526</v>
      </c>
      <c r="G1287" s="1310" t="s">
        <v>1537</v>
      </c>
      <c r="H1287" s="1310" t="s">
        <v>1651</v>
      </c>
      <c r="I1287" s="1310" t="s">
        <v>1552</v>
      </c>
      <c r="J1287" s="1310" t="s">
        <v>1631</v>
      </c>
      <c r="K1287" s="1310" t="s">
        <v>1540</v>
      </c>
      <c r="L1287" s="1310" t="s">
        <v>1453</v>
      </c>
      <c r="M1287" s="1310" t="s">
        <v>1446</v>
      </c>
      <c r="N1287" s="1310" t="s">
        <v>1500</v>
      </c>
      <c r="O1287" s="1310" t="s">
        <v>1451</v>
      </c>
      <c r="P1287" s="1310" t="s">
        <v>1521</v>
      </c>
      <c r="Q1287" s="1310" t="s">
        <v>1596</v>
      </c>
      <c r="R1287" s="1310" t="s">
        <v>1596</v>
      </c>
      <c r="S1287" s="1310" t="s">
        <v>1462</v>
      </c>
      <c r="T1287" s="1310" t="s">
        <v>1645</v>
      </c>
      <c r="U1287" s="1310" t="s">
        <v>1472</v>
      </c>
      <c r="V1287" s="1310" t="s">
        <v>1584</v>
      </c>
      <c r="W1287" s="1310" t="s">
        <v>1476</v>
      </c>
      <c r="X1287" s="1310" t="s">
        <v>1642</v>
      </c>
      <c r="Y1287" s="1310" t="s">
        <v>1445</v>
      </c>
      <c r="Z1287" s="1310" t="s">
        <v>1461</v>
      </c>
      <c r="AA1287" s="1310" t="s">
        <v>1498</v>
      </c>
      <c r="AB1287" s="1310" t="s">
        <v>1650</v>
      </c>
      <c r="AC1287" s="1310" t="s">
        <v>1556</v>
      </c>
      <c r="AD1287" s="1310" t="s">
        <v>1444</v>
      </c>
      <c r="AE1287" s="1310" t="s">
        <v>1506</v>
      </c>
      <c r="AF1287" s="1310" t="s">
        <v>1503</v>
      </c>
    </row>
    <row r="1288" spans="1:32" x14ac:dyDescent="0.3">
      <c r="A1288" s="1310" t="s">
        <v>1615</v>
      </c>
      <c r="B1288" s="1310" t="s">
        <v>1444</v>
      </c>
      <c r="C1288" s="1310" t="s">
        <v>114</v>
      </c>
      <c r="D1288" s="1310" t="s">
        <v>1456</v>
      </c>
      <c r="E1288" s="1310" t="s">
        <v>1449</v>
      </c>
      <c r="F1288" s="1310" t="s">
        <v>1660</v>
      </c>
      <c r="G1288" s="1310" t="s">
        <v>1551</v>
      </c>
      <c r="H1288" s="1310" t="s">
        <v>1624</v>
      </c>
      <c r="I1288" s="1310" t="s">
        <v>1619</v>
      </c>
      <c r="J1288" s="1310" t="s">
        <v>1574</v>
      </c>
      <c r="K1288" s="1310" t="s">
        <v>1461</v>
      </c>
      <c r="L1288" s="1310" t="s">
        <v>1611</v>
      </c>
      <c r="M1288" s="1310" t="s">
        <v>1494</v>
      </c>
      <c r="N1288" s="1310" t="s">
        <v>1633</v>
      </c>
      <c r="O1288" s="1310" t="s">
        <v>1625</v>
      </c>
      <c r="P1288" s="1310" t="s">
        <v>1488</v>
      </c>
      <c r="Q1288" s="1310" t="s">
        <v>1482</v>
      </c>
      <c r="R1288" s="1310" t="s">
        <v>1560</v>
      </c>
      <c r="S1288" s="1310" t="s">
        <v>1449</v>
      </c>
      <c r="T1288" s="1310" t="s">
        <v>1637</v>
      </c>
      <c r="U1288" s="1310" t="s">
        <v>1624</v>
      </c>
      <c r="V1288" s="1310" t="s">
        <v>1505</v>
      </c>
      <c r="W1288" s="1310" t="s">
        <v>1504</v>
      </c>
      <c r="X1288" s="1310" t="s">
        <v>1535</v>
      </c>
      <c r="Y1288" s="1310" t="s">
        <v>1596</v>
      </c>
      <c r="Z1288" s="1310" t="s">
        <v>1547</v>
      </c>
      <c r="AA1288" s="1310" t="s">
        <v>1448</v>
      </c>
      <c r="AB1288" s="1310" t="s">
        <v>1580</v>
      </c>
      <c r="AC1288" s="1310" t="s">
        <v>1564</v>
      </c>
      <c r="AD1288" s="1310" t="s">
        <v>125</v>
      </c>
      <c r="AE1288" s="1310" t="s">
        <v>1601</v>
      </c>
      <c r="AF1288" s="1310" t="s">
        <v>1620</v>
      </c>
    </row>
    <row r="1289" spans="1:32" x14ac:dyDescent="0.3">
      <c r="A1289" s="1310" t="s">
        <v>1530</v>
      </c>
      <c r="B1289" s="1310" t="s">
        <v>1628</v>
      </c>
      <c r="C1289" s="1310" t="s">
        <v>1489</v>
      </c>
      <c r="D1289" s="1310" t="s">
        <v>1589</v>
      </c>
      <c r="E1289" s="1310" t="s">
        <v>1487</v>
      </c>
      <c r="F1289" s="1310" t="s">
        <v>1494</v>
      </c>
      <c r="G1289" s="1310" t="s">
        <v>1451</v>
      </c>
      <c r="H1289" s="1310" t="s">
        <v>1618</v>
      </c>
      <c r="I1289" s="1310" t="s">
        <v>1451</v>
      </c>
      <c r="J1289" s="1310" t="s">
        <v>1450</v>
      </c>
      <c r="K1289" s="1310" t="s">
        <v>1513</v>
      </c>
      <c r="L1289" s="1310" t="s">
        <v>116</v>
      </c>
      <c r="M1289" s="1310" t="s">
        <v>1463</v>
      </c>
      <c r="N1289" s="1310" t="s">
        <v>124</v>
      </c>
      <c r="O1289" s="1310" t="s">
        <v>1457</v>
      </c>
      <c r="P1289" s="1310" t="s">
        <v>1644</v>
      </c>
      <c r="Q1289" s="1310" t="s">
        <v>1562</v>
      </c>
      <c r="R1289" s="1310" t="s">
        <v>1658</v>
      </c>
      <c r="S1289" s="1310" t="s">
        <v>270</v>
      </c>
      <c r="T1289" s="1310" t="s">
        <v>1621</v>
      </c>
      <c r="U1289" s="1310" t="s">
        <v>1554</v>
      </c>
      <c r="V1289" s="1310" t="s">
        <v>1522</v>
      </c>
      <c r="W1289" s="1310" t="s">
        <v>1488</v>
      </c>
      <c r="X1289" s="1310" t="s">
        <v>1557</v>
      </c>
      <c r="Y1289" s="1310" t="s">
        <v>1457</v>
      </c>
      <c r="Z1289" s="1310" t="s">
        <v>1547</v>
      </c>
      <c r="AA1289" s="1310" t="s">
        <v>1463</v>
      </c>
      <c r="AB1289" s="1310" t="s">
        <v>1637</v>
      </c>
      <c r="AC1289" s="1310" t="s">
        <v>116</v>
      </c>
      <c r="AD1289" s="1310" t="s">
        <v>1592</v>
      </c>
      <c r="AE1289" s="1310" t="s">
        <v>1491</v>
      </c>
      <c r="AF1289" s="1310" t="s">
        <v>1502</v>
      </c>
    </row>
    <row r="1290" spans="1:32" x14ac:dyDescent="0.3">
      <c r="A1290" s="1310" t="s">
        <v>1516</v>
      </c>
      <c r="B1290" s="1310" t="s">
        <v>1476</v>
      </c>
      <c r="C1290" s="1310" t="s">
        <v>1446</v>
      </c>
      <c r="D1290" s="1310" t="s">
        <v>1631</v>
      </c>
      <c r="E1290" s="1310" t="s">
        <v>1523</v>
      </c>
      <c r="F1290" s="1310" t="s">
        <v>1632</v>
      </c>
      <c r="G1290" s="1310" t="s">
        <v>1553</v>
      </c>
      <c r="H1290" s="1310" t="s">
        <v>119</v>
      </c>
      <c r="I1290" s="1310" t="s">
        <v>1620</v>
      </c>
      <c r="J1290" s="1310" t="s">
        <v>1459</v>
      </c>
      <c r="K1290" s="1310" t="s">
        <v>1654</v>
      </c>
      <c r="L1290" s="1310" t="s">
        <v>1619</v>
      </c>
      <c r="M1290" s="1310" t="s">
        <v>1497</v>
      </c>
      <c r="N1290" s="1310" t="s">
        <v>264</v>
      </c>
      <c r="O1290" s="1310" t="s">
        <v>1564</v>
      </c>
      <c r="P1290" s="1310" t="s">
        <v>1563</v>
      </c>
      <c r="Q1290" s="1310" t="s">
        <v>1547</v>
      </c>
      <c r="R1290" s="1310" t="s">
        <v>1504</v>
      </c>
      <c r="S1290" s="1310" t="s">
        <v>112</v>
      </c>
      <c r="T1290" s="1310" t="s">
        <v>1660</v>
      </c>
      <c r="U1290" s="1310" t="s">
        <v>1444</v>
      </c>
      <c r="V1290" s="1310" t="s">
        <v>268</v>
      </c>
      <c r="W1290" s="1310" t="s">
        <v>1583</v>
      </c>
      <c r="X1290" s="1310" t="s">
        <v>1574</v>
      </c>
      <c r="Y1290" s="1310" t="s">
        <v>465</v>
      </c>
      <c r="Z1290" s="1310" t="s">
        <v>1474</v>
      </c>
      <c r="AA1290" s="1310" t="s">
        <v>1630</v>
      </c>
      <c r="AB1290" s="1310" t="s">
        <v>1608</v>
      </c>
      <c r="AC1290" s="1310" t="s">
        <v>1629</v>
      </c>
      <c r="AD1290" s="1310" t="s">
        <v>1660</v>
      </c>
      <c r="AE1290" s="1310" t="s">
        <v>1561</v>
      </c>
      <c r="AF1290" s="1310" t="s">
        <v>112</v>
      </c>
    </row>
    <row r="1291" spans="1:32" x14ac:dyDescent="0.3">
      <c r="A1291" s="1310" t="s">
        <v>1525</v>
      </c>
      <c r="B1291" s="1310" t="s">
        <v>1467</v>
      </c>
      <c r="C1291" s="1310" t="s">
        <v>124</v>
      </c>
      <c r="D1291" s="1310" t="s">
        <v>1449</v>
      </c>
      <c r="E1291" s="1310" t="s">
        <v>1591</v>
      </c>
      <c r="F1291" s="1310" t="s">
        <v>1631</v>
      </c>
      <c r="G1291" s="1310" t="s">
        <v>1600</v>
      </c>
      <c r="H1291" s="1310" t="s">
        <v>1559</v>
      </c>
      <c r="I1291" s="1310" t="s">
        <v>1598</v>
      </c>
      <c r="J1291" s="1310" t="s">
        <v>1533</v>
      </c>
      <c r="K1291" s="1310" t="s">
        <v>1448</v>
      </c>
      <c r="L1291" s="1310" t="s">
        <v>113</v>
      </c>
      <c r="M1291" s="1310" t="s">
        <v>1512</v>
      </c>
      <c r="N1291" s="1310" t="s">
        <v>1627</v>
      </c>
      <c r="O1291" s="1310" t="s">
        <v>1624</v>
      </c>
      <c r="P1291" s="1310" t="s">
        <v>1475</v>
      </c>
      <c r="Q1291" s="1310" t="s">
        <v>267</v>
      </c>
      <c r="R1291" s="1310" t="s">
        <v>1644</v>
      </c>
      <c r="S1291" s="1310" t="s">
        <v>1515</v>
      </c>
      <c r="T1291" s="1310" t="s">
        <v>1557</v>
      </c>
      <c r="U1291" s="1310" t="s">
        <v>266</v>
      </c>
      <c r="V1291" s="1310" t="s">
        <v>1460</v>
      </c>
      <c r="W1291" s="1310" t="s">
        <v>1651</v>
      </c>
      <c r="X1291" s="1310" t="s">
        <v>1450</v>
      </c>
      <c r="Y1291" s="1310" t="s">
        <v>1488</v>
      </c>
      <c r="Z1291" s="1310" t="s">
        <v>1446</v>
      </c>
      <c r="AA1291" s="1310" t="s">
        <v>119</v>
      </c>
      <c r="AB1291" s="1310" t="s">
        <v>1551</v>
      </c>
      <c r="AC1291" s="1310" t="s">
        <v>127</v>
      </c>
      <c r="AD1291" s="1310" t="s">
        <v>1632</v>
      </c>
      <c r="AE1291" s="1310" t="s">
        <v>112</v>
      </c>
      <c r="AF1291" s="1310" t="s">
        <v>1613</v>
      </c>
    </row>
    <row r="1292" spans="1:32" x14ac:dyDescent="0.3">
      <c r="A1292" s="1310" t="s">
        <v>1525</v>
      </c>
      <c r="B1292" s="1310" t="s">
        <v>1535</v>
      </c>
      <c r="C1292" s="1310" t="s">
        <v>1598</v>
      </c>
      <c r="D1292" s="1310" t="s">
        <v>1635</v>
      </c>
      <c r="E1292" s="1310" t="s">
        <v>1658</v>
      </c>
      <c r="F1292" s="1310" t="s">
        <v>1448</v>
      </c>
      <c r="G1292" s="1310" t="s">
        <v>1542</v>
      </c>
      <c r="H1292" s="1310" t="s">
        <v>1466</v>
      </c>
      <c r="I1292" s="1310" t="s">
        <v>125</v>
      </c>
      <c r="J1292" s="1310" t="s">
        <v>1472</v>
      </c>
      <c r="K1292" s="1310" t="s">
        <v>1030</v>
      </c>
      <c r="L1292" s="1310" t="s">
        <v>1535</v>
      </c>
      <c r="M1292" s="1310" t="s">
        <v>1598</v>
      </c>
      <c r="N1292" s="1310" t="s">
        <v>6</v>
      </c>
      <c r="O1292" s="1310" t="s">
        <v>1658</v>
      </c>
      <c r="P1292" s="1310" t="s">
        <v>1482</v>
      </c>
      <c r="Q1292" s="1310" t="s">
        <v>1564</v>
      </c>
      <c r="R1292" s="1310" t="s">
        <v>1519</v>
      </c>
      <c r="S1292" s="1310" t="s">
        <v>1655</v>
      </c>
      <c r="T1292" s="1310" t="s">
        <v>1547</v>
      </c>
      <c r="U1292" s="1310" t="s">
        <v>1489</v>
      </c>
      <c r="V1292" s="1310" t="s">
        <v>1643</v>
      </c>
      <c r="W1292" s="1310" t="s">
        <v>1464</v>
      </c>
      <c r="X1292" s="1310" t="s">
        <v>1474</v>
      </c>
      <c r="Y1292" s="1310" t="s">
        <v>1632</v>
      </c>
      <c r="Z1292" s="1310" t="s">
        <v>1500</v>
      </c>
      <c r="AA1292" s="1310" t="s">
        <v>1653</v>
      </c>
      <c r="AB1292" s="1310" t="s">
        <v>1477</v>
      </c>
      <c r="AC1292" s="1310" t="s">
        <v>1600</v>
      </c>
      <c r="AD1292" s="1310" t="s">
        <v>1591</v>
      </c>
      <c r="AE1292" s="1310" t="s">
        <v>1618</v>
      </c>
      <c r="AF1292" s="1310" t="s">
        <v>128</v>
      </c>
    </row>
    <row r="1293" spans="1:32" x14ac:dyDescent="0.3">
      <c r="A1293" s="1310" t="s">
        <v>1630</v>
      </c>
      <c r="B1293" s="1310" t="s">
        <v>1506</v>
      </c>
      <c r="C1293" s="1310" t="s">
        <v>1455</v>
      </c>
      <c r="D1293" s="1310" t="s">
        <v>1568</v>
      </c>
      <c r="E1293" s="1310" t="s">
        <v>1484</v>
      </c>
      <c r="F1293" s="1310" t="s">
        <v>1566</v>
      </c>
      <c r="G1293" s="1310" t="s">
        <v>1591</v>
      </c>
      <c r="H1293" s="1310" t="s">
        <v>1618</v>
      </c>
      <c r="I1293" s="1310" t="s">
        <v>125</v>
      </c>
      <c r="J1293" s="1310" t="s">
        <v>1474</v>
      </c>
      <c r="K1293" s="1310" t="s">
        <v>262</v>
      </c>
      <c r="L1293" s="1310" t="s">
        <v>1486</v>
      </c>
      <c r="M1293" s="1310" t="s">
        <v>1523</v>
      </c>
      <c r="N1293" s="1310" t="s">
        <v>1638</v>
      </c>
      <c r="O1293" s="1310" t="s">
        <v>1521</v>
      </c>
      <c r="P1293" s="1310" t="s">
        <v>1473</v>
      </c>
      <c r="Q1293" s="1310" t="s">
        <v>1547</v>
      </c>
      <c r="R1293" s="1310" t="s">
        <v>1632</v>
      </c>
      <c r="S1293" s="1310" t="s">
        <v>1600</v>
      </c>
      <c r="T1293" s="1310" t="s">
        <v>1509</v>
      </c>
      <c r="U1293" s="1310" t="s">
        <v>1483</v>
      </c>
      <c r="V1293" s="1310" t="s">
        <v>1610</v>
      </c>
      <c r="W1293" s="1310" t="s">
        <v>1656</v>
      </c>
      <c r="X1293" s="1310" t="s">
        <v>1452</v>
      </c>
      <c r="Y1293" s="1310" t="s">
        <v>1629</v>
      </c>
      <c r="Z1293" s="1310" t="s">
        <v>1448</v>
      </c>
      <c r="AA1293" s="1310" t="s">
        <v>120</v>
      </c>
      <c r="AB1293" s="1310" t="s">
        <v>126</v>
      </c>
      <c r="AC1293" s="1310" t="s">
        <v>1597</v>
      </c>
      <c r="AD1293" s="1310" t="s">
        <v>1545</v>
      </c>
      <c r="AE1293" s="1310" t="s">
        <v>1546</v>
      </c>
      <c r="AF1293" s="1310" t="s">
        <v>1606</v>
      </c>
    </row>
    <row r="1294" spans="1:32" x14ac:dyDescent="0.3">
      <c r="A1294" s="1310" t="s">
        <v>1564</v>
      </c>
      <c r="B1294" s="1310" t="s">
        <v>1572</v>
      </c>
      <c r="C1294" s="1310" t="s">
        <v>263</v>
      </c>
      <c r="D1294" s="1310" t="s">
        <v>1594</v>
      </c>
      <c r="E1294" s="1310" t="s">
        <v>1653</v>
      </c>
      <c r="F1294" s="1310" t="s">
        <v>1629</v>
      </c>
      <c r="G1294" s="1310" t="s">
        <v>1561</v>
      </c>
      <c r="H1294" s="1310" t="s">
        <v>1027</v>
      </c>
      <c r="I1294" s="1310" t="s">
        <v>1631</v>
      </c>
      <c r="J1294" s="1310" t="s">
        <v>1471</v>
      </c>
      <c r="K1294" s="1310" t="s">
        <v>1620</v>
      </c>
      <c r="L1294" s="1310" t="s">
        <v>1470</v>
      </c>
      <c r="M1294" s="1310" t="s">
        <v>1544</v>
      </c>
      <c r="N1294" s="1310" t="s">
        <v>124</v>
      </c>
      <c r="O1294" s="1310" t="s">
        <v>1550</v>
      </c>
      <c r="P1294" s="1310" t="s">
        <v>1608</v>
      </c>
      <c r="Q1294" s="1310" t="s">
        <v>1642</v>
      </c>
      <c r="R1294" s="1310" t="s">
        <v>125</v>
      </c>
      <c r="S1294" s="1310" t="s">
        <v>1542</v>
      </c>
      <c r="T1294" s="1310" t="s">
        <v>130</v>
      </c>
      <c r="U1294" s="1310" t="s">
        <v>1480</v>
      </c>
      <c r="V1294" s="1310" t="s">
        <v>1495</v>
      </c>
      <c r="W1294" s="1310" t="s">
        <v>1562</v>
      </c>
      <c r="X1294" s="1310" t="s">
        <v>1583</v>
      </c>
      <c r="Y1294" s="1310" t="s">
        <v>1486</v>
      </c>
      <c r="Z1294" s="1310" t="s">
        <v>1583</v>
      </c>
      <c r="AA1294" s="1310" t="s">
        <v>119</v>
      </c>
      <c r="AB1294" s="1310" t="s">
        <v>1602</v>
      </c>
      <c r="AC1294" s="1310" t="s">
        <v>1543</v>
      </c>
      <c r="AD1294" s="1310" t="s">
        <v>1585</v>
      </c>
      <c r="AE1294" s="1310" t="s">
        <v>1636</v>
      </c>
      <c r="AF1294" s="1310" t="s">
        <v>1558</v>
      </c>
    </row>
    <row r="1295" spans="1:32" x14ac:dyDescent="0.3">
      <c r="A1295" s="1310" t="s">
        <v>1486</v>
      </c>
      <c r="B1295" s="1310" t="s">
        <v>1479</v>
      </c>
      <c r="C1295" s="1310" t="s">
        <v>1508</v>
      </c>
      <c r="D1295" s="1310" t="s">
        <v>121</v>
      </c>
      <c r="E1295" s="1310" t="s">
        <v>133</v>
      </c>
      <c r="F1295" s="1310" t="s">
        <v>118</v>
      </c>
      <c r="G1295" s="1310" t="s">
        <v>1531</v>
      </c>
      <c r="H1295" s="1310" t="s">
        <v>1642</v>
      </c>
      <c r="I1295" s="1310" t="s">
        <v>128</v>
      </c>
      <c r="J1295" s="1310" t="s">
        <v>1548</v>
      </c>
      <c r="K1295" s="1310" t="s">
        <v>262</v>
      </c>
      <c r="L1295" s="1310" t="s">
        <v>1637</v>
      </c>
      <c r="M1295" s="1310" t="s">
        <v>1584</v>
      </c>
      <c r="N1295" s="1310" t="s">
        <v>1518</v>
      </c>
      <c r="O1295" s="1310" t="s">
        <v>1464</v>
      </c>
      <c r="P1295" s="1310" t="s">
        <v>1495</v>
      </c>
      <c r="Q1295" s="1310" t="s">
        <v>1640</v>
      </c>
      <c r="R1295" s="1310" t="s">
        <v>1651</v>
      </c>
      <c r="S1295" s="1310" t="s">
        <v>120</v>
      </c>
      <c r="T1295" s="1310" t="s">
        <v>1457</v>
      </c>
      <c r="U1295" s="1310" t="s">
        <v>1635</v>
      </c>
      <c r="V1295" s="1310" t="s">
        <v>1538</v>
      </c>
      <c r="W1295" s="1310" t="s">
        <v>1565</v>
      </c>
      <c r="X1295" s="1310" t="s">
        <v>1455</v>
      </c>
      <c r="Y1295" s="1310" t="s">
        <v>465</v>
      </c>
      <c r="Z1295" s="1310" t="s">
        <v>1511</v>
      </c>
      <c r="AA1295" s="1310" t="s">
        <v>1473</v>
      </c>
      <c r="AB1295" s="1310" t="s">
        <v>1445</v>
      </c>
      <c r="AC1295" s="1310" t="s">
        <v>1471</v>
      </c>
      <c r="AD1295" s="1310" t="s">
        <v>1489</v>
      </c>
      <c r="AE1295" s="1310" t="s">
        <v>1459</v>
      </c>
      <c r="AF1295" s="1310" t="s">
        <v>1460</v>
      </c>
    </row>
    <row r="1296" spans="1:32" x14ac:dyDescent="0.3">
      <c r="A1296" s="1310" t="s">
        <v>267</v>
      </c>
      <c r="B1296" s="1310" t="s">
        <v>1645</v>
      </c>
      <c r="C1296" s="1310" t="s">
        <v>1506</v>
      </c>
      <c r="D1296" s="1310" t="s">
        <v>1578</v>
      </c>
      <c r="E1296" s="1310" t="s">
        <v>1588</v>
      </c>
      <c r="F1296" s="1310" t="s">
        <v>1601</v>
      </c>
      <c r="G1296" s="1310" t="s">
        <v>465</v>
      </c>
      <c r="H1296" s="1310" t="s">
        <v>1564</v>
      </c>
      <c r="I1296" s="1310" t="s">
        <v>1643</v>
      </c>
      <c r="J1296" s="1310" t="s">
        <v>1586</v>
      </c>
      <c r="K1296" s="1310" t="s">
        <v>1482</v>
      </c>
      <c r="L1296" s="1310" t="s">
        <v>1505</v>
      </c>
      <c r="M1296" s="1310" t="s">
        <v>1582</v>
      </c>
      <c r="N1296" s="1310" t="s">
        <v>1643</v>
      </c>
      <c r="O1296" s="1310" t="s">
        <v>1451</v>
      </c>
      <c r="P1296" s="1310" t="s">
        <v>1527</v>
      </c>
      <c r="Q1296" s="1310" t="s">
        <v>1510</v>
      </c>
      <c r="R1296" s="1310" t="s">
        <v>1574</v>
      </c>
      <c r="S1296" s="1310" t="s">
        <v>132</v>
      </c>
      <c r="T1296" s="1310" t="s">
        <v>1504</v>
      </c>
      <c r="U1296" s="1310" t="s">
        <v>1649</v>
      </c>
      <c r="V1296" s="1310" t="s">
        <v>1650</v>
      </c>
      <c r="W1296" s="1310" t="s">
        <v>1517</v>
      </c>
      <c r="X1296" s="1310" t="s">
        <v>120</v>
      </c>
      <c r="Y1296" s="1310" t="s">
        <v>1630</v>
      </c>
      <c r="Z1296" s="1310" t="s">
        <v>1619</v>
      </c>
      <c r="AA1296" s="1310" t="s">
        <v>1590</v>
      </c>
      <c r="AB1296" s="1310" t="s">
        <v>1618</v>
      </c>
      <c r="AC1296" s="1310" t="s">
        <v>1584</v>
      </c>
      <c r="AD1296" s="1310" t="s">
        <v>1574</v>
      </c>
      <c r="AE1296" s="1310" t="s">
        <v>1655</v>
      </c>
      <c r="AF1296" s="1310" t="s">
        <v>1534</v>
      </c>
    </row>
    <row r="1297" spans="1:32" x14ac:dyDescent="0.3">
      <c r="A1297" s="1310" t="s">
        <v>1648</v>
      </c>
      <c r="B1297" s="1310" t="s">
        <v>1581</v>
      </c>
      <c r="C1297" s="1310" t="s">
        <v>1633</v>
      </c>
      <c r="D1297" s="1310" t="s">
        <v>1505</v>
      </c>
      <c r="E1297" s="1310" t="s">
        <v>1612</v>
      </c>
      <c r="F1297" s="1310" t="s">
        <v>1480</v>
      </c>
      <c r="G1297" s="1310" t="s">
        <v>1604</v>
      </c>
      <c r="H1297" s="1310" t="s">
        <v>121</v>
      </c>
      <c r="I1297" s="1310" t="s">
        <v>1457</v>
      </c>
      <c r="J1297" s="1310" t="s">
        <v>1658</v>
      </c>
      <c r="K1297" s="1310" t="s">
        <v>1490</v>
      </c>
      <c r="L1297" s="1310" t="s">
        <v>1549</v>
      </c>
      <c r="M1297" s="1310" t="s">
        <v>128</v>
      </c>
      <c r="N1297" s="1310" t="s">
        <v>1581</v>
      </c>
      <c r="O1297" s="1310" t="s">
        <v>1562</v>
      </c>
      <c r="P1297" s="1310" t="s">
        <v>1463</v>
      </c>
      <c r="Q1297" s="1310" t="s">
        <v>1538</v>
      </c>
      <c r="R1297" s="1310" t="s">
        <v>1558</v>
      </c>
      <c r="S1297" s="1310" t="s">
        <v>1617</v>
      </c>
      <c r="T1297" s="1310" t="s">
        <v>1505</v>
      </c>
      <c r="U1297" s="1310" t="s">
        <v>1448</v>
      </c>
      <c r="V1297" s="1310" t="s">
        <v>1494</v>
      </c>
      <c r="W1297" s="1310" t="s">
        <v>1574</v>
      </c>
      <c r="X1297" s="1310" t="s">
        <v>1460</v>
      </c>
      <c r="Y1297" s="1310" t="s">
        <v>1510</v>
      </c>
      <c r="Z1297" s="1310" t="s">
        <v>1517</v>
      </c>
      <c r="AA1297" s="1310" t="s">
        <v>124</v>
      </c>
      <c r="AB1297" s="1310" t="s">
        <v>1611</v>
      </c>
      <c r="AC1297" s="1310" t="s">
        <v>1467</v>
      </c>
      <c r="AD1297" s="1310" t="s">
        <v>114</v>
      </c>
      <c r="AE1297" s="1310" t="s">
        <v>1505</v>
      </c>
      <c r="AF1297" s="1310" t="s">
        <v>1491</v>
      </c>
    </row>
    <row r="1298" spans="1:32" x14ac:dyDescent="0.3">
      <c r="A1298" s="1310" t="s">
        <v>1651</v>
      </c>
      <c r="B1298" s="1310" t="s">
        <v>1631</v>
      </c>
      <c r="C1298" s="1310" t="s">
        <v>1654</v>
      </c>
      <c r="D1298" s="1310" t="s">
        <v>1559</v>
      </c>
      <c r="E1298" s="1310" t="s">
        <v>1518</v>
      </c>
      <c r="F1298" s="1310" t="s">
        <v>1618</v>
      </c>
      <c r="G1298" s="1310" t="s">
        <v>1468</v>
      </c>
      <c r="H1298" s="1310" t="s">
        <v>1566</v>
      </c>
      <c r="I1298" s="1310" t="s">
        <v>1468</v>
      </c>
      <c r="J1298" s="1310" t="s">
        <v>1568</v>
      </c>
      <c r="K1298" s="1310" t="s">
        <v>1550</v>
      </c>
      <c r="L1298" s="1310" t="s">
        <v>1443</v>
      </c>
      <c r="M1298" s="1310" t="s">
        <v>1450</v>
      </c>
      <c r="N1298" s="1310" t="s">
        <v>1490</v>
      </c>
      <c r="O1298" s="1310" t="s">
        <v>1468</v>
      </c>
      <c r="P1298" s="1310" t="s">
        <v>1552</v>
      </c>
      <c r="Q1298" s="1310" t="s">
        <v>1557</v>
      </c>
      <c r="R1298" s="1310" t="s">
        <v>1622</v>
      </c>
      <c r="S1298" s="1310" t="s">
        <v>1583</v>
      </c>
      <c r="T1298" s="1310" t="s">
        <v>1653</v>
      </c>
      <c r="U1298" s="1310" t="s">
        <v>1578</v>
      </c>
      <c r="V1298" s="1310" t="s">
        <v>1027</v>
      </c>
      <c r="W1298" s="1310" t="s">
        <v>1481</v>
      </c>
      <c r="X1298" s="1310" t="s">
        <v>1652</v>
      </c>
      <c r="Y1298" s="1310" t="s">
        <v>1533</v>
      </c>
      <c r="Z1298" s="1310" t="s">
        <v>1562</v>
      </c>
      <c r="AA1298" s="1310" t="s">
        <v>1507</v>
      </c>
      <c r="AB1298" s="1310" t="s">
        <v>1619</v>
      </c>
      <c r="AC1298" s="1310" t="s">
        <v>1461</v>
      </c>
      <c r="AD1298" s="1310" t="s">
        <v>1586</v>
      </c>
      <c r="AE1298" s="1310" t="s">
        <v>1567</v>
      </c>
      <c r="AF1298" s="1310" t="s">
        <v>119</v>
      </c>
    </row>
    <row r="1299" spans="1:32" x14ac:dyDescent="0.3">
      <c r="A1299" s="1310" t="s">
        <v>1656</v>
      </c>
      <c r="B1299" s="1310" t="s">
        <v>1522</v>
      </c>
      <c r="C1299" s="1310" t="s">
        <v>1560</v>
      </c>
      <c r="D1299" s="1310" t="s">
        <v>1469</v>
      </c>
      <c r="E1299" s="1310" t="s">
        <v>1529</v>
      </c>
      <c r="F1299" s="1310" t="s">
        <v>1627</v>
      </c>
      <c r="G1299" s="1310" t="s">
        <v>132</v>
      </c>
      <c r="H1299" s="1310" t="s">
        <v>1532</v>
      </c>
      <c r="I1299" s="1310" t="s">
        <v>1453</v>
      </c>
      <c r="J1299" s="1310" t="s">
        <v>1560</v>
      </c>
      <c r="K1299" s="1310" t="s">
        <v>1501</v>
      </c>
      <c r="L1299" s="1310" t="s">
        <v>114</v>
      </c>
      <c r="M1299" s="1310" t="s">
        <v>1647</v>
      </c>
      <c r="N1299" s="1310" t="s">
        <v>1451</v>
      </c>
      <c r="O1299" s="1310" t="s">
        <v>132</v>
      </c>
      <c r="P1299" s="1310" t="s">
        <v>1449</v>
      </c>
      <c r="Q1299" s="1310" t="s">
        <v>1523</v>
      </c>
      <c r="R1299" s="1310" t="s">
        <v>1570</v>
      </c>
      <c r="S1299" s="1310" t="s">
        <v>1590</v>
      </c>
      <c r="T1299" s="1310" t="s">
        <v>1654</v>
      </c>
      <c r="U1299" s="1310" t="s">
        <v>1448</v>
      </c>
      <c r="V1299" s="1310" t="s">
        <v>6</v>
      </c>
      <c r="W1299" s="1310" t="s">
        <v>1478</v>
      </c>
      <c r="X1299" s="1310" t="s">
        <v>121</v>
      </c>
      <c r="Y1299" s="1310" t="s">
        <v>1535</v>
      </c>
      <c r="Z1299" s="1310" t="s">
        <v>1599</v>
      </c>
      <c r="AA1299" s="1310" t="s">
        <v>117</v>
      </c>
      <c r="AB1299" s="1310" t="s">
        <v>1639</v>
      </c>
      <c r="AC1299" s="1310" t="s">
        <v>1543</v>
      </c>
      <c r="AD1299" s="1310" t="s">
        <v>1462</v>
      </c>
      <c r="AE1299" s="1310" t="s">
        <v>1649</v>
      </c>
      <c r="AF1299" s="1310" t="s">
        <v>1467</v>
      </c>
    </row>
    <row r="1300" spans="1:32" x14ac:dyDescent="0.3">
      <c r="A1300" s="1310" t="s">
        <v>1465</v>
      </c>
      <c r="B1300" s="1310" t="s">
        <v>1484</v>
      </c>
      <c r="C1300" s="1310" t="s">
        <v>1528</v>
      </c>
      <c r="D1300" s="1310" t="s">
        <v>1544</v>
      </c>
      <c r="E1300" s="1310" t="s">
        <v>1453</v>
      </c>
      <c r="F1300" s="1310" t="s">
        <v>1595</v>
      </c>
      <c r="G1300" s="1310" t="s">
        <v>1633</v>
      </c>
      <c r="H1300" s="1310" t="s">
        <v>1572</v>
      </c>
      <c r="I1300" s="1310" t="s">
        <v>1527</v>
      </c>
      <c r="J1300" s="1310" t="s">
        <v>1478</v>
      </c>
      <c r="K1300" s="1310" t="s">
        <v>1460</v>
      </c>
      <c r="L1300" s="1310" t="s">
        <v>128</v>
      </c>
      <c r="M1300" s="1310" t="s">
        <v>1470</v>
      </c>
      <c r="N1300" s="1310" t="s">
        <v>1589</v>
      </c>
      <c r="O1300" s="1310" t="s">
        <v>465</v>
      </c>
      <c r="P1300" s="1310" t="s">
        <v>114</v>
      </c>
      <c r="Q1300" s="1310" t="s">
        <v>1488</v>
      </c>
      <c r="R1300" s="1310" t="s">
        <v>1455</v>
      </c>
      <c r="S1300" s="1310" t="s">
        <v>1635</v>
      </c>
      <c r="T1300" s="1310" t="s">
        <v>1549</v>
      </c>
      <c r="U1300" s="1310" t="s">
        <v>1644</v>
      </c>
      <c r="V1300" s="1310" t="s">
        <v>1632</v>
      </c>
      <c r="W1300" s="1310" t="s">
        <v>1600</v>
      </c>
      <c r="X1300" s="1310" t="s">
        <v>1509</v>
      </c>
      <c r="Y1300" s="1310" t="s">
        <v>1554</v>
      </c>
      <c r="Z1300" s="1310" t="s">
        <v>1452</v>
      </c>
      <c r="AA1300" s="1310" t="s">
        <v>1621</v>
      </c>
      <c r="AB1300" s="1310" t="s">
        <v>1541</v>
      </c>
      <c r="AC1300" s="1310" t="s">
        <v>1444</v>
      </c>
      <c r="AD1300" s="1310" t="s">
        <v>465</v>
      </c>
      <c r="AE1300" s="1310" t="s">
        <v>114</v>
      </c>
      <c r="AF1300" s="1310" t="s">
        <v>1488</v>
      </c>
    </row>
    <row r="1301" spans="1:32" x14ac:dyDescent="0.3">
      <c r="A1301" s="1310" t="s">
        <v>1443</v>
      </c>
      <c r="B1301" s="1310" t="s">
        <v>1569</v>
      </c>
      <c r="C1301" s="1310" t="s">
        <v>1571</v>
      </c>
      <c r="D1301" s="1310" t="s">
        <v>1562</v>
      </c>
      <c r="E1301" s="1310" t="s">
        <v>1452</v>
      </c>
      <c r="F1301" s="1310" t="s">
        <v>1621</v>
      </c>
      <c r="G1301" s="1310" t="s">
        <v>1541</v>
      </c>
      <c r="H1301" s="1310" t="s">
        <v>1444</v>
      </c>
      <c r="I1301" s="1310" t="s">
        <v>465</v>
      </c>
      <c r="J1301" s="1310" t="s">
        <v>114</v>
      </c>
      <c r="K1301" s="1310" t="s">
        <v>1488</v>
      </c>
      <c r="L1301" s="1310" t="s">
        <v>1455</v>
      </c>
      <c r="M1301" s="1310" t="s">
        <v>1635</v>
      </c>
      <c r="N1301" s="1310" t="s">
        <v>1549</v>
      </c>
      <c r="O1301" s="1310" t="s">
        <v>1644</v>
      </c>
      <c r="P1301" s="1310" t="s">
        <v>1632</v>
      </c>
      <c r="Q1301" s="1310" t="s">
        <v>1600</v>
      </c>
      <c r="R1301" s="1310" t="s">
        <v>1509</v>
      </c>
      <c r="S1301" s="1310" t="s">
        <v>1554</v>
      </c>
      <c r="T1301" s="1310" t="s">
        <v>1452</v>
      </c>
      <c r="U1301" s="1310" t="s">
        <v>1621</v>
      </c>
      <c r="V1301" s="1310" t="s">
        <v>1541</v>
      </c>
      <c r="W1301" s="1310" t="s">
        <v>1444</v>
      </c>
      <c r="X1301" s="1310" t="s">
        <v>465</v>
      </c>
      <c r="Y1301" s="1310" t="s">
        <v>132</v>
      </c>
      <c r="Z1301" s="1310" t="s">
        <v>1641</v>
      </c>
      <c r="AA1301" s="1310" t="s">
        <v>1636</v>
      </c>
      <c r="AB1301" s="1310" t="s">
        <v>1480</v>
      </c>
      <c r="AC1301" s="1310" t="s">
        <v>1580</v>
      </c>
      <c r="AD1301" s="1310" t="s">
        <v>132</v>
      </c>
      <c r="AE1301" s="1310" t="s">
        <v>1443</v>
      </c>
      <c r="AF1301" s="1310" t="s">
        <v>1450</v>
      </c>
    </row>
    <row r="1302" spans="1:32" x14ac:dyDescent="0.3">
      <c r="A1302" s="1310" t="s">
        <v>1626</v>
      </c>
      <c r="B1302" s="1310" t="s">
        <v>1571</v>
      </c>
      <c r="C1302" s="1310" t="s">
        <v>1517</v>
      </c>
      <c r="D1302" s="1310" t="s">
        <v>131</v>
      </c>
      <c r="E1302" s="1310" t="s">
        <v>1616</v>
      </c>
      <c r="F1302" s="1310" t="s">
        <v>1660</v>
      </c>
      <c r="G1302" s="1310" t="s">
        <v>1566</v>
      </c>
      <c r="H1302" s="1310" t="s">
        <v>1489</v>
      </c>
      <c r="I1302" s="1310" t="s">
        <v>1636</v>
      </c>
      <c r="J1302" s="1310" t="s">
        <v>1595</v>
      </c>
      <c r="K1302" s="1310" t="s">
        <v>270</v>
      </c>
      <c r="L1302" s="1310" t="s">
        <v>1513</v>
      </c>
      <c r="M1302" s="1310" t="s">
        <v>1583</v>
      </c>
      <c r="N1302" s="1310" t="s">
        <v>1576</v>
      </c>
      <c r="O1302" s="1310" t="s">
        <v>1536</v>
      </c>
      <c r="P1302" s="1310" t="s">
        <v>1030</v>
      </c>
      <c r="Q1302" s="1310" t="s">
        <v>1483</v>
      </c>
      <c r="R1302" s="1310" t="s">
        <v>1591</v>
      </c>
      <c r="S1302" s="1310" t="s">
        <v>1519</v>
      </c>
      <c r="T1302" s="1310" t="s">
        <v>1513</v>
      </c>
      <c r="U1302" s="1310" t="s">
        <v>1563</v>
      </c>
      <c r="V1302" s="1310" t="s">
        <v>1483</v>
      </c>
      <c r="W1302" s="1310" t="s">
        <v>118</v>
      </c>
      <c r="X1302" s="1310" t="s">
        <v>1608</v>
      </c>
      <c r="Y1302" s="1310" t="s">
        <v>127</v>
      </c>
      <c r="Z1302" s="1310" t="s">
        <v>1515</v>
      </c>
      <c r="AA1302" s="1310" t="s">
        <v>1652</v>
      </c>
      <c r="AB1302" s="1310" t="s">
        <v>471</v>
      </c>
      <c r="AC1302" s="1310" t="s">
        <v>1657</v>
      </c>
      <c r="AD1302" s="1310" t="s">
        <v>115</v>
      </c>
      <c r="AE1302" s="1310" t="s">
        <v>1558</v>
      </c>
      <c r="AF1302" s="1310" t="s">
        <v>1625</v>
      </c>
    </row>
    <row r="1303" spans="1:32" x14ac:dyDescent="0.3">
      <c r="A1303" s="1310" t="s">
        <v>1543</v>
      </c>
      <c r="B1303" s="1310" t="s">
        <v>1617</v>
      </c>
      <c r="C1303" s="1310" t="s">
        <v>1609</v>
      </c>
      <c r="D1303" s="1310" t="s">
        <v>1529</v>
      </c>
      <c r="E1303" s="1310" t="s">
        <v>1482</v>
      </c>
      <c r="F1303" s="1310" t="s">
        <v>1514</v>
      </c>
      <c r="G1303" s="1310" t="s">
        <v>1449</v>
      </c>
      <c r="H1303" s="1310" t="s">
        <v>1454</v>
      </c>
      <c r="I1303" s="1310" t="s">
        <v>1608</v>
      </c>
      <c r="J1303" s="1310" t="s">
        <v>1594</v>
      </c>
      <c r="K1303" s="1310" t="s">
        <v>1588</v>
      </c>
      <c r="L1303" s="1310" t="s">
        <v>1635</v>
      </c>
      <c r="M1303" s="1310" t="s">
        <v>1617</v>
      </c>
      <c r="N1303" s="1310" t="s">
        <v>1547</v>
      </c>
      <c r="O1303" s="1310" t="s">
        <v>124</v>
      </c>
      <c r="P1303" s="1310" t="s">
        <v>1475</v>
      </c>
      <c r="Q1303" s="1310" t="s">
        <v>1557</v>
      </c>
      <c r="R1303" s="1310" t="s">
        <v>1496</v>
      </c>
      <c r="S1303" s="1310" t="s">
        <v>1464</v>
      </c>
      <c r="T1303" s="1310" t="s">
        <v>1566</v>
      </c>
      <c r="U1303" s="1310" t="s">
        <v>1585</v>
      </c>
      <c r="V1303" s="1310" t="s">
        <v>1489</v>
      </c>
      <c r="W1303" s="1310" t="s">
        <v>1573</v>
      </c>
      <c r="X1303" s="1310" t="s">
        <v>1591</v>
      </c>
      <c r="Y1303" s="1310" t="s">
        <v>1633</v>
      </c>
      <c r="Z1303" s="1310" t="s">
        <v>1464</v>
      </c>
      <c r="AA1303" s="1310" t="s">
        <v>1631</v>
      </c>
      <c r="AB1303" s="1310" t="s">
        <v>1598</v>
      </c>
      <c r="AC1303" s="1310" t="s">
        <v>1449</v>
      </c>
      <c r="AD1303" s="1310" t="s">
        <v>110</v>
      </c>
      <c r="AE1303" s="1310" t="s">
        <v>1615</v>
      </c>
      <c r="AF1303" s="1310" t="s">
        <v>1506</v>
      </c>
    </row>
    <row r="1304" spans="1:32" x14ac:dyDescent="0.3">
      <c r="A1304" s="1310" t="s">
        <v>1619</v>
      </c>
      <c r="B1304" s="1310" t="s">
        <v>1575</v>
      </c>
      <c r="C1304" s="1310" t="s">
        <v>1551</v>
      </c>
      <c r="D1304" s="1310" t="s">
        <v>1587</v>
      </c>
      <c r="E1304" s="1310" t="s">
        <v>1535</v>
      </c>
      <c r="F1304" s="1310" t="s">
        <v>1522</v>
      </c>
      <c r="G1304" s="1310" t="s">
        <v>1608</v>
      </c>
      <c r="H1304" s="1310" t="s">
        <v>1658</v>
      </c>
      <c r="I1304" s="1310" t="s">
        <v>125</v>
      </c>
      <c r="J1304" s="1310" t="s">
        <v>1548</v>
      </c>
      <c r="K1304" s="1310" t="s">
        <v>1581</v>
      </c>
      <c r="L1304" s="1310" t="s">
        <v>1464</v>
      </c>
      <c r="M1304" s="1310" t="s">
        <v>1539</v>
      </c>
      <c r="N1304" s="1310" t="s">
        <v>1507</v>
      </c>
      <c r="O1304" s="1310" t="s">
        <v>1610</v>
      </c>
      <c r="P1304" s="1310" t="s">
        <v>1557</v>
      </c>
      <c r="Q1304" s="1310" t="s">
        <v>1609</v>
      </c>
      <c r="R1304" s="1310" t="s">
        <v>1566</v>
      </c>
      <c r="S1304" s="1310" t="s">
        <v>266</v>
      </c>
      <c r="T1304" s="1310" t="s">
        <v>1541</v>
      </c>
      <c r="U1304" s="1310" t="s">
        <v>1505</v>
      </c>
      <c r="V1304" s="1310" t="s">
        <v>1574</v>
      </c>
      <c r="W1304" s="1310" t="s">
        <v>1640</v>
      </c>
      <c r="X1304" s="1310" t="s">
        <v>1553</v>
      </c>
      <c r="Y1304" s="1310" t="s">
        <v>1596</v>
      </c>
      <c r="Z1304" s="1310" t="s">
        <v>1480</v>
      </c>
      <c r="AA1304" s="1310" t="s">
        <v>1515</v>
      </c>
      <c r="AB1304" s="1310" t="s">
        <v>1597</v>
      </c>
      <c r="AC1304" s="1310" t="s">
        <v>1587</v>
      </c>
      <c r="AD1304" s="1310" t="s">
        <v>1595</v>
      </c>
      <c r="AE1304" s="1310" t="s">
        <v>1465</v>
      </c>
      <c r="AF1304" s="1310" t="s">
        <v>1477</v>
      </c>
    </row>
    <row r="1305" spans="1:32" x14ac:dyDescent="0.3">
      <c r="A1305" s="1310" t="s">
        <v>1539</v>
      </c>
      <c r="B1305" s="1310" t="s">
        <v>1601</v>
      </c>
      <c r="C1305" s="1310" t="s">
        <v>1620</v>
      </c>
      <c r="D1305" s="1310" t="s">
        <v>1625</v>
      </c>
      <c r="E1305" s="1310" t="s">
        <v>1499</v>
      </c>
      <c r="F1305" s="1310" t="s">
        <v>1650</v>
      </c>
      <c r="G1305" s="1310" t="s">
        <v>262</v>
      </c>
      <c r="H1305" s="1310" t="s">
        <v>1574</v>
      </c>
      <c r="I1305" s="1310" t="s">
        <v>1609</v>
      </c>
      <c r="J1305" s="1310" t="s">
        <v>1458</v>
      </c>
      <c r="K1305" s="1310" t="s">
        <v>1494</v>
      </c>
      <c r="L1305" s="1310" t="s">
        <v>268</v>
      </c>
      <c r="M1305" s="1310" t="s">
        <v>1446</v>
      </c>
      <c r="N1305" s="1310" t="s">
        <v>1463</v>
      </c>
      <c r="O1305" s="1310" t="s">
        <v>1465</v>
      </c>
      <c r="P1305" s="1310" t="s">
        <v>1650</v>
      </c>
      <c r="Q1305" s="1310" t="s">
        <v>1528</v>
      </c>
      <c r="R1305" s="1310" t="s">
        <v>1655</v>
      </c>
      <c r="S1305" s="1310" t="s">
        <v>1467</v>
      </c>
      <c r="T1305" s="1310" t="s">
        <v>1621</v>
      </c>
      <c r="U1305" s="1310" t="s">
        <v>1541</v>
      </c>
      <c r="V1305" s="1310" t="s">
        <v>1543</v>
      </c>
      <c r="W1305" s="1310" t="s">
        <v>1474</v>
      </c>
      <c r="X1305" s="1310" t="s">
        <v>115</v>
      </c>
      <c r="Y1305" s="1310" t="s">
        <v>1460</v>
      </c>
      <c r="Z1305" s="1310" t="s">
        <v>1521</v>
      </c>
      <c r="AA1305" s="1310" t="s">
        <v>1472</v>
      </c>
      <c r="AB1305" s="1310" t="s">
        <v>1532</v>
      </c>
      <c r="AC1305" s="1310" t="s">
        <v>1463</v>
      </c>
      <c r="AD1305" s="1310" t="s">
        <v>1583</v>
      </c>
      <c r="AE1305" s="1310" t="s">
        <v>1617</v>
      </c>
      <c r="AF1305" s="1310" t="s">
        <v>1631</v>
      </c>
    </row>
    <row r="1306" spans="1:32" x14ac:dyDescent="0.3">
      <c r="A1306" s="1310" t="s">
        <v>1548</v>
      </c>
      <c r="B1306" s="1310" t="s">
        <v>123</v>
      </c>
      <c r="C1306" s="1310" t="s">
        <v>1548</v>
      </c>
      <c r="D1306" s="1310" t="s">
        <v>1573</v>
      </c>
      <c r="E1306" s="1310" t="s">
        <v>1561</v>
      </c>
      <c r="F1306" s="1310" t="s">
        <v>6</v>
      </c>
      <c r="G1306" s="1310" t="s">
        <v>1532</v>
      </c>
      <c r="H1306" s="1310" t="s">
        <v>1641</v>
      </c>
      <c r="I1306" s="1310" t="s">
        <v>1645</v>
      </c>
      <c r="J1306" s="1310" t="s">
        <v>1630</v>
      </c>
      <c r="K1306" s="1310" t="s">
        <v>1449</v>
      </c>
      <c r="L1306" s="1310" t="s">
        <v>1609</v>
      </c>
      <c r="M1306" s="1310" t="s">
        <v>1549</v>
      </c>
      <c r="N1306" s="1310" t="s">
        <v>1646</v>
      </c>
      <c r="O1306" s="1310" t="s">
        <v>1549</v>
      </c>
      <c r="P1306" s="1310" t="s">
        <v>1660</v>
      </c>
      <c r="Q1306" s="1310" t="s">
        <v>1617</v>
      </c>
      <c r="R1306" s="1310" t="s">
        <v>1550</v>
      </c>
      <c r="S1306" s="1310" t="s">
        <v>1636</v>
      </c>
      <c r="T1306" s="1310" t="s">
        <v>1629</v>
      </c>
      <c r="U1306" s="1310" t="s">
        <v>133</v>
      </c>
      <c r="V1306" s="1310" t="s">
        <v>1613</v>
      </c>
      <c r="W1306" s="1310" t="s">
        <v>1607</v>
      </c>
      <c r="X1306" s="1310" t="s">
        <v>1496</v>
      </c>
      <c r="Y1306" s="1310" t="s">
        <v>1656</v>
      </c>
      <c r="Z1306" s="1310" t="s">
        <v>1473</v>
      </c>
      <c r="AA1306" s="1310" t="s">
        <v>1447</v>
      </c>
      <c r="AB1306" s="1310" t="s">
        <v>1503</v>
      </c>
      <c r="AC1306" s="1310" t="s">
        <v>1587</v>
      </c>
      <c r="AD1306" s="1310" t="s">
        <v>1562</v>
      </c>
      <c r="AE1306" s="1310" t="s">
        <v>1646</v>
      </c>
      <c r="AF1306" s="1310" t="s">
        <v>1618</v>
      </c>
    </row>
    <row r="1307" spans="1:32" x14ac:dyDescent="0.3">
      <c r="A1307" s="1310" t="s">
        <v>1587</v>
      </c>
      <c r="B1307" s="1310" t="s">
        <v>1525</v>
      </c>
      <c r="C1307" s="1310" t="s">
        <v>1545</v>
      </c>
      <c r="D1307" s="1310" t="s">
        <v>1539</v>
      </c>
      <c r="E1307" s="1310" t="s">
        <v>266</v>
      </c>
      <c r="F1307" s="1310" t="s">
        <v>1628</v>
      </c>
      <c r="G1307" s="1310" t="s">
        <v>1623</v>
      </c>
      <c r="H1307" s="1310" t="s">
        <v>112</v>
      </c>
      <c r="I1307" s="1310" t="s">
        <v>1630</v>
      </c>
      <c r="J1307" s="1310" t="s">
        <v>1486</v>
      </c>
      <c r="K1307" s="1310" t="s">
        <v>1613</v>
      </c>
      <c r="L1307" s="1310" t="s">
        <v>1624</v>
      </c>
      <c r="M1307" s="1310" t="s">
        <v>1459</v>
      </c>
      <c r="N1307" s="1310" t="s">
        <v>1652</v>
      </c>
      <c r="O1307" s="1310" t="s">
        <v>1592</v>
      </c>
      <c r="P1307" s="1310" t="s">
        <v>1568</v>
      </c>
      <c r="Q1307" s="1310" t="s">
        <v>1494</v>
      </c>
      <c r="R1307" s="1310" t="s">
        <v>1502</v>
      </c>
      <c r="S1307" s="1310" t="s">
        <v>266</v>
      </c>
      <c r="T1307" s="1310" t="s">
        <v>1638</v>
      </c>
      <c r="U1307" s="1310" t="s">
        <v>133</v>
      </c>
      <c r="V1307" s="1310" t="s">
        <v>119</v>
      </c>
      <c r="W1307" s="1310" t="s">
        <v>1628</v>
      </c>
      <c r="X1307" s="1310" t="s">
        <v>1628</v>
      </c>
      <c r="Y1307" s="1310" t="s">
        <v>1635</v>
      </c>
      <c r="Z1307" s="1310" t="s">
        <v>1467</v>
      </c>
      <c r="AA1307" s="1310" t="s">
        <v>1571</v>
      </c>
      <c r="AB1307" s="1310" t="s">
        <v>1549</v>
      </c>
      <c r="AC1307" s="1310" t="s">
        <v>1530</v>
      </c>
      <c r="AD1307" s="1310" t="s">
        <v>1511</v>
      </c>
      <c r="AE1307" s="1310" t="s">
        <v>1645</v>
      </c>
      <c r="AF1307" s="1310" t="s">
        <v>1615</v>
      </c>
    </row>
    <row r="1308" spans="1:32" x14ac:dyDescent="0.3">
      <c r="A1308" s="1310" t="s">
        <v>1571</v>
      </c>
      <c r="B1308" s="1310" t="s">
        <v>1549</v>
      </c>
      <c r="C1308" s="1310" t="s">
        <v>1519</v>
      </c>
      <c r="D1308" s="1310" t="s">
        <v>130</v>
      </c>
      <c r="E1308" s="1310" t="s">
        <v>1638</v>
      </c>
      <c r="F1308" s="1310" t="s">
        <v>1506</v>
      </c>
      <c r="G1308" s="1310" t="s">
        <v>1647</v>
      </c>
      <c r="H1308" s="1310" t="s">
        <v>1560</v>
      </c>
      <c r="I1308" s="1310" t="s">
        <v>1452</v>
      </c>
      <c r="J1308" s="1310" t="s">
        <v>1583</v>
      </c>
      <c r="K1308" s="1310" t="s">
        <v>1577</v>
      </c>
      <c r="L1308" s="1310" t="s">
        <v>1588</v>
      </c>
      <c r="M1308" s="1310" t="s">
        <v>123</v>
      </c>
      <c r="N1308" s="1310" t="s">
        <v>1499</v>
      </c>
      <c r="O1308" s="1310" t="s">
        <v>1455</v>
      </c>
      <c r="P1308" s="1310" t="s">
        <v>1628</v>
      </c>
      <c r="Q1308" s="1310" t="s">
        <v>1448</v>
      </c>
      <c r="R1308" s="1310" t="s">
        <v>1548</v>
      </c>
      <c r="S1308" s="1310" t="s">
        <v>1515</v>
      </c>
      <c r="T1308" s="1310" t="s">
        <v>1516</v>
      </c>
      <c r="U1308" s="1310" t="s">
        <v>130</v>
      </c>
      <c r="V1308" s="1310" t="s">
        <v>1538</v>
      </c>
      <c r="W1308" s="1310" t="s">
        <v>1558</v>
      </c>
      <c r="X1308" s="1310" t="s">
        <v>1620</v>
      </c>
      <c r="Y1308" s="1310" t="s">
        <v>111</v>
      </c>
      <c r="Z1308" s="1310" t="s">
        <v>1550</v>
      </c>
      <c r="AA1308" s="1310" t="s">
        <v>1030</v>
      </c>
      <c r="AB1308" s="1310" t="s">
        <v>1509</v>
      </c>
      <c r="AC1308" s="1310" t="s">
        <v>1653</v>
      </c>
      <c r="AD1308" s="1310" t="s">
        <v>1551</v>
      </c>
      <c r="AE1308" s="1310" t="s">
        <v>1529</v>
      </c>
      <c r="AF1308" s="1310" t="s">
        <v>1589</v>
      </c>
    </row>
    <row r="1309" spans="1:32" x14ac:dyDescent="0.3">
      <c r="A1309" s="1310" t="s">
        <v>1616</v>
      </c>
      <c r="B1309" s="1310" t="s">
        <v>1511</v>
      </c>
      <c r="C1309" s="1310" t="s">
        <v>1463</v>
      </c>
      <c r="D1309" s="1310" t="s">
        <v>1629</v>
      </c>
      <c r="E1309" s="1310" t="s">
        <v>1541</v>
      </c>
      <c r="F1309" s="1310" t="s">
        <v>1027</v>
      </c>
      <c r="G1309" s="1310" t="s">
        <v>1541</v>
      </c>
      <c r="H1309" s="1310" t="s">
        <v>1659</v>
      </c>
      <c r="I1309" s="1310" t="s">
        <v>1030</v>
      </c>
      <c r="J1309" s="1310" t="s">
        <v>1499</v>
      </c>
      <c r="K1309" s="1310" t="s">
        <v>1500</v>
      </c>
      <c r="L1309" s="1310" t="s">
        <v>1616</v>
      </c>
      <c r="M1309" s="1310" t="s">
        <v>1448</v>
      </c>
      <c r="N1309" s="1310" t="s">
        <v>1500</v>
      </c>
      <c r="O1309" s="1310" t="s">
        <v>1602</v>
      </c>
      <c r="P1309" s="1310" t="s">
        <v>1498</v>
      </c>
      <c r="Q1309" s="1310" t="s">
        <v>1641</v>
      </c>
      <c r="R1309" s="1310" t="s">
        <v>1653</v>
      </c>
      <c r="S1309" s="1310" t="s">
        <v>1463</v>
      </c>
      <c r="T1309" s="1310" t="s">
        <v>1595</v>
      </c>
      <c r="U1309" s="1310" t="s">
        <v>1502</v>
      </c>
      <c r="V1309" s="1310" t="s">
        <v>1482</v>
      </c>
      <c r="W1309" s="1310" t="s">
        <v>1619</v>
      </c>
      <c r="X1309" s="1310" t="s">
        <v>1630</v>
      </c>
      <c r="Y1309" s="1310" t="s">
        <v>1551</v>
      </c>
      <c r="Z1309" s="1310" t="s">
        <v>1583</v>
      </c>
      <c r="AA1309" s="1310" t="s">
        <v>117</v>
      </c>
      <c r="AB1309" s="1310" t="s">
        <v>1602</v>
      </c>
      <c r="AC1309" s="1310" t="s">
        <v>1543</v>
      </c>
      <c r="AD1309" s="1310" t="s">
        <v>1460</v>
      </c>
      <c r="AE1309" s="1310" t="s">
        <v>1454</v>
      </c>
      <c r="AF1309" s="1310" t="s">
        <v>1569</v>
      </c>
    </row>
    <row r="1310" spans="1:32" x14ac:dyDescent="0.3">
      <c r="A1310" s="1310" t="s">
        <v>1486</v>
      </c>
      <c r="B1310" s="1310" t="s">
        <v>1510</v>
      </c>
      <c r="C1310" s="1310" t="s">
        <v>1483</v>
      </c>
      <c r="D1310" s="1310" t="s">
        <v>131</v>
      </c>
      <c r="E1310" s="1310" t="s">
        <v>1583</v>
      </c>
      <c r="F1310" s="1310" t="s">
        <v>1617</v>
      </c>
      <c r="G1310" s="1310" t="s">
        <v>1633</v>
      </c>
      <c r="H1310" s="1310" t="s">
        <v>112</v>
      </c>
      <c r="I1310" s="1310" t="s">
        <v>1660</v>
      </c>
      <c r="J1310" s="1310" t="s">
        <v>1571</v>
      </c>
      <c r="K1310" s="1310" t="s">
        <v>1501</v>
      </c>
      <c r="L1310" s="1310" t="s">
        <v>1550</v>
      </c>
      <c r="M1310" s="1310" t="s">
        <v>1444</v>
      </c>
      <c r="N1310" s="1310" t="s">
        <v>1532</v>
      </c>
      <c r="O1310" s="1310" t="s">
        <v>1610</v>
      </c>
      <c r="P1310" s="1310" t="s">
        <v>1562</v>
      </c>
      <c r="Q1310" s="1310" t="s">
        <v>1464</v>
      </c>
      <c r="R1310" s="1310" t="s">
        <v>1562</v>
      </c>
      <c r="S1310" s="1310" t="s">
        <v>1488</v>
      </c>
      <c r="T1310" s="1310" t="s">
        <v>1574</v>
      </c>
      <c r="U1310" s="1310" t="s">
        <v>1483</v>
      </c>
      <c r="V1310" s="1310" t="s">
        <v>1530</v>
      </c>
      <c r="W1310" s="1310" t="s">
        <v>1649</v>
      </c>
      <c r="X1310" s="1310" t="s">
        <v>1533</v>
      </c>
      <c r="Y1310" s="1310" t="s">
        <v>1474</v>
      </c>
      <c r="Z1310" s="1310" t="s">
        <v>1532</v>
      </c>
      <c r="AA1310" s="1310" t="s">
        <v>1562</v>
      </c>
      <c r="AB1310" s="1310" t="s">
        <v>1543</v>
      </c>
      <c r="AC1310" s="1310" t="s">
        <v>1480</v>
      </c>
      <c r="AD1310" s="1310" t="s">
        <v>1622</v>
      </c>
      <c r="AE1310" s="1310" t="s">
        <v>268</v>
      </c>
      <c r="AF1310" s="1310" t="s">
        <v>1503</v>
      </c>
    </row>
    <row r="1311" spans="1:32" x14ac:dyDescent="0.3">
      <c r="A1311" s="1310" t="s">
        <v>1497</v>
      </c>
      <c r="B1311" s="1310" t="s">
        <v>1651</v>
      </c>
      <c r="C1311" s="1310" t="s">
        <v>465</v>
      </c>
      <c r="D1311" s="1310" t="s">
        <v>1472</v>
      </c>
      <c r="E1311" s="1310" t="s">
        <v>1544</v>
      </c>
      <c r="F1311" s="1310" t="s">
        <v>1559</v>
      </c>
      <c r="G1311" s="1310" t="s">
        <v>1490</v>
      </c>
      <c r="H1311" s="1310" t="s">
        <v>1477</v>
      </c>
      <c r="I1311" s="1310" t="s">
        <v>1556</v>
      </c>
      <c r="J1311" s="1310" t="s">
        <v>1619</v>
      </c>
      <c r="K1311" s="1310" t="s">
        <v>1525</v>
      </c>
      <c r="L1311" s="1310" t="s">
        <v>1494</v>
      </c>
      <c r="M1311" s="1310" t="s">
        <v>114</v>
      </c>
      <c r="N1311" s="1310" t="s">
        <v>126</v>
      </c>
      <c r="O1311" s="1310" t="s">
        <v>1558</v>
      </c>
      <c r="P1311" s="1310" t="s">
        <v>265</v>
      </c>
      <c r="Q1311" s="1310" t="s">
        <v>1547</v>
      </c>
      <c r="R1311" s="1310" t="s">
        <v>1485</v>
      </c>
      <c r="S1311" s="1310" t="s">
        <v>1489</v>
      </c>
      <c r="T1311" s="1310" t="s">
        <v>1522</v>
      </c>
      <c r="U1311" s="1310" t="s">
        <v>262</v>
      </c>
      <c r="V1311" s="1310" t="s">
        <v>1030</v>
      </c>
      <c r="W1311" s="1310" t="s">
        <v>1485</v>
      </c>
      <c r="X1311" s="1310" t="s">
        <v>1588</v>
      </c>
      <c r="Y1311" s="1310" t="s">
        <v>1493</v>
      </c>
      <c r="Z1311" s="1310" t="s">
        <v>1562</v>
      </c>
      <c r="AA1311" s="1310" t="s">
        <v>123</v>
      </c>
      <c r="AB1311" s="1310" t="s">
        <v>1490</v>
      </c>
      <c r="AC1311" s="1310" t="s">
        <v>1459</v>
      </c>
      <c r="AD1311" s="1310" t="s">
        <v>1630</v>
      </c>
      <c r="AE1311" s="1310" t="s">
        <v>1653</v>
      </c>
      <c r="AF1311" s="1310" t="s">
        <v>1541</v>
      </c>
    </row>
    <row r="1312" spans="1:32" x14ac:dyDescent="0.3">
      <c r="A1312" s="1310" t="s">
        <v>1467</v>
      </c>
      <c r="B1312" s="1310" t="s">
        <v>1510</v>
      </c>
      <c r="C1312" s="1310" t="s">
        <v>1549</v>
      </c>
      <c r="D1312" s="1310" t="s">
        <v>1630</v>
      </c>
      <c r="E1312" s="1310" t="s">
        <v>1535</v>
      </c>
      <c r="F1312" s="1310" t="s">
        <v>1646</v>
      </c>
      <c r="G1312" s="1310" t="s">
        <v>1498</v>
      </c>
      <c r="H1312" s="1310" t="s">
        <v>127</v>
      </c>
      <c r="I1312" s="1310" t="s">
        <v>1615</v>
      </c>
      <c r="J1312" s="1310" t="s">
        <v>1482</v>
      </c>
      <c r="K1312" s="1310" t="s">
        <v>1645</v>
      </c>
      <c r="L1312" s="1310" t="s">
        <v>1538</v>
      </c>
      <c r="M1312" s="1310" t="s">
        <v>1569</v>
      </c>
      <c r="N1312" s="1310" t="s">
        <v>1490</v>
      </c>
      <c r="O1312" s="1310" t="s">
        <v>1637</v>
      </c>
      <c r="P1312" s="1310" t="s">
        <v>126</v>
      </c>
      <c r="Q1312" s="1310" t="s">
        <v>1601</v>
      </c>
      <c r="R1312" s="1310" t="s">
        <v>465</v>
      </c>
      <c r="S1312" s="1310" t="s">
        <v>1653</v>
      </c>
      <c r="T1312" s="1310" t="s">
        <v>112</v>
      </c>
      <c r="U1312" s="1310" t="s">
        <v>1521</v>
      </c>
      <c r="V1312" s="1310" t="s">
        <v>1475</v>
      </c>
      <c r="W1312" s="1310" t="s">
        <v>1539</v>
      </c>
      <c r="X1312" s="1310" t="s">
        <v>1603</v>
      </c>
      <c r="Y1312" s="1310" t="s">
        <v>1628</v>
      </c>
      <c r="Z1312" s="1310" t="s">
        <v>1596</v>
      </c>
      <c r="AA1312" s="1310" t="s">
        <v>1546</v>
      </c>
      <c r="AB1312" s="1310" t="s">
        <v>1470</v>
      </c>
      <c r="AC1312" s="1310" t="s">
        <v>126</v>
      </c>
      <c r="AD1312" s="1310" t="s">
        <v>1601</v>
      </c>
      <c r="AE1312" s="1310" t="s">
        <v>112</v>
      </c>
      <c r="AF1312" s="1310" t="s">
        <v>1633</v>
      </c>
    </row>
    <row r="1313" spans="1:32" x14ac:dyDescent="0.3">
      <c r="A1313" s="1310" t="s">
        <v>113</v>
      </c>
      <c r="B1313" s="1310" t="s">
        <v>1481</v>
      </c>
      <c r="C1313" s="1310" t="s">
        <v>1570</v>
      </c>
      <c r="D1313" s="1310" t="s">
        <v>1493</v>
      </c>
      <c r="E1313" s="1310" t="s">
        <v>1555</v>
      </c>
      <c r="F1313" s="1310" t="s">
        <v>1623</v>
      </c>
      <c r="G1313" s="1310" t="s">
        <v>1588</v>
      </c>
      <c r="H1313" s="1310" t="s">
        <v>114</v>
      </c>
      <c r="I1313" s="1310" t="s">
        <v>1517</v>
      </c>
      <c r="J1313" s="1310" t="s">
        <v>1533</v>
      </c>
      <c r="K1313" s="1310" t="s">
        <v>1474</v>
      </c>
      <c r="L1313" s="1310" t="s">
        <v>1465</v>
      </c>
      <c r="M1313" s="1310" t="s">
        <v>1579</v>
      </c>
      <c r="N1313" s="1310" t="s">
        <v>1591</v>
      </c>
      <c r="O1313" s="1310" t="s">
        <v>118</v>
      </c>
      <c r="P1313" s="1310" t="s">
        <v>1643</v>
      </c>
      <c r="Q1313" s="1310" t="s">
        <v>1523</v>
      </c>
      <c r="R1313" s="1310" t="s">
        <v>1467</v>
      </c>
      <c r="S1313" s="1310" t="s">
        <v>1542</v>
      </c>
      <c r="T1313" s="1310" t="s">
        <v>263</v>
      </c>
      <c r="U1313" s="1310" t="s">
        <v>1620</v>
      </c>
      <c r="V1313" s="1310" t="s">
        <v>1561</v>
      </c>
      <c r="W1313" s="1310" t="s">
        <v>122</v>
      </c>
      <c r="X1313" s="1310" t="s">
        <v>1511</v>
      </c>
      <c r="Y1313" s="1310" t="s">
        <v>1448</v>
      </c>
      <c r="Z1313" s="1310" t="s">
        <v>1550</v>
      </c>
      <c r="AA1313" s="1310" t="s">
        <v>1551</v>
      </c>
      <c r="AB1313" s="1310" t="s">
        <v>1615</v>
      </c>
      <c r="AC1313" s="1310" t="s">
        <v>117</v>
      </c>
      <c r="AD1313" s="1310" t="s">
        <v>6</v>
      </c>
      <c r="AE1313" s="1310" t="s">
        <v>1602</v>
      </c>
      <c r="AF1313" s="1310" t="s">
        <v>1658</v>
      </c>
    </row>
    <row r="1314" spans="1:32" x14ac:dyDescent="0.3">
      <c r="A1314" s="1310" t="s">
        <v>1637</v>
      </c>
      <c r="B1314" s="1310" t="s">
        <v>1471</v>
      </c>
      <c r="C1314" s="1310" t="s">
        <v>1479</v>
      </c>
      <c r="D1314" s="1310" t="s">
        <v>1604</v>
      </c>
      <c r="E1314" s="1310" t="s">
        <v>115</v>
      </c>
      <c r="F1314" s="1310" t="s">
        <v>110</v>
      </c>
      <c r="G1314" s="1310" t="s">
        <v>1551</v>
      </c>
      <c r="H1314" s="1310" t="s">
        <v>1655</v>
      </c>
      <c r="I1314" s="1310" t="s">
        <v>1608</v>
      </c>
      <c r="J1314" s="1310" t="s">
        <v>1631</v>
      </c>
      <c r="K1314" s="1310" t="s">
        <v>1475</v>
      </c>
      <c r="L1314" s="1310" t="s">
        <v>1491</v>
      </c>
      <c r="M1314" s="1310" t="s">
        <v>1651</v>
      </c>
      <c r="N1314" s="1310" t="s">
        <v>1617</v>
      </c>
      <c r="O1314" s="1310" t="s">
        <v>1527</v>
      </c>
      <c r="P1314" s="1310" t="s">
        <v>1617</v>
      </c>
      <c r="Q1314" s="1310" t="s">
        <v>1503</v>
      </c>
      <c r="R1314" s="1310" t="s">
        <v>465</v>
      </c>
      <c r="S1314" s="1310" t="s">
        <v>1644</v>
      </c>
      <c r="T1314" s="1310" t="s">
        <v>130</v>
      </c>
      <c r="U1314" s="1310" t="s">
        <v>1542</v>
      </c>
      <c r="V1314" s="1310" t="s">
        <v>1631</v>
      </c>
      <c r="W1314" s="1310" t="s">
        <v>1535</v>
      </c>
      <c r="X1314" s="1310" t="s">
        <v>1556</v>
      </c>
      <c r="Y1314" s="1310" t="s">
        <v>1640</v>
      </c>
      <c r="Z1314" s="1310" t="s">
        <v>1459</v>
      </c>
      <c r="AA1314" s="1310" t="s">
        <v>1574</v>
      </c>
      <c r="AB1314" s="1310" t="s">
        <v>1589</v>
      </c>
      <c r="AC1314" s="1310" t="s">
        <v>1527</v>
      </c>
      <c r="AD1314" s="1310" t="s">
        <v>1537</v>
      </c>
      <c r="AE1314" s="1310" t="s">
        <v>264</v>
      </c>
      <c r="AF1314" s="1310" t="s">
        <v>132</v>
      </c>
    </row>
    <row r="1315" spans="1:32" x14ac:dyDescent="0.3">
      <c r="A1315" s="1310" t="s">
        <v>1645</v>
      </c>
      <c r="B1315" s="1310" t="s">
        <v>1523</v>
      </c>
      <c r="C1315" s="1310" t="s">
        <v>1482</v>
      </c>
      <c r="D1315" s="1310" t="s">
        <v>1552</v>
      </c>
      <c r="E1315" s="1310" t="s">
        <v>1563</v>
      </c>
      <c r="F1315" s="1310" t="s">
        <v>1620</v>
      </c>
      <c r="G1315" s="1310" t="s">
        <v>1640</v>
      </c>
      <c r="H1315" s="1310" t="s">
        <v>1487</v>
      </c>
      <c r="I1315" s="1310" t="s">
        <v>1611</v>
      </c>
      <c r="J1315" s="1310" t="s">
        <v>1547</v>
      </c>
      <c r="K1315" s="1310" t="s">
        <v>1641</v>
      </c>
      <c r="L1315" s="1310" t="s">
        <v>1578</v>
      </c>
      <c r="M1315" s="1310" t="s">
        <v>1644</v>
      </c>
      <c r="N1315" s="1310" t="s">
        <v>1504</v>
      </c>
      <c r="O1315" s="1310" t="s">
        <v>1634</v>
      </c>
      <c r="P1315" s="1310" t="s">
        <v>1517</v>
      </c>
      <c r="Q1315" s="1310" t="s">
        <v>1609</v>
      </c>
      <c r="R1315" s="1310" t="s">
        <v>1518</v>
      </c>
      <c r="S1315" s="1310" t="s">
        <v>1472</v>
      </c>
      <c r="T1315" s="1310" t="s">
        <v>1452</v>
      </c>
      <c r="U1315" s="1310" t="s">
        <v>1633</v>
      </c>
      <c r="V1315" s="1310" t="s">
        <v>1593</v>
      </c>
      <c r="W1315" s="1310" t="s">
        <v>1626</v>
      </c>
      <c r="X1315" s="1310" t="s">
        <v>1468</v>
      </c>
      <c r="Y1315" s="1310" t="s">
        <v>1548</v>
      </c>
      <c r="Z1315" s="1310" t="s">
        <v>1660</v>
      </c>
      <c r="AA1315" s="1310" t="s">
        <v>115</v>
      </c>
      <c r="AB1315" s="1310" t="s">
        <v>1650</v>
      </c>
      <c r="AC1315" s="1310" t="s">
        <v>128</v>
      </c>
      <c r="AD1315" s="1310" t="s">
        <v>1635</v>
      </c>
      <c r="AE1315" s="1310" t="s">
        <v>1474</v>
      </c>
      <c r="AF1315" s="1310" t="s">
        <v>1563</v>
      </c>
    </row>
    <row r="1316" spans="1:32" x14ac:dyDescent="0.3">
      <c r="A1316" s="1310" t="s">
        <v>1617</v>
      </c>
      <c r="B1316" s="1310" t="s">
        <v>1516</v>
      </c>
      <c r="C1316" s="1310" t="s">
        <v>1575</v>
      </c>
      <c r="D1316" s="1310" t="s">
        <v>1660</v>
      </c>
      <c r="E1316" s="1310" t="s">
        <v>1509</v>
      </c>
      <c r="F1316" s="1310" t="s">
        <v>1500</v>
      </c>
      <c r="G1316" s="1310" t="s">
        <v>471</v>
      </c>
      <c r="H1316" s="1310" t="s">
        <v>1589</v>
      </c>
      <c r="I1316" s="1310" t="s">
        <v>1580</v>
      </c>
      <c r="J1316" s="1310" t="s">
        <v>116</v>
      </c>
      <c r="K1316" s="1310" t="s">
        <v>1590</v>
      </c>
      <c r="L1316" s="1310" t="s">
        <v>1468</v>
      </c>
      <c r="M1316" s="1310" t="s">
        <v>1477</v>
      </c>
      <c r="N1316" s="1310" t="s">
        <v>1468</v>
      </c>
      <c r="O1316" s="1310" t="s">
        <v>1619</v>
      </c>
      <c r="P1316" s="1310" t="s">
        <v>124</v>
      </c>
      <c r="Q1316" s="1310" t="s">
        <v>132</v>
      </c>
      <c r="R1316" s="1310" t="s">
        <v>1483</v>
      </c>
      <c r="S1316" s="1310" t="s">
        <v>1653</v>
      </c>
      <c r="T1316" s="1310" t="s">
        <v>1563</v>
      </c>
      <c r="U1316" s="1310" t="s">
        <v>124</v>
      </c>
      <c r="V1316" s="1310" t="s">
        <v>117</v>
      </c>
      <c r="W1316" s="1310" t="s">
        <v>1609</v>
      </c>
      <c r="X1316" s="1310" t="s">
        <v>1623</v>
      </c>
      <c r="Y1316" s="1310" t="s">
        <v>1654</v>
      </c>
      <c r="Z1316" s="1310" t="s">
        <v>1524</v>
      </c>
      <c r="AA1316" s="1310" t="s">
        <v>1516</v>
      </c>
      <c r="AB1316" s="1310" t="s">
        <v>125</v>
      </c>
      <c r="AC1316" s="1310" t="s">
        <v>1470</v>
      </c>
      <c r="AD1316" s="1310" t="s">
        <v>1473</v>
      </c>
      <c r="AE1316" s="1310" t="s">
        <v>1460</v>
      </c>
      <c r="AF1316" s="1310" t="s">
        <v>1452</v>
      </c>
    </row>
    <row r="1317" spans="1:32" x14ac:dyDescent="0.3">
      <c r="A1317" s="1310" t="s">
        <v>1595</v>
      </c>
      <c r="B1317" s="1310" t="s">
        <v>1465</v>
      </c>
      <c r="C1317" s="1310" t="s">
        <v>1517</v>
      </c>
      <c r="D1317" s="1310" t="s">
        <v>1508</v>
      </c>
      <c r="E1317" s="1310" t="s">
        <v>1467</v>
      </c>
      <c r="F1317" s="1310" t="s">
        <v>1534</v>
      </c>
      <c r="G1317" s="1310" t="s">
        <v>1569</v>
      </c>
      <c r="H1317" s="1310" t="s">
        <v>114</v>
      </c>
      <c r="I1317" s="1310" t="s">
        <v>1648</v>
      </c>
      <c r="J1317" s="1310" t="s">
        <v>1469</v>
      </c>
      <c r="K1317" s="1310" t="s">
        <v>1472</v>
      </c>
      <c r="L1317" s="1310" t="s">
        <v>128</v>
      </c>
      <c r="M1317" s="1310" t="s">
        <v>1571</v>
      </c>
      <c r="N1317" s="1310" t="s">
        <v>1463</v>
      </c>
      <c r="O1317" s="1310" t="s">
        <v>1483</v>
      </c>
      <c r="P1317" s="1310" t="s">
        <v>1449</v>
      </c>
      <c r="Q1317" s="1310" t="s">
        <v>1598</v>
      </c>
      <c r="R1317" s="1310" t="s">
        <v>1536</v>
      </c>
      <c r="S1317" s="1310" t="s">
        <v>1474</v>
      </c>
      <c r="T1317" s="1310" t="s">
        <v>1658</v>
      </c>
      <c r="U1317" s="1310" t="s">
        <v>1506</v>
      </c>
      <c r="V1317" s="1310" t="s">
        <v>471</v>
      </c>
      <c r="W1317" s="1310" t="s">
        <v>130</v>
      </c>
      <c r="X1317" s="1310" t="s">
        <v>1614</v>
      </c>
      <c r="Y1317" s="1310" t="s">
        <v>1590</v>
      </c>
      <c r="Z1317" s="1310" t="s">
        <v>1485</v>
      </c>
      <c r="AA1317" s="1310" t="s">
        <v>1496</v>
      </c>
      <c r="AB1317" s="1310" t="s">
        <v>1517</v>
      </c>
      <c r="AC1317" s="1310" t="s">
        <v>1468</v>
      </c>
      <c r="AD1317" s="1310" t="s">
        <v>126</v>
      </c>
      <c r="AE1317" s="1310" t="s">
        <v>1633</v>
      </c>
      <c r="AF1317" s="1310" t="s">
        <v>1649</v>
      </c>
    </row>
    <row r="1318" spans="1:32" x14ac:dyDescent="0.3">
      <c r="A1318" s="1310" t="s">
        <v>1468</v>
      </c>
      <c r="B1318" s="1310" t="s">
        <v>114</v>
      </c>
      <c r="C1318" s="1310" t="s">
        <v>465</v>
      </c>
      <c r="D1318" s="1310" t="s">
        <v>1647</v>
      </c>
      <c r="E1318" s="1310" t="s">
        <v>1624</v>
      </c>
      <c r="F1318" s="1310" t="s">
        <v>1478</v>
      </c>
      <c r="G1318" s="1310" t="s">
        <v>1636</v>
      </c>
      <c r="H1318" s="1310" t="s">
        <v>1530</v>
      </c>
      <c r="I1318" s="1310" t="s">
        <v>1534</v>
      </c>
      <c r="J1318" s="1310" t="s">
        <v>1477</v>
      </c>
      <c r="K1318" s="1310" t="s">
        <v>1548</v>
      </c>
      <c r="L1318" s="1310" t="s">
        <v>1581</v>
      </c>
      <c r="M1318" s="1310" t="s">
        <v>1569</v>
      </c>
      <c r="N1318" s="1310" t="s">
        <v>1493</v>
      </c>
      <c r="O1318" s="1310" t="s">
        <v>118</v>
      </c>
      <c r="P1318" s="1310" t="s">
        <v>1628</v>
      </c>
      <c r="Q1318" s="1310" t="s">
        <v>1563</v>
      </c>
      <c r="R1318" s="1310" t="s">
        <v>465</v>
      </c>
      <c r="S1318" s="1310" t="s">
        <v>1478</v>
      </c>
      <c r="T1318" s="1310" t="s">
        <v>115</v>
      </c>
      <c r="U1318" s="1310" t="s">
        <v>1509</v>
      </c>
      <c r="V1318" s="1310" t="s">
        <v>1448</v>
      </c>
      <c r="W1318" s="1310" t="s">
        <v>1556</v>
      </c>
      <c r="X1318" s="1310" t="s">
        <v>1490</v>
      </c>
      <c r="Y1318" s="1310" t="s">
        <v>1614</v>
      </c>
      <c r="Z1318" s="1310" t="s">
        <v>1449</v>
      </c>
      <c r="AA1318" s="1310" t="s">
        <v>1556</v>
      </c>
      <c r="AB1318" s="1310" t="s">
        <v>1583</v>
      </c>
      <c r="AC1318" s="1310" t="s">
        <v>265</v>
      </c>
      <c r="AD1318" s="1310" t="s">
        <v>1534</v>
      </c>
      <c r="AE1318" s="1310" t="s">
        <v>127</v>
      </c>
      <c r="AF1318" s="1310" t="s">
        <v>1609</v>
      </c>
    </row>
    <row r="1319" spans="1:32" x14ac:dyDescent="0.3">
      <c r="A1319" s="1310" t="s">
        <v>122</v>
      </c>
      <c r="B1319" s="1310" t="s">
        <v>1479</v>
      </c>
      <c r="C1319" s="1310" t="s">
        <v>266</v>
      </c>
      <c r="D1319" s="1310" t="s">
        <v>1612</v>
      </c>
      <c r="E1319" s="1310" t="s">
        <v>117</v>
      </c>
      <c r="F1319" s="1310" t="s">
        <v>1563</v>
      </c>
      <c r="G1319" s="1310" t="s">
        <v>1565</v>
      </c>
      <c r="H1319" s="1310" t="s">
        <v>1557</v>
      </c>
      <c r="I1319" s="1310" t="s">
        <v>1633</v>
      </c>
      <c r="J1319" s="1310" t="s">
        <v>1476</v>
      </c>
      <c r="K1319" s="1310" t="s">
        <v>1615</v>
      </c>
      <c r="L1319" s="1310" t="s">
        <v>1608</v>
      </c>
      <c r="M1319" s="1310" t="s">
        <v>1455</v>
      </c>
      <c r="N1319" s="1310" t="s">
        <v>1562</v>
      </c>
      <c r="O1319" s="1310" t="s">
        <v>1570</v>
      </c>
      <c r="P1319" s="1310" t="s">
        <v>1533</v>
      </c>
      <c r="Q1319" s="1310" t="s">
        <v>1567</v>
      </c>
      <c r="R1319" s="1310" t="s">
        <v>1502</v>
      </c>
      <c r="S1319" s="1310" t="s">
        <v>1505</v>
      </c>
      <c r="T1319" s="1310" t="s">
        <v>1460</v>
      </c>
      <c r="U1319" s="1310" t="s">
        <v>1560</v>
      </c>
      <c r="V1319" s="1310" t="s">
        <v>1514</v>
      </c>
      <c r="W1319" s="1310" t="s">
        <v>1652</v>
      </c>
      <c r="X1319" s="1310" t="s">
        <v>1450</v>
      </c>
      <c r="Y1319" s="1310" t="s">
        <v>1629</v>
      </c>
      <c r="Z1319" s="1310" t="s">
        <v>1460</v>
      </c>
      <c r="AA1319" s="1310" t="s">
        <v>1549</v>
      </c>
      <c r="AB1319" s="1310" t="s">
        <v>1556</v>
      </c>
      <c r="AC1319" s="1310" t="s">
        <v>1587</v>
      </c>
      <c r="AD1319" s="1310" t="s">
        <v>1658</v>
      </c>
      <c r="AE1319" s="1310" t="s">
        <v>1519</v>
      </c>
      <c r="AF1319" s="1310" t="s">
        <v>1568</v>
      </c>
    </row>
    <row r="1320" spans="1:32" x14ac:dyDescent="0.3">
      <c r="A1320" s="1310" t="s">
        <v>1511</v>
      </c>
      <c r="B1320" s="1310" t="s">
        <v>1550</v>
      </c>
      <c r="C1320" s="1310" t="s">
        <v>1639</v>
      </c>
      <c r="D1320" s="1310" t="s">
        <v>1660</v>
      </c>
      <c r="E1320" s="1310" t="s">
        <v>1488</v>
      </c>
      <c r="F1320" s="1310" t="s">
        <v>270</v>
      </c>
      <c r="G1320" s="1310" t="s">
        <v>1619</v>
      </c>
      <c r="H1320" s="1310" t="s">
        <v>1631</v>
      </c>
      <c r="I1320" s="1310" t="s">
        <v>1480</v>
      </c>
      <c r="J1320" s="1310" t="s">
        <v>1590</v>
      </c>
      <c r="K1320" s="1310" t="s">
        <v>1574</v>
      </c>
      <c r="L1320" s="1310" t="s">
        <v>1531</v>
      </c>
      <c r="M1320" s="1310" t="s">
        <v>1653</v>
      </c>
      <c r="N1320" s="1310" t="s">
        <v>1647</v>
      </c>
      <c r="O1320" s="1310" t="s">
        <v>120</v>
      </c>
      <c r="P1320" s="1310" t="s">
        <v>1536</v>
      </c>
      <c r="Q1320" s="1310" t="s">
        <v>1520</v>
      </c>
      <c r="R1320" s="1310" t="s">
        <v>1660</v>
      </c>
      <c r="S1320" s="1310" t="s">
        <v>1515</v>
      </c>
      <c r="T1320" s="1310" t="s">
        <v>267</v>
      </c>
      <c r="U1320" s="1310" t="s">
        <v>1647</v>
      </c>
      <c r="V1320" s="1310" t="s">
        <v>1554</v>
      </c>
      <c r="W1320" s="1310" t="s">
        <v>1608</v>
      </c>
      <c r="X1320" s="1310" t="s">
        <v>1645</v>
      </c>
      <c r="Y1320" s="1310" t="s">
        <v>1524</v>
      </c>
      <c r="Z1320" s="1310" t="s">
        <v>1569</v>
      </c>
      <c r="AA1320" s="1310" t="s">
        <v>1552</v>
      </c>
      <c r="AB1320" s="1310" t="s">
        <v>1501</v>
      </c>
      <c r="AC1320" s="1310" t="s">
        <v>1627</v>
      </c>
      <c r="AD1320" s="1310" t="s">
        <v>1647</v>
      </c>
      <c r="AE1320" s="1310" t="s">
        <v>1599</v>
      </c>
      <c r="AF1320" s="1310" t="s">
        <v>1446</v>
      </c>
    </row>
    <row r="1321" spans="1:32" x14ac:dyDescent="0.3">
      <c r="A1321" s="1310" t="s">
        <v>1542</v>
      </c>
      <c r="B1321" s="1310" t="s">
        <v>1561</v>
      </c>
      <c r="C1321" s="1310" t="s">
        <v>1602</v>
      </c>
      <c r="D1321" s="1310" t="s">
        <v>1528</v>
      </c>
      <c r="E1321" s="1310" t="s">
        <v>1448</v>
      </c>
      <c r="F1321" s="1310" t="s">
        <v>1565</v>
      </c>
      <c r="G1321" s="1310" t="s">
        <v>1619</v>
      </c>
      <c r="H1321" s="1310" t="s">
        <v>1483</v>
      </c>
      <c r="I1321" s="1310" t="s">
        <v>1592</v>
      </c>
      <c r="J1321" s="1310" t="s">
        <v>114</v>
      </c>
      <c r="K1321" s="1310" t="s">
        <v>1584</v>
      </c>
      <c r="L1321" s="1310" t="s">
        <v>1499</v>
      </c>
      <c r="M1321" s="1310" t="s">
        <v>1467</v>
      </c>
      <c r="N1321" s="1310" t="s">
        <v>1504</v>
      </c>
      <c r="O1321" s="1310" t="s">
        <v>1488</v>
      </c>
      <c r="P1321" s="1310" t="s">
        <v>1491</v>
      </c>
      <c r="Q1321" s="1310" t="s">
        <v>1545</v>
      </c>
      <c r="R1321" s="1310" t="s">
        <v>133</v>
      </c>
      <c r="S1321" s="1310" t="s">
        <v>1498</v>
      </c>
      <c r="T1321" s="1310" t="s">
        <v>1591</v>
      </c>
      <c r="U1321" s="1310" t="s">
        <v>1500</v>
      </c>
      <c r="V1321" s="1310" t="s">
        <v>1515</v>
      </c>
      <c r="W1321" s="1310" t="s">
        <v>1481</v>
      </c>
      <c r="X1321" s="1310" t="s">
        <v>131</v>
      </c>
      <c r="Y1321" s="1310" t="s">
        <v>1610</v>
      </c>
      <c r="Z1321" s="1310" t="s">
        <v>1529</v>
      </c>
      <c r="AA1321" s="1310" t="s">
        <v>1607</v>
      </c>
      <c r="AB1321" s="1310" t="s">
        <v>1467</v>
      </c>
      <c r="AC1321" s="1310" t="s">
        <v>1628</v>
      </c>
      <c r="AD1321" s="1310" t="s">
        <v>1545</v>
      </c>
      <c r="AE1321" s="1310" t="s">
        <v>1492</v>
      </c>
      <c r="AF1321" s="1310" t="s">
        <v>1458</v>
      </c>
    </row>
    <row r="1322" spans="1:32" x14ac:dyDescent="0.3">
      <c r="A1322" s="1310" t="s">
        <v>1587</v>
      </c>
      <c r="B1322" s="1310" t="s">
        <v>1620</v>
      </c>
      <c r="C1322" s="1310" t="s">
        <v>1568</v>
      </c>
      <c r="D1322" s="1310" t="s">
        <v>1558</v>
      </c>
      <c r="E1322" s="1310" t="s">
        <v>133</v>
      </c>
      <c r="F1322" s="1310" t="s">
        <v>1582</v>
      </c>
      <c r="G1322" s="1310" t="s">
        <v>471</v>
      </c>
      <c r="H1322" s="1310" t="s">
        <v>115</v>
      </c>
      <c r="I1322" s="1310" t="s">
        <v>124</v>
      </c>
      <c r="J1322" s="1310" t="s">
        <v>1647</v>
      </c>
      <c r="K1322" s="1310" t="s">
        <v>1635</v>
      </c>
      <c r="L1322" s="1310" t="s">
        <v>1565</v>
      </c>
      <c r="M1322" s="1310" t="s">
        <v>1562</v>
      </c>
      <c r="N1322" s="1310" t="s">
        <v>1636</v>
      </c>
      <c r="O1322" s="1310" t="s">
        <v>114</v>
      </c>
      <c r="P1322" s="1310" t="s">
        <v>1621</v>
      </c>
      <c r="Q1322" s="1310" t="s">
        <v>1568</v>
      </c>
      <c r="R1322" s="1310" t="s">
        <v>1567</v>
      </c>
      <c r="S1322" s="1310" t="s">
        <v>1454</v>
      </c>
      <c r="T1322" s="1310" t="s">
        <v>1619</v>
      </c>
      <c r="U1322" s="1310" t="s">
        <v>124</v>
      </c>
      <c r="V1322" s="1310" t="s">
        <v>264</v>
      </c>
      <c r="W1322" s="1310" t="s">
        <v>1533</v>
      </c>
      <c r="X1322" s="1310" t="s">
        <v>1527</v>
      </c>
      <c r="Y1322" s="1310" t="s">
        <v>1459</v>
      </c>
      <c r="Z1322" s="1310" t="s">
        <v>1564</v>
      </c>
      <c r="AA1322" s="1310" t="s">
        <v>1583</v>
      </c>
      <c r="AB1322" s="1310" t="s">
        <v>113</v>
      </c>
      <c r="AC1322" s="1310" t="s">
        <v>1499</v>
      </c>
      <c r="AD1322" s="1310" t="s">
        <v>1500</v>
      </c>
      <c r="AE1322" s="1310" t="s">
        <v>1529</v>
      </c>
      <c r="AF1322" s="1310" t="s">
        <v>1551</v>
      </c>
    </row>
    <row r="1323" spans="1:32" x14ac:dyDescent="0.3">
      <c r="A1323" s="1310" t="s">
        <v>1641</v>
      </c>
      <c r="B1323" s="1310" t="s">
        <v>1649</v>
      </c>
      <c r="C1323" s="1310" t="s">
        <v>1613</v>
      </c>
      <c r="D1323" s="1310" t="s">
        <v>1443</v>
      </c>
      <c r="E1323" s="1310" t="s">
        <v>1450</v>
      </c>
      <c r="F1323" s="1310" t="s">
        <v>1552</v>
      </c>
      <c r="G1323" s="1310" t="s">
        <v>1494</v>
      </c>
      <c r="H1323" s="1310" t="s">
        <v>1626</v>
      </c>
      <c r="I1323" s="1310" t="s">
        <v>1636</v>
      </c>
      <c r="J1323" s="1310" t="s">
        <v>1474</v>
      </c>
      <c r="K1323" s="1310" t="s">
        <v>1511</v>
      </c>
      <c r="L1323" s="1310" t="s">
        <v>1609</v>
      </c>
      <c r="M1323" s="1310" t="s">
        <v>1646</v>
      </c>
      <c r="N1323" s="1310" t="s">
        <v>465</v>
      </c>
      <c r="O1323" s="1310" t="s">
        <v>124</v>
      </c>
      <c r="P1323" s="1310" t="s">
        <v>1496</v>
      </c>
      <c r="Q1323" s="1310" t="s">
        <v>1547</v>
      </c>
      <c r="R1323" s="1310" t="s">
        <v>1584</v>
      </c>
      <c r="S1323" s="1310" t="s">
        <v>1521</v>
      </c>
      <c r="T1323" s="1310" t="s">
        <v>1655</v>
      </c>
      <c r="U1323" s="1310" t="s">
        <v>1580</v>
      </c>
      <c r="V1323" s="1310" t="s">
        <v>1658</v>
      </c>
      <c r="W1323" s="1310" t="s">
        <v>6</v>
      </c>
      <c r="X1323" s="1310" t="s">
        <v>270</v>
      </c>
      <c r="Y1323" s="1310" t="s">
        <v>1561</v>
      </c>
      <c r="Z1323" s="1310" t="s">
        <v>1645</v>
      </c>
      <c r="AA1323" s="1310" t="s">
        <v>1622</v>
      </c>
      <c r="AB1323" s="1310" t="s">
        <v>1612</v>
      </c>
      <c r="AC1323" s="1310" t="s">
        <v>1568</v>
      </c>
      <c r="AD1323" s="1310" t="s">
        <v>1463</v>
      </c>
      <c r="AE1323" s="1310" t="s">
        <v>1475</v>
      </c>
      <c r="AF1323" s="1310" t="s">
        <v>1558</v>
      </c>
    </row>
    <row r="1324" spans="1:32" x14ac:dyDescent="0.3">
      <c r="A1324" s="1310" t="s">
        <v>1471</v>
      </c>
      <c r="B1324" s="1310" t="s">
        <v>1622</v>
      </c>
      <c r="C1324" s="1310" t="s">
        <v>1564</v>
      </c>
      <c r="D1324" s="1310" t="s">
        <v>1650</v>
      </c>
      <c r="E1324" s="1310" t="s">
        <v>1553</v>
      </c>
      <c r="F1324" s="1310" t="s">
        <v>1491</v>
      </c>
      <c r="G1324" s="1310" t="s">
        <v>1553</v>
      </c>
      <c r="H1324" s="1310" t="s">
        <v>113</v>
      </c>
      <c r="I1324" s="1310" t="s">
        <v>1529</v>
      </c>
      <c r="J1324" s="1310" t="s">
        <v>1527</v>
      </c>
      <c r="K1324" s="1310" t="s">
        <v>1599</v>
      </c>
      <c r="L1324" s="1310" t="s">
        <v>1542</v>
      </c>
      <c r="M1324" s="1310" t="s">
        <v>1586</v>
      </c>
      <c r="N1324" s="1310" t="s">
        <v>1579</v>
      </c>
      <c r="O1324" s="1310" t="s">
        <v>1548</v>
      </c>
      <c r="P1324" s="1310" t="s">
        <v>1458</v>
      </c>
      <c r="Q1324" s="1310" t="s">
        <v>1589</v>
      </c>
      <c r="R1324" s="1310" t="s">
        <v>1632</v>
      </c>
      <c r="S1324" s="1310" t="s">
        <v>1445</v>
      </c>
      <c r="T1324" s="1310" t="s">
        <v>471</v>
      </c>
      <c r="U1324" s="1310" t="s">
        <v>1544</v>
      </c>
      <c r="V1324" s="1310" t="s">
        <v>1459</v>
      </c>
      <c r="W1324" s="1310" t="s">
        <v>1599</v>
      </c>
      <c r="X1324" s="1310" t="s">
        <v>1487</v>
      </c>
      <c r="Y1324" s="1310" t="s">
        <v>1457</v>
      </c>
      <c r="Z1324" s="1310" t="s">
        <v>1571</v>
      </c>
      <c r="AA1324" s="1310" t="s">
        <v>1461</v>
      </c>
      <c r="AB1324" s="1310" t="s">
        <v>1603</v>
      </c>
      <c r="AC1324" s="1310" t="s">
        <v>1552</v>
      </c>
      <c r="AD1324" s="1310" t="s">
        <v>1480</v>
      </c>
      <c r="AE1324" s="1310" t="s">
        <v>121</v>
      </c>
      <c r="AF1324" s="1310" t="s">
        <v>1630</v>
      </c>
    </row>
    <row r="1325" spans="1:32" x14ac:dyDescent="0.3">
      <c r="A1325" s="1310" t="s">
        <v>1620</v>
      </c>
      <c r="B1325" s="1310" t="s">
        <v>1525</v>
      </c>
      <c r="C1325" s="1310" t="s">
        <v>1468</v>
      </c>
      <c r="D1325" s="1310" t="s">
        <v>1464</v>
      </c>
      <c r="E1325" s="1310" t="s">
        <v>1443</v>
      </c>
      <c r="F1325" s="1310" t="s">
        <v>1450</v>
      </c>
      <c r="G1325" s="1310" t="s">
        <v>1629</v>
      </c>
      <c r="H1325" s="1310" t="s">
        <v>127</v>
      </c>
      <c r="I1325" s="1310" t="s">
        <v>131</v>
      </c>
      <c r="J1325" s="1310" t="s">
        <v>1541</v>
      </c>
      <c r="K1325" s="1310" t="s">
        <v>1557</v>
      </c>
      <c r="L1325" s="1310" t="s">
        <v>1523</v>
      </c>
      <c r="M1325" s="1310" t="s">
        <v>1474</v>
      </c>
      <c r="N1325" s="1310" t="s">
        <v>1551</v>
      </c>
      <c r="O1325" s="1310" t="s">
        <v>1580</v>
      </c>
      <c r="P1325" s="1310" t="s">
        <v>1640</v>
      </c>
      <c r="Q1325" s="1310" t="s">
        <v>1513</v>
      </c>
      <c r="R1325" s="1310" t="s">
        <v>1627</v>
      </c>
      <c r="S1325" s="1310" t="s">
        <v>133</v>
      </c>
      <c r="T1325" s="1310" t="s">
        <v>1456</v>
      </c>
      <c r="U1325" s="1310" t="s">
        <v>124</v>
      </c>
      <c r="V1325" s="1310" t="s">
        <v>1620</v>
      </c>
      <c r="W1325" s="1310" t="s">
        <v>1584</v>
      </c>
      <c r="X1325" s="1310" t="s">
        <v>1584</v>
      </c>
      <c r="Y1325" s="1310" t="s">
        <v>1590</v>
      </c>
      <c r="Z1325" s="1310" t="s">
        <v>1461</v>
      </c>
      <c r="AA1325" s="1310" t="s">
        <v>1588</v>
      </c>
      <c r="AB1325" s="1310" t="s">
        <v>1543</v>
      </c>
      <c r="AC1325" s="1310" t="s">
        <v>1571</v>
      </c>
      <c r="AD1325" s="1310" t="s">
        <v>1539</v>
      </c>
      <c r="AE1325" s="1310" t="s">
        <v>1485</v>
      </c>
      <c r="AF1325" s="1310" t="s">
        <v>1488</v>
      </c>
    </row>
    <row r="1326" spans="1:32" x14ac:dyDescent="0.3">
      <c r="A1326" s="1310" t="s">
        <v>1489</v>
      </c>
      <c r="B1326" s="1310" t="s">
        <v>1480</v>
      </c>
      <c r="C1326" s="1310" t="s">
        <v>1633</v>
      </c>
      <c r="D1326" s="1310" t="s">
        <v>1489</v>
      </c>
      <c r="E1326" s="1310" t="s">
        <v>1480</v>
      </c>
      <c r="F1326" s="1310" t="s">
        <v>1660</v>
      </c>
      <c r="G1326" s="1310" t="s">
        <v>1562</v>
      </c>
      <c r="H1326" s="1310" t="s">
        <v>130</v>
      </c>
      <c r="I1326" s="1310" t="s">
        <v>1490</v>
      </c>
      <c r="J1326" s="1310" t="s">
        <v>1556</v>
      </c>
      <c r="K1326" s="1310" t="s">
        <v>1597</v>
      </c>
      <c r="L1326" s="1310" t="s">
        <v>1528</v>
      </c>
      <c r="M1326" s="1310" t="s">
        <v>1556</v>
      </c>
      <c r="N1326" s="1310" t="s">
        <v>1624</v>
      </c>
      <c r="O1326" s="1310" t="s">
        <v>1536</v>
      </c>
      <c r="P1326" s="1310" t="s">
        <v>1524</v>
      </c>
      <c r="Q1326" s="1310" t="s">
        <v>1537</v>
      </c>
      <c r="R1326" s="1310" t="s">
        <v>1543</v>
      </c>
      <c r="S1326" s="1310" t="s">
        <v>131</v>
      </c>
      <c r="T1326" s="1310" t="s">
        <v>1650</v>
      </c>
      <c r="U1326" s="1310" t="s">
        <v>1499</v>
      </c>
      <c r="V1326" s="1310" t="s">
        <v>1559</v>
      </c>
      <c r="W1326" s="1310" t="s">
        <v>6</v>
      </c>
      <c r="X1326" s="1310" t="s">
        <v>1452</v>
      </c>
      <c r="Y1326" s="1310" t="s">
        <v>1515</v>
      </c>
      <c r="Z1326" s="1310" t="s">
        <v>1546</v>
      </c>
      <c r="AA1326" s="1310" t="s">
        <v>1623</v>
      </c>
      <c r="AB1326" s="1310" t="s">
        <v>1553</v>
      </c>
      <c r="AC1326" s="1310" t="s">
        <v>1602</v>
      </c>
      <c r="AD1326" s="1310" t="s">
        <v>1646</v>
      </c>
      <c r="AE1326" s="1310" t="s">
        <v>1608</v>
      </c>
      <c r="AF1326" s="1310" t="s">
        <v>1498</v>
      </c>
    </row>
    <row r="1327" spans="1:32" x14ac:dyDescent="0.3">
      <c r="A1327" s="1310" t="s">
        <v>124</v>
      </c>
      <c r="B1327" s="1310" t="s">
        <v>1625</v>
      </c>
      <c r="C1327" s="1310" t="s">
        <v>471</v>
      </c>
      <c r="D1327" s="1310" t="s">
        <v>1604</v>
      </c>
      <c r="E1327" s="1310" t="s">
        <v>1551</v>
      </c>
      <c r="F1327" s="1310" t="s">
        <v>1644</v>
      </c>
      <c r="G1327" s="1310" t="s">
        <v>1472</v>
      </c>
      <c r="H1327" s="1310" t="s">
        <v>1605</v>
      </c>
      <c r="I1327" s="1310" t="s">
        <v>1572</v>
      </c>
      <c r="J1327" s="1310" t="s">
        <v>1467</v>
      </c>
      <c r="K1327" s="1310" t="s">
        <v>1624</v>
      </c>
      <c r="L1327" s="1310" t="s">
        <v>120</v>
      </c>
      <c r="M1327" s="1310" t="s">
        <v>1468</v>
      </c>
      <c r="N1327" s="1310" t="s">
        <v>1660</v>
      </c>
      <c r="O1327" s="1310" t="s">
        <v>1530</v>
      </c>
      <c r="P1327" s="1310" t="s">
        <v>1477</v>
      </c>
      <c r="Q1327" s="1310" t="s">
        <v>1522</v>
      </c>
      <c r="R1327" s="1310" t="s">
        <v>1613</v>
      </c>
      <c r="S1327" s="1310" t="s">
        <v>1572</v>
      </c>
      <c r="T1327" s="1310" t="s">
        <v>1603</v>
      </c>
      <c r="U1327" s="1310" t="s">
        <v>1644</v>
      </c>
      <c r="V1327" s="1310" t="s">
        <v>112</v>
      </c>
      <c r="W1327" s="1310" t="s">
        <v>1589</v>
      </c>
      <c r="X1327" s="1310" t="s">
        <v>1600</v>
      </c>
      <c r="Y1327" s="1310" t="s">
        <v>1553</v>
      </c>
      <c r="Z1327" s="1310" t="s">
        <v>1533</v>
      </c>
      <c r="AA1327" s="1310" t="s">
        <v>1556</v>
      </c>
      <c r="AB1327" s="1310" t="s">
        <v>1642</v>
      </c>
      <c r="AC1327" s="1310" t="s">
        <v>1615</v>
      </c>
      <c r="AD1327" s="1310" t="s">
        <v>1647</v>
      </c>
      <c r="AE1327" s="1310" t="s">
        <v>1510</v>
      </c>
      <c r="AF1327" s="1310" t="s">
        <v>1635</v>
      </c>
    </row>
    <row r="1328" spans="1:32" x14ac:dyDescent="0.3">
      <c r="A1328" s="1310" t="s">
        <v>1466</v>
      </c>
      <c r="B1328" s="1310" t="s">
        <v>1586</v>
      </c>
      <c r="C1328" s="1310" t="s">
        <v>1657</v>
      </c>
      <c r="D1328" s="1310" t="s">
        <v>1630</v>
      </c>
      <c r="E1328" s="1310" t="s">
        <v>1546</v>
      </c>
      <c r="F1328" s="1310" t="s">
        <v>114</v>
      </c>
      <c r="G1328" s="1310" t="s">
        <v>1488</v>
      </c>
      <c r="H1328" s="1310" t="s">
        <v>1629</v>
      </c>
      <c r="I1328" s="1310" t="s">
        <v>1622</v>
      </c>
      <c r="J1328" s="1310" t="s">
        <v>126</v>
      </c>
      <c r="K1328" s="1310" t="s">
        <v>1657</v>
      </c>
      <c r="L1328" s="1310" t="s">
        <v>1614</v>
      </c>
      <c r="M1328" s="1310" t="s">
        <v>1601</v>
      </c>
      <c r="N1328" s="1310" t="s">
        <v>1575</v>
      </c>
      <c r="O1328" s="1310" t="s">
        <v>1486</v>
      </c>
      <c r="P1328" s="1310" t="s">
        <v>1638</v>
      </c>
      <c r="Q1328" s="1310" t="s">
        <v>1608</v>
      </c>
      <c r="R1328" s="1310" t="s">
        <v>1553</v>
      </c>
      <c r="S1328" s="1310" t="s">
        <v>1560</v>
      </c>
      <c r="T1328" s="1310" t="s">
        <v>263</v>
      </c>
      <c r="U1328" s="1310" t="s">
        <v>1599</v>
      </c>
      <c r="V1328" s="1310" t="s">
        <v>1622</v>
      </c>
      <c r="W1328" s="1310" t="s">
        <v>1456</v>
      </c>
      <c r="X1328" s="1310" t="s">
        <v>1538</v>
      </c>
      <c r="Y1328" s="1310" t="s">
        <v>1533</v>
      </c>
      <c r="Z1328" s="1310" t="s">
        <v>111</v>
      </c>
      <c r="AA1328" s="1310" t="s">
        <v>1472</v>
      </c>
      <c r="AB1328" s="1310" t="s">
        <v>1457</v>
      </c>
      <c r="AC1328" s="1310" t="s">
        <v>1648</v>
      </c>
      <c r="AD1328" s="1310" t="s">
        <v>1626</v>
      </c>
      <c r="AE1328" s="1310" t="s">
        <v>1627</v>
      </c>
      <c r="AF1328" s="1310" t="s">
        <v>1567</v>
      </c>
    </row>
    <row r="1329" spans="1:32" x14ac:dyDescent="0.3">
      <c r="A1329" s="1310" t="s">
        <v>1591</v>
      </c>
      <c r="B1329" s="1310" t="s">
        <v>1552</v>
      </c>
      <c r="C1329" s="1310" t="s">
        <v>129</v>
      </c>
      <c r="D1329" s="1310" t="s">
        <v>1594</v>
      </c>
      <c r="E1329" s="1310" t="s">
        <v>1508</v>
      </c>
      <c r="F1329" s="1310" t="s">
        <v>1557</v>
      </c>
      <c r="G1329" s="1310" t="s">
        <v>1446</v>
      </c>
      <c r="H1329" s="1310" t="s">
        <v>1577</v>
      </c>
      <c r="I1329" s="1310" t="s">
        <v>1648</v>
      </c>
      <c r="J1329" s="1310" t="s">
        <v>1547</v>
      </c>
      <c r="K1329" s="1310" t="s">
        <v>1533</v>
      </c>
      <c r="L1329" s="1310" t="s">
        <v>1550</v>
      </c>
      <c r="M1329" s="1310" t="s">
        <v>111</v>
      </c>
      <c r="N1329" s="1310" t="s">
        <v>1596</v>
      </c>
      <c r="O1329" s="1310" t="s">
        <v>1542</v>
      </c>
      <c r="P1329" s="1310" t="s">
        <v>1454</v>
      </c>
      <c r="Q1329" s="1310" t="s">
        <v>1605</v>
      </c>
      <c r="R1329" s="1310" t="s">
        <v>1453</v>
      </c>
      <c r="S1329" s="1310" t="s">
        <v>117</v>
      </c>
      <c r="T1329" s="1310" t="s">
        <v>1595</v>
      </c>
      <c r="U1329" s="1310" t="s">
        <v>1552</v>
      </c>
      <c r="V1329" s="1310" t="s">
        <v>1587</v>
      </c>
      <c r="W1329" s="1310" t="s">
        <v>1475</v>
      </c>
      <c r="X1329" s="1310" t="s">
        <v>1455</v>
      </c>
      <c r="Y1329" s="1310" t="s">
        <v>1529</v>
      </c>
      <c r="Z1329" s="1310" t="s">
        <v>1607</v>
      </c>
      <c r="AA1329" s="1310" t="s">
        <v>1631</v>
      </c>
      <c r="AB1329" s="1310" t="s">
        <v>1510</v>
      </c>
      <c r="AC1329" s="1310" t="s">
        <v>1478</v>
      </c>
      <c r="AD1329" s="1310" t="s">
        <v>1623</v>
      </c>
      <c r="AE1329" s="1310" t="s">
        <v>1616</v>
      </c>
      <c r="AF1329" s="1310" t="s">
        <v>121</v>
      </c>
    </row>
    <row r="1330" spans="1:32" x14ac:dyDescent="0.3">
      <c r="A1330" s="1310" t="s">
        <v>1562</v>
      </c>
      <c r="B1330" s="1310" t="s">
        <v>1660</v>
      </c>
      <c r="C1330" s="1310" t="s">
        <v>1510</v>
      </c>
      <c r="D1330" s="1310" t="s">
        <v>1593</v>
      </c>
      <c r="E1330" s="1310" t="s">
        <v>1447</v>
      </c>
      <c r="F1330" s="1310" t="s">
        <v>115</v>
      </c>
      <c r="G1330" s="1310" t="s">
        <v>1523</v>
      </c>
      <c r="H1330" s="1310" t="s">
        <v>1481</v>
      </c>
      <c r="I1330" s="1310" t="s">
        <v>120</v>
      </c>
      <c r="J1330" s="1310" t="s">
        <v>1603</v>
      </c>
      <c r="K1330" s="1310" t="s">
        <v>1635</v>
      </c>
      <c r="L1330" s="1310" t="s">
        <v>1501</v>
      </c>
      <c r="M1330" s="1310" t="s">
        <v>1560</v>
      </c>
      <c r="N1330" s="1310" t="s">
        <v>1443</v>
      </c>
      <c r="O1330" s="1310" t="s">
        <v>1450</v>
      </c>
      <c r="P1330" s="1310" t="s">
        <v>1530</v>
      </c>
      <c r="Q1330" s="1310" t="s">
        <v>1590</v>
      </c>
      <c r="R1330" s="1310" t="s">
        <v>133</v>
      </c>
      <c r="S1330" s="1310" t="s">
        <v>1547</v>
      </c>
      <c r="T1330" s="1310" t="s">
        <v>123</v>
      </c>
      <c r="U1330" s="1310" t="s">
        <v>1584</v>
      </c>
      <c r="V1330" s="1310" t="s">
        <v>1445</v>
      </c>
      <c r="W1330" s="1310" t="s">
        <v>1494</v>
      </c>
      <c r="X1330" s="1310" t="s">
        <v>1544</v>
      </c>
      <c r="Y1330" s="1310" t="s">
        <v>1447</v>
      </c>
      <c r="Z1330" s="1310" t="s">
        <v>1576</v>
      </c>
      <c r="AA1330" s="1310" t="s">
        <v>1587</v>
      </c>
      <c r="AB1330" s="1310" t="s">
        <v>1608</v>
      </c>
      <c r="AC1330" s="1310" t="s">
        <v>1556</v>
      </c>
      <c r="AD1330" s="1310" t="s">
        <v>1585</v>
      </c>
      <c r="AE1330" s="1310" t="s">
        <v>1624</v>
      </c>
      <c r="AF1330" s="1310" t="s">
        <v>1466</v>
      </c>
    </row>
    <row r="1331" spans="1:32" x14ac:dyDescent="0.3">
      <c r="A1331" s="1310" t="s">
        <v>1600</v>
      </c>
      <c r="B1331" s="1310" t="s">
        <v>1444</v>
      </c>
      <c r="C1331" s="1310" t="s">
        <v>1571</v>
      </c>
      <c r="D1331" s="1310" t="s">
        <v>1561</v>
      </c>
      <c r="E1331" s="1310" t="s">
        <v>1606</v>
      </c>
      <c r="F1331" s="1310" t="s">
        <v>131</v>
      </c>
      <c r="G1331" s="1310" t="s">
        <v>1580</v>
      </c>
      <c r="H1331" s="1310" t="s">
        <v>1578</v>
      </c>
      <c r="I1331" s="1310" t="s">
        <v>1517</v>
      </c>
      <c r="J1331" s="1310" t="s">
        <v>1526</v>
      </c>
      <c r="K1331" s="1310" t="s">
        <v>1660</v>
      </c>
      <c r="L1331" s="1310" t="s">
        <v>1549</v>
      </c>
      <c r="M1331" s="1310" t="s">
        <v>1551</v>
      </c>
      <c r="N1331" s="1310" t="s">
        <v>1505</v>
      </c>
      <c r="O1331" s="1310" t="s">
        <v>1553</v>
      </c>
      <c r="P1331" s="1310" t="s">
        <v>115</v>
      </c>
      <c r="Q1331" s="1310" t="s">
        <v>131</v>
      </c>
      <c r="R1331" s="1310" t="s">
        <v>1562</v>
      </c>
      <c r="S1331" s="1310" t="s">
        <v>1593</v>
      </c>
      <c r="T1331" s="1310" t="s">
        <v>1463</v>
      </c>
      <c r="U1331" s="1310" t="s">
        <v>1504</v>
      </c>
      <c r="V1331" s="1310" t="s">
        <v>112</v>
      </c>
      <c r="W1331" s="1310" t="s">
        <v>113</v>
      </c>
      <c r="X1331" s="1310" t="s">
        <v>1496</v>
      </c>
      <c r="Y1331" s="1310" t="s">
        <v>1659</v>
      </c>
      <c r="Z1331" s="1310" t="s">
        <v>1585</v>
      </c>
      <c r="AA1331" s="1310" t="s">
        <v>1523</v>
      </c>
      <c r="AB1331" s="1310" t="s">
        <v>1520</v>
      </c>
      <c r="AC1331" s="1310" t="s">
        <v>1543</v>
      </c>
      <c r="AD1331" s="1310" t="s">
        <v>1463</v>
      </c>
      <c r="AE1331" s="1310" t="s">
        <v>1596</v>
      </c>
      <c r="AF1331" s="1310" t="s">
        <v>1631</v>
      </c>
    </row>
    <row r="1332" spans="1:32" x14ac:dyDescent="0.3">
      <c r="A1332" s="1310" t="s">
        <v>1615</v>
      </c>
      <c r="B1332" s="1310" t="s">
        <v>1472</v>
      </c>
      <c r="C1332" s="1310" t="s">
        <v>1540</v>
      </c>
      <c r="D1332" s="1310" t="s">
        <v>1628</v>
      </c>
      <c r="E1332" s="1310" t="s">
        <v>1466</v>
      </c>
      <c r="F1332" s="1310" t="s">
        <v>1547</v>
      </c>
      <c r="G1332" s="1310" t="s">
        <v>1556</v>
      </c>
      <c r="H1332" s="1310" t="s">
        <v>1543</v>
      </c>
      <c r="I1332" s="1310" t="s">
        <v>1625</v>
      </c>
      <c r="J1332" s="1310" t="s">
        <v>1499</v>
      </c>
      <c r="K1332" s="1310" t="s">
        <v>1527</v>
      </c>
      <c r="L1332" s="1310" t="s">
        <v>131</v>
      </c>
      <c r="M1332" s="1310" t="s">
        <v>1615</v>
      </c>
      <c r="N1332" s="1310" t="s">
        <v>1551</v>
      </c>
      <c r="O1332" s="1310" t="s">
        <v>1551</v>
      </c>
      <c r="P1332" s="1310" t="s">
        <v>1578</v>
      </c>
      <c r="Q1332" s="1310" t="s">
        <v>1600</v>
      </c>
      <c r="R1332" s="1310" t="s">
        <v>116</v>
      </c>
      <c r="S1332" s="1310" t="s">
        <v>1558</v>
      </c>
      <c r="T1332" s="1310" t="s">
        <v>1605</v>
      </c>
      <c r="U1332" s="1310" t="s">
        <v>130</v>
      </c>
      <c r="V1332" s="1310" t="s">
        <v>1617</v>
      </c>
      <c r="W1332" s="1310" t="s">
        <v>1581</v>
      </c>
      <c r="X1332" s="1310" t="s">
        <v>1516</v>
      </c>
      <c r="Y1332" s="1310" t="s">
        <v>1489</v>
      </c>
      <c r="Z1332" s="1310" t="s">
        <v>1483</v>
      </c>
      <c r="AA1332" s="1310" t="s">
        <v>1554</v>
      </c>
      <c r="AB1332" s="1310" t="s">
        <v>1561</v>
      </c>
      <c r="AC1332" s="1310" t="s">
        <v>1598</v>
      </c>
      <c r="AD1332" s="1310" t="s">
        <v>1536</v>
      </c>
      <c r="AE1332" s="1310" t="s">
        <v>118</v>
      </c>
      <c r="AF1332" s="1310" t="s">
        <v>1643</v>
      </c>
    </row>
    <row r="1333" spans="1:32" x14ac:dyDescent="0.3">
      <c r="A1333" s="1310" t="s">
        <v>1518</v>
      </c>
      <c r="B1333" s="1310" t="s">
        <v>1565</v>
      </c>
      <c r="C1333" s="1310" t="s">
        <v>1658</v>
      </c>
      <c r="D1333" s="1310" t="s">
        <v>1547</v>
      </c>
      <c r="E1333" s="1310" t="s">
        <v>1514</v>
      </c>
      <c r="F1333" s="1310" t="s">
        <v>1510</v>
      </c>
      <c r="G1333" s="1310" t="s">
        <v>268</v>
      </c>
      <c r="H1333" s="1310" t="s">
        <v>1658</v>
      </c>
      <c r="I1333" s="1310" t="s">
        <v>1487</v>
      </c>
      <c r="J1333" s="1310" t="s">
        <v>1643</v>
      </c>
      <c r="K1333" s="1310" t="s">
        <v>1613</v>
      </c>
      <c r="L1333" s="1310" t="s">
        <v>1646</v>
      </c>
      <c r="M1333" s="1310" t="s">
        <v>1531</v>
      </c>
      <c r="N1333" s="1310" t="s">
        <v>1455</v>
      </c>
      <c r="O1333" s="1310" t="s">
        <v>1464</v>
      </c>
      <c r="P1333" s="1310" t="s">
        <v>1602</v>
      </c>
      <c r="Q1333" s="1310" t="s">
        <v>1501</v>
      </c>
      <c r="R1333" s="1310" t="s">
        <v>1538</v>
      </c>
      <c r="S1333" s="1310" t="s">
        <v>1547</v>
      </c>
      <c r="T1333" s="1310" t="s">
        <v>1490</v>
      </c>
      <c r="U1333" s="1310" t="s">
        <v>1650</v>
      </c>
      <c r="V1333" s="1310" t="s">
        <v>1650</v>
      </c>
      <c r="W1333" s="1310" t="s">
        <v>1614</v>
      </c>
      <c r="X1333" s="1310" t="s">
        <v>131</v>
      </c>
      <c r="Y1333" s="1310" t="s">
        <v>1524</v>
      </c>
      <c r="Z1333" s="1310" t="s">
        <v>1511</v>
      </c>
      <c r="AA1333" s="1310" t="s">
        <v>1481</v>
      </c>
      <c r="AB1333" s="1310" t="s">
        <v>1606</v>
      </c>
      <c r="AC1333" s="1310" t="s">
        <v>1595</v>
      </c>
      <c r="AD1333" s="1310" t="s">
        <v>1558</v>
      </c>
      <c r="AE1333" s="1310" t="s">
        <v>1517</v>
      </c>
      <c r="AF1333" s="1310" t="s">
        <v>1512</v>
      </c>
    </row>
    <row r="1334" spans="1:32" x14ac:dyDescent="0.3">
      <c r="A1334" s="1310" t="s">
        <v>1633</v>
      </c>
      <c r="B1334" s="1310" t="s">
        <v>1648</v>
      </c>
      <c r="C1334" s="1310" t="s">
        <v>1499</v>
      </c>
      <c r="D1334" s="1310" t="s">
        <v>1510</v>
      </c>
      <c r="E1334" s="1310" t="s">
        <v>1497</v>
      </c>
      <c r="F1334" s="1310" t="s">
        <v>1560</v>
      </c>
      <c r="G1334" s="1310" t="s">
        <v>1468</v>
      </c>
      <c r="H1334" s="1310" t="s">
        <v>1640</v>
      </c>
      <c r="I1334" s="1310" t="s">
        <v>1628</v>
      </c>
      <c r="J1334" s="1310" t="s">
        <v>1549</v>
      </c>
      <c r="K1334" s="1310" t="s">
        <v>113</v>
      </c>
      <c r="L1334" s="1310" t="s">
        <v>1585</v>
      </c>
      <c r="M1334" s="1310" t="s">
        <v>1580</v>
      </c>
      <c r="N1334" s="1310" t="s">
        <v>1633</v>
      </c>
      <c r="O1334" s="1310" t="s">
        <v>1602</v>
      </c>
      <c r="P1334" s="1310" t="s">
        <v>1527</v>
      </c>
      <c r="Q1334" s="1310" t="s">
        <v>124</v>
      </c>
      <c r="R1334" s="1310" t="s">
        <v>1557</v>
      </c>
      <c r="S1334" s="1310" t="s">
        <v>1641</v>
      </c>
      <c r="T1334" s="1310" t="s">
        <v>1533</v>
      </c>
      <c r="U1334" s="1310" t="s">
        <v>1560</v>
      </c>
      <c r="V1334" s="1310" t="s">
        <v>114</v>
      </c>
      <c r="W1334" s="1310" t="s">
        <v>117</v>
      </c>
      <c r="X1334" s="1310" t="s">
        <v>1590</v>
      </c>
      <c r="Y1334" s="1310" t="s">
        <v>1652</v>
      </c>
      <c r="Z1334" s="1310" t="s">
        <v>1469</v>
      </c>
      <c r="AA1334" s="1310" t="s">
        <v>1588</v>
      </c>
      <c r="AB1334" s="1310" t="s">
        <v>130</v>
      </c>
      <c r="AC1334" s="1310" t="s">
        <v>1603</v>
      </c>
      <c r="AD1334" s="1310" t="s">
        <v>1467</v>
      </c>
      <c r="AE1334" s="1310" t="s">
        <v>1632</v>
      </c>
      <c r="AF1334" s="1310" t="s">
        <v>1468</v>
      </c>
    </row>
    <row r="1335" spans="1:32" x14ac:dyDescent="0.3">
      <c r="A1335" s="1310" t="s">
        <v>1651</v>
      </c>
      <c r="B1335" s="1310" t="s">
        <v>1647</v>
      </c>
      <c r="C1335" s="1310" t="s">
        <v>1509</v>
      </c>
      <c r="D1335" s="1310" t="s">
        <v>1639</v>
      </c>
      <c r="E1335" s="1310" t="s">
        <v>112</v>
      </c>
      <c r="F1335" s="1310" t="s">
        <v>1602</v>
      </c>
      <c r="G1335" s="1310" t="s">
        <v>1659</v>
      </c>
      <c r="H1335" s="1310" t="s">
        <v>1655</v>
      </c>
      <c r="I1335" s="1310" t="s">
        <v>110</v>
      </c>
      <c r="J1335" s="1310" t="s">
        <v>1493</v>
      </c>
      <c r="K1335" s="1310" t="s">
        <v>1577</v>
      </c>
      <c r="L1335" s="1310" t="s">
        <v>1530</v>
      </c>
      <c r="M1335" s="1310" t="s">
        <v>131</v>
      </c>
      <c r="N1335" s="1310" t="s">
        <v>1570</v>
      </c>
      <c r="O1335" s="1310" t="s">
        <v>1636</v>
      </c>
      <c r="P1335" s="1310" t="s">
        <v>1521</v>
      </c>
      <c r="Q1335" s="1310" t="s">
        <v>1519</v>
      </c>
      <c r="R1335" s="1310" t="s">
        <v>1495</v>
      </c>
      <c r="S1335" s="1310" t="s">
        <v>1478</v>
      </c>
      <c r="T1335" s="1310" t="s">
        <v>1552</v>
      </c>
      <c r="U1335" s="1310" t="s">
        <v>1580</v>
      </c>
      <c r="V1335" s="1310" t="s">
        <v>1648</v>
      </c>
      <c r="W1335" s="1310" t="s">
        <v>1622</v>
      </c>
      <c r="X1335" s="1310" t="s">
        <v>1538</v>
      </c>
      <c r="Y1335" s="1310" t="s">
        <v>1628</v>
      </c>
      <c r="Z1335" s="1310" t="s">
        <v>1527</v>
      </c>
      <c r="AA1335" s="1310" t="s">
        <v>1530</v>
      </c>
      <c r="AB1335" s="1310" t="s">
        <v>1637</v>
      </c>
      <c r="AC1335" s="1310" t="s">
        <v>1560</v>
      </c>
      <c r="AD1335" s="1310" t="s">
        <v>1529</v>
      </c>
      <c r="AE1335" s="1310" t="s">
        <v>1529</v>
      </c>
      <c r="AF1335" s="1310" t="s">
        <v>1585</v>
      </c>
    </row>
    <row r="1336" spans="1:32" x14ac:dyDescent="0.3">
      <c r="A1336" s="1310" t="s">
        <v>1454</v>
      </c>
      <c r="B1336" s="1310" t="s">
        <v>1530</v>
      </c>
      <c r="C1336" s="1310" t="s">
        <v>1626</v>
      </c>
      <c r="D1336" s="1310" t="s">
        <v>1540</v>
      </c>
      <c r="E1336" s="1310" t="s">
        <v>1507</v>
      </c>
      <c r="F1336" s="1310" t="s">
        <v>1523</v>
      </c>
      <c r="G1336" s="1310" t="s">
        <v>123</v>
      </c>
      <c r="H1336" s="1310" t="s">
        <v>126</v>
      </c>
      <c r="I1336" s="1310" t="s">
        <v>1612</v>
      </c>
      <c r="J1336" s="1310" t="s">
        <v>1518</v>
      </c>
      <c r="K1336" s="1310" t="s">
        <v>1517</v>
      </c>
      <c r="L1336" s="1310" t="s">
        <v>1615</v>
      </c>
      <c r="M1336" s="1310" t="s">
        <v>6</v>
      </c>
      <c r="N1336" s="1310" t="s">
        <v>1567</v>
      </c>
      <c r="O1336" s="1310" t="s">
        <v>1572</v>
      </c>
      <c r="P1336" s="1310" t="s">
        <v>1524</v>
      </c>
      <c r="Q1336" s="1310" t="s">
        <v>270</v>
      </c>
      <c r="R1336" s="1310" t="s">
        <v>1481</v>
      </c>
      <c r="S1336" s="1310" t="s">
        <v>116</v>
      </c>
      <c r="T1336" s="1310" t="s">
        <v>1457</v>
      </c>
      <c r="U1336" s="1310" t="s">
        <v>1596</v>
      </c>
      <c r="V1336" s="1310" t="s">
        <v>1579</v>
      </c>
      <c r="W1336" s="1310" t="s">
        <v>1620</v>
      </c>
      <c r="X1336" s="1310" t="s">
        <v>1516</v>
      </c>
      <c r="Y1336" s="1310" t="s">
        <v>1505</v>
      </c>
      <c r="Z1336" s="1310" t="s">
        <v>1572</v>
      </c>
      <c r="AA1336" s="1310" t="s">
        <v>1444</v>
      </c>
      <c r="AB1336" s="1310" t="s">
        <v>1659</v>
      </c>
      <c r="AC1336" s="1310" t="s">
        <v>1568</v>
      </c>
      <c r="AD1336" s="1310" t="s">
        <v>1475</v>
      </c>
      <c r="AE1336" s="1310" t="s">
        <v>1532</v>
      </c>
      <c r="AF1336" s="1310" t="s">
        <v>1500</v>
      </c>
    </row>
    <row r="1337" spans="1:32" x14ac:dyDescent="0.3">
      <c r="A1337" s="1310" t="s">
        <v>1554</v>
      </c>
      <c r="B1337" s="1310" t="s">
        <v>1560</v>
      </c>
      <c r="C1337" s="1310" t="s">
        <v>1554</v>
      </c>
      <c r="D1337" s="1310" t="s">
        <v>1496</v>
      </c>
      <c r="E1337" s="1310" t="s">
        <v>114</v>
      </c>
      <c r="F1337" s="1310" t="s">
        <v>1586</v>
      </c>
      <c r="G1337" s="1310" t="s">
        <v>1505</v>
      </c>
      <c r="H1337" s="1310" t="s">
        <v>119</v>
      </c>
      <c r="I1337" s="1310" t="s">
        <v>465</v>
      </c>
      <c r="J1337" s="1310" t="s">
        <v>1658</v>
      </c>
      <c r="K1337" s="1310" t="s">
        <v>1519</v>
      </c>
      <c r="L1337" s="1310" t="s">
        <v>1559</v>
      </c>
      <c r="M1337" s="1310" t="s">
        <v>1534</v>
      </c>
      <c r="N1337" s="1310" t="s">
        <v>1632</v>
      </c>
      <c r="O1337" s="1310" t="s">
        <v>1616</v>
      </c>
      <c r="P1337" s="1310" t="s">
        <v>1452</v>
      </c>
      <c r="Q1337" s="1310" t="s">
        <v>1469</v>
      </c>
      <c r="R1337" s="1310" t="s">
        <v>1509</v>
      </c>
      <c r="S1337" s="1310" t="s">
        <v>1497</v>
      </c>
      <c r="T1337" s="1310" t="s">
        <v>1462</v>
      </c>
      <c r="U1337" s="1310" t="s">
        <v>1450</v>
      </c>
      <c r="V1337" s="1310" t="s">
        <v>1475</v>
      </c>
      <c r="W1337" s="1310" t="s">
        <v>1473</v>
      </c>
      <c r="X1337" s="1310" t="s">
        <v>1581</v>
      </c>
      <c r="Y1337" s="1310" t="s">
        <v>1500</v>
      </c>
      <c r="Z1337" s="1310" t="s">
        <v>1617</v>
      </c>
      <c r="AA1337" s="1310" t="s">
        <v>1588</v>
      </c>
      <c r="AB1337" s="1310" t="s">
        <v>1553</v>
      </c>
      <c r="AC1337" s="1310" t="s">
        <v>1611</v>
      </c>
      <c r="AD1337" s="1310" t="s">
        <v>1623</v>
      </c>
      <c r="AE1337" s="1310" t="s">
        <v>1562</v>
      </c>
      <c r="AF1337" s="1310" t="s">
        <v>1567</v>
      </c>
    </row>
    <row r="1338" spans="1:32" x14ac:dyDescent="0.3">
      <c r="A1338" s="1310" t="s">
        <v>1615</v>
      </c>
      <c r="B1338" s="1310" t="s">
        <v>1643</v>
      </c>
      <c r="C1338" s="1310" t="s">
        <v>1479</v>
      </c>
      <c r="D1338" s="1310" t="s">
        <v>1649</v>
      </c>
      <c r="E1338" s="1310" t="s">
        <v>115</v>
      </c>
      <c r="F1338" s="1310" t="s">
        <v>1487</v>
      </c>
      <c r="G1338" s="1310" t="s">
        <v>1611</v>
      </c>
      <c r="H1338" s="1310" t="s">
        <v>1543</v>
      </c>
      <c r="I1338" s="1310" t="s">
        <v>1503</v>
      </c>
      <c r="J1338" s="1310" t="s">
        <v>113</v>
      </c>
      <c r="K1338" s="1310" t="s">
        <v>1614</v>
      </c>
      <c r="L1338" s="1310" t="s">
        <v>1523</v>
      </c>
      <c r="M1338" s="1310" t="s">
        <v>1486</v>
      </c>
      <c r="N1338" s="1310" t="s">
        <v>1566</v>
      </c>
      <c r="O1338" s="1310" t="s">
        <v>1526</v>
      </c>
      <c r="P1338" s="1310" t="s">
        <v>1444</v>
      </c>
      <c r="Q1338" s="1310" t="s">
        <v>1552</v>
      </c>
      <c r="R1338" s="1310" t="s">
        <v>1648</v>
      </c>
      <c r="S1338" s="1310" t="s">
        <v>1550</v>
      </c>
      <c r="T1338" s="1310" t="s">
        <v>1470</v>
      </c>
      <c r="U1338" s="1310" t="s">
        <v>1605</v>
      </c>
      <c r="V1338" s="1310" t="s">
        <v>1584</v>
      </c>
      <c r="W1338" s="1310" t="s">
        <v>1534</v>
      </c>
      <c r="X1338" s="1310" t="s">
        <v>1515</v>
      </c>
      <c r="Y1338" s="1310" t="s">
        <v>1469</v>
      </c>
      <c r="Z1338" s="1310" t="s">
        <v>1554</v>
      </c>
      <c r="AA1338" s="1310" t="s">
        <v>1635</v>
      </c>
      <c r="AB1338" s="1310" t="s">
        <v>268</v>
      </c>
      <c r="AC1338" s="1310" t="s">
        <v>111</v>
      </c>
      <c r="AD1338" s="1310" t="s">
        <v>116</v>
      </c>
      <c r="AE1338" s="1310" t="s">
        <v>1533</v>
      </c>
      <c r="AF1338" s="1310" t="s">
        <v>1657</v>
      </c>
    </row>
    <row r="1339" spans="1:32" x14ac:dyDescent="0.3">
      <c r="A1339" s="1310" t="s">
        <v>1544</v>
      </c>
      <c r="B1339" s="1310" t="s">
        <v>1488</v>
      </c>
      <c r="C1339" s="1310" t="s">
        <v>1462</v>
      </c>
      <c r="D1339" s="1310" t="s">
        <v>111</v>
      </c>
      <c r="E1339" s="1310" t="s">
        <v>1515</v>
      </c>
      <c r="F1339" s="1310" t="s">
        <v>1593</v>
      </c>
      <c r="G1339" s="1310" t="s">
        <v>1537</v>
      </c>
      <c r="H1339" s="1310" t="s">
        <v>1584</v>
      </c>
      <c r="I1339" s="1310" t="s">
        <v>1582</v>
      </c>
      <c r="J1339" s="1310" t="s">
        <v>270</v>
      </c>
      <c r="K1339" s="1310" t="s">
        <v>1587</v>
      </c>
      <c r="L1339" s="1310" t="s">
        <v>1630</v>
      </c>
      <c r="M1339" s="1310" t="s">
        <v>1567</v>
      </c>
      <c r="N1339" s="1310" t="s">
        <v>1515</v>
      </c>
      <c r="O1339" s="1310" t="s">
        <v>1539</v>
      </c>
      <c r="P1339" s="1310" t="s">
        <v>1650</v>
      </c>
      <c r="Q1339" s="1310" t="s">
        <v>1573</v>
      </c>
      <c r="R1339" s="1310" t="s">
        <v>1615</v>
      </c>
      <c r="S1339" s="1310" t="s">
        <v>1506</v>
      </c>
      <c r="T1339" s="1310" t="s">
        <v>1597</v>
      </c>
      <c r="U1339" s="1310" t="s">
        <v>1624</v>
      </c>
      <c r="V1339" s="1310" t="s">
        <v>1649</v>
      </c>
      <c r="W1339" s="1310" t="s">
        <v>1520</v>
      </c>
      <c r="X1339" s="1310" t="s">
        <v>1527</v>
      </c>
      <c r="Y1339" s="1310" t="s">
        <v>1539</v>
      </c>
      <c r="Z1339" s="1310" t="s">
        <v>1648</v>
      </c>
      <c r="AA1339" s="1310" t="s">
        <v>1500</v>
      </c>
      <c r="AB1339" s="1310" t="s">
        <v>115</v>
      </c>
      <c r="AC1339" s="1310" t="s">
        <v>1554</v>
      </c>
      <c r="AD1339" s="1310" t="s">
        <v>1606</v>
      </c>
      <c r="AE1339" s="1310" t="s">
        <v>1521</v>
      </c>
      <c r="AF1339" s="1310" t="s">
        <v>1494</v>
      </c>
    </row>
    <row r="1340" spans="1:32" x14ac:dyDescent="0.3">
      <c r="A1340" s="1310" t="s">
        <v>1623</v>
      </c>
      <c r="B1340" s="1310" t="s">
        <v>1525</v>
      </c>
      <c r="C1340" s="1310" t="s">
        <v>1624</v>
      </c>
      <c r="D1340" s="1310" t="s">
        <v>1641</v>
      </c>
      <c r="E1340" s="1310" t="s">
        <v>1618</v>
      </c>
      <c r="F1340" s="1310" t="s">
        <v>1564</v>
      </c>
      <c r="G1340" s="1310" t="s">
        <v>1517</v>
      </c>
      <c r="H1340" s="1310" t="s">
        <v>1591</v>
      </c>
      <c r="I1340" s="1310" t="s">
        <v>1643</v>
      </c>
      <c r="J1340" s="1310" t="s">
        <v>1624</v>
      </c>
      <c r="K1340" s="1310" t="s">
        <v>1641</v>
      </c>
      <c r="L1340" s="1310" t="s">
        <v>1633</v>
      </c>
      <c r="M1340" s="1310" t="s">
        <v>1545</v>
      </c>
      <c r="N1340" s="1310" t="s">
        <v>1629</v>
      </c>
      <c r="O1340" s="1310" t="s">
        <v>1579</v>
      </c>
      <c r="P1340" s="1310" t="s">
        <v>1610</v>
      </c>
      <c r="Q1340" s="1310" t="s">
        <v>1447</v>
      </c>
      <c r="R1340" s="1310" t="s">
        <v>1450</v>
      </c>
      <c r="S1340" s="1310" t="s">
        <v>1483</v>
      </c>
      <c r="T1340" s="1310" t="s">
        <v>1629</v>
      </c>
      <c r="U1340" s="1310" t="s">
        <v>1594</v>
      </c>
      <c r="V1340" s="1310" t="s">
        <v>465</v>
      </c>
      <c r="W1340" s="1310" t="s">
        <v>1494</v>
      </c>
      <c r="X1340" s="1310" t="s">
        <v>121</v>
      </c>
      <c r="Y1340" s="1310" t="s">
        <v>1582</v>
      </c>
      <c r="Z1340" s="1310" t="s">
        <v>119</v>
      </c>
      <c r="AA1340" s="1310" t="s">
        <v>1615</v>
      </c>
      <c r="AB1340" s="1310" t="s">
        <v>1483</v>
      </c>
      <c r="AC1340" s="1310" t="s">
        <v>1483</v>
      </c>
      <c r="AD1340" s="1310" t="s">
        <v>1524</v>
      </c>
      <c r="AE1340" s="1310" t="s">
        <v>1628</v>
      </c>
      <c r="AF1340" s="1310" t="s">
        <v>1505</v>
      </c>
    </row>
    <row r="1341" spans="1:32" x14ac:dyDescent="0.3">
      <c r="A1341" s="1310" t="s">
        <v>1631</v>
      </c>
      <c r="B1341" s="1310" t="s">
        <v>1648</v>
      </c>
      <c r="C1341" s="1310" t="s">
        <v>1604</v>
      </c>
      <c r="D1341" s="1310" t="s">
        <v>1482</v>
      </c>
      <c r="E1341" s="1310" t="s">
        <v>1600</v>
      </c>
      <c r="F1341" s="1310" t="s">
        <v>1642</v>
      </c>
      <c r="G1341" s="1310" t="s">
        <v>1447</v>
      </c>
      <c r="H1341" s="1310" t="s">
        <v>1579</v>
      </c>
      <c r="I1341" s="1310" t="s">
        <v>1619</v>
      </c>
      <c r="J1341" s="1310" t="s">
        <v>1477</v>
      </c>
      <c r="K1341" s="1310" t="s">
        <v>1507</v>
      </c>
      <c r="L1341" s="1310" t="s">
        <v>1480</v>
      </c>
      <c r="M1341" s="1310" t="s">
        <v>1613</v>
      </c>
      <c r="N1341" s="1310" t="s">
        <v>1535</v>
      </c>
      <c r="O1341" s="1310" t="s">
        <v>1637</v>
      </c>
      <c r="P1341" s="1310" t="s">
        <v>1482</v>
      </c>
      <c r="Q1341" s="1310" t="s">
        <v>1558</v>
      </c>
      <c r="R1341" s="1310" t="s">
        <v>1498</v>
      </c>
      <c r="S1341" s="1310" t="s">
        <v>1492</v>
      </c>
      <c r="T1341" s="1310" t="s">
        <v>1618</v>
      </c>
      <c r="U1341" s="1310" t="s">
        <v>1469</v>
      </c>
      <c r="V1341" s="1310" t="s">
        <v>1495</v>
      </c>
      <c r="W1341" s="1310" t="s">
        <v>1614</v>
      </c>
      <c r="X1341" s="1310" t="s">
        <v>1646</v>
      </c>
      <c r="Y1341" s="1310" t="s">
        <v>1587</v>
      </c>
      <c r="Z1341" s="1310" t="s">
        <v>1493</v>
      </c>
      <c r="AA1341" s="1310" t="s">
        <v>1654</v>
      </c>
      <c r="AB1341" s="1310" t="s">
        <v>1560</v>
      </c>
      <c r="AC1341" s="1310" t="s">
        <v>1564</v>
      </c>
      <c r="AD1341" s="1310" t="s">
        <v>1630</v>
      </c>
      <c r="AE1341" s="1310" t="s">
        <v>1487</v>
      </c>
      <c r="AF1341" s="1310" t="s">
        <v>1627</v>
      </c>
    </row>
    <row r="1342" spans="1:32" x14ac:dyDescent="0.3">
      <c r="A1342" s="1310" t="s">
        <v>1457</v>
      </c>
      <c r="B1342" s="1310" t="s">
        <v>1531</v>
      </c>
      <c r="C1342" s="1310" t="s">
        <v>1605</v>
      </c>
      <c r="D1342" s="1310" t="s">
        <v>1586</v>
      </c>
      <c r="E1342" s="1310" t="s">
        <v>1570</v>
      </c>
      <c r="F1342" s="1310" t="s">
        <v>1599</v>
      </c>
      <c r="G1342" s="1310" t="s">
        <v>1547</v>
      </c>
      <c r="H1342" s="1310" t="s">
        <v>1559</v>
      </c>
      <c r="I1342" s="1310" t="s">
        <v>132</v>
      </c>
      <c r="J1342" s="1310" t="s">
        <v>1463</v>
      </c>
      <c r="K1342" s="1310" t="s">
        <v>1629</v>
      </c>
      <c r="L1342" s="1310" t="s">
        <v>1583</v>
      </c>
      <c r="M1342" s="1310" t="s">
        <v>1608</v>
      </c>
      <c r="N1342" s="1310" t="s">
        <v>1550</v>
      </c>
      <c r="O1342" s="1310" t="s">
        <v>1635</v>
      </c>
      <c r="P1342" s="1310" t="s">
        <v>1638</v>
      </c>
      <c r="Q1342" s="1310" t="s">
        <v>1586</v>
      </c>
      <c r="R1342" s="1310" t="s">
        <v>1605</v>
      </c>
      <c r="S1342" s="1310" t="s">
        <v>1579</v>
      </c>
      <c r="T1342" s="1310" t="s">
        <v>1465</v>
      </c>
      <c r="U1342" s="1310" t="s">
        <v>1472</v>
      </c>
      <c r="V1342" s="1310" t="s">
        <v>1570</v>
      </c>
      <c r="W1342" s="1310" t="s">
        <v>1494</v>
      </c>
      <c r="X1342" s="1310" t="s">
        <v>128</v>
      </c>
      <c r="Y1342" s="1310" t="s">
        <v>1455</v>
      </c>
      <c r="Z1342" s="1310" t="s">
        <v>1485</v>
      </c>
      <c r="AA1342" s="1310" t="s">
        <v>116</v>
      </c>
      <c r="AB1342" s="1310" t="s">
        <v>1460</v>
      </c>
      <c r="AC1342" s="1310" t="s">
        <v>1470</v>
      </c>
      <c r="AD1342" s="1310" t="s">
        <v>1605</v>
      </c>
      <c r="AE1342" s="1310" t="s">
        <v>1572</v>
      </c>
      <c r="AF1342" s="1310" t="s">
        <v>1514</v>
      </c>
    </row>
    <row r="1343" spans="1:32" x14ac:dyDescent="0.3">
      <c r="A1343" s="1310" t="s">
        <v>1491</v>
      </c>
      <c r="B1343" s="1310" t="s">
        <v>1642</v>
      </c>
      <c r="C1343" s="1310" t="s">
        <v>1529</v>
      </c>
      <c r="D1343" s="1310" t="s">
        <v>1653</v>
      </c>
      <c r="E1343" s="1310" t="s">
        <v>1573</v>
      </c>
      <c r="F1343" s="1310" t="s">
        <v>1591</v>
      </c>
      <c r="G1343" s="1310" t="s">
        <v>1637</v>
      </c>
      <c r="H1343" s="1310" t="s">
        <v>120</v>
      </c>
      <c r="I1343" s="1310" t="s">
        <v>1642</v>
      </c>
      <c r="J1343" s="1310" t="s">
        <v>1591</v>
      </c>
      <c r="K1343" s="1310" t="s">
        <v>1454</v>
      </c>
      <c r="L1343" s="1310" t="s">
        <v>128</v>
      </c>
      <c r="M1343" s="1310" t="s">
        <v>1646</v>
      </c>
      <c r="N1343" s="1310" t="s">
        <v>125</v>
      </c>
      <c r="O1343" s="1310" t="s">
        <v>1509</v>
      </c>
      <c r="P1343" s="1310" t="s">
        <v>1481</v>
      </c>
      <c r="Q1343" s="1310" t="s">
        <v>1458</v>
      </c>
      <c r="R1343" s="1310" t="s">
        <v>1461</v>
      </c>
      <c r="S1343" s="1310" t="s">
        <v>1472</v>
      </c>
      <c r="T1343" s="1310" t="s">
        <v>1617</v>
      </c>
      <c r="U1343" s="1310" t="s">
        <v>1455</v>
      </c>
      <c r="V1343" s="1310" t="s">
        <v>1445</v>
      </c>
      <c r="W1343" s="1310" t="s">
        <v>1613</v>
      </c>
      <c r="X1343" s="1310" t="s">
        <v>126</v>
      </c>
      <c r="Y1343" s="1310" t="s">
        <v>1619</v>
      </c>
      <c r="Z1343" s="1310" t="s">
        <v>1476</v>
      </c>
      <c r="AA1343" s="1310" t="s">
        <v>128</v>
      </c>
      <c r="AB1343" s="1310" t="s">
        <v>120</v>
      </c>
      <c r="AC1343" s="1310" t="s">
        <v>1581</v>
      </c>
      <c r="AD1343" s="1310" t="s">
        <v>120</v>
      </c>
      <c r="AE1343" s="1310" t="s">
        <v>1595</v>
      </c>
      <c r="AF1343" s="1310" t="s">
        <v>1590</v>
      </c>
    </row>
    <row r="1344" spans="1:32" x14ac:dyDescent="0.3">
      <c r="A1344" s="1310" t="s">
        <v>1457</v>
      </c>
      <c r="B1344" s="1310" t="s">
        <v>1540</v>
      </c>
      <c r="C1344" s="1310" t="s">
        <v>1479</v>
      </c>
      <c r="D1344" s="1310" t="s">
        <v>267</v>
      </c>
      <c r="E1344" s="1310" t="s">
        <v>1605</v>
      </c>
      <c r="F1344" s="1310" t="s">
        <v>1606</v>
      </c>
      <c r="G1344" s="1310" t="s">
        <v>1489</v>
      </c>
      <c r="H1344" s="1310" t="s">
        <v>1574</v>
      </c>
      <c r="I1344" s="1310" t="s">
        <v>1495</v>
      </c>
      <c r="J1344" s="1310" t="s">
        <v>129</v>
      </c>
      <c r="K1344" s="1310" t="s">
        <v>1548</v>
      </c>
      <c r="L1344" s="1310" t="s">
        <v>1456</v>
      </c>
      <c r="M1344" s="1310" t="s">
        <v>1601</v>
      </c>
      <c r="N1344" s="1310" t="s">
        <v>1600</v>
      </c>
      <c r="O1344" s="1310" t="s">
        <v>128</v>
      </c>
      <c r="P1344" s="1310" t="s">
        <v>1630</v>
      </c>
      <c r="Q1344" s="1310" t="s">
        <v>1629</v>
      </c>
      <c r="R1344" s="1310" t="s">
        <v>1515</v>
      </c>
      <c r="S1344" s="1310" t="s">
        <v>1549</v>
      </c>
      <c r="T1344" s="1310" t="s">
        <v>1614</v>
      </c>
      <c r="U1344" s="1310" t="s">
        <v>1486</v>
      </c>
      <c r="V1344" s="1310" t="s">
        <v>1452</v>
      </c>
      <c r="W1344" s="1310" t="s">
        <v>1624</v>
      </c>
      <c r="X1344" s="1310" t="s">
        <v>1622</v>
      </c>
      <c r="Y1344" s="1310" t="s">
        <v>1470</v>
      </c>
      <c r="Z1344" s="1310" t="s">
        <v>1526</v>
      </c>
      <c r="AA1344" s="1310" t="s">
        <v>265</v>
      </c>
      <c r="AB1344" s="1310" t="s">
        <v>1557</v>
      </c>
      <c r="AC1344" s="1310" t="s">
        <v>1599</v>
      </c>
      <c r="AD1344" s="1310" t="s">
        <v>1452</v>
      </c>
      <c r="AE1344" s="1310" t="s">
        <v>1521</v>
      </c>
      <c r="AF1344" s="1310" t="s">
        <v>1482</v>
      </c>
    </row>
    <row r="1345" spans="1:32" x14ac:dyDescent="0.3">
      <c r="A1345" s="1310" t="s">
        <v>1502</v>
      </c>
      <c r="B1345" s="1310" t="s">
        <v>1537</v>
      </c>
      <c r="C1345" s="1310" t="s">
        <v>1576</v>
      </c>
      <c r="D1345" s="1310" t="s">
        <v>1541</v>
      </c>
      <c r="E1345" s="1310" t="s">
        <v>1444</v>
      </c>
      <c r="F1345" s="1310" t="s">
        <v>465</v>
      </c>
      <c r="G1345" s="1310" t="s">
        <v>114</v>
      </c>
      <c r="H1345" s="1310" t="s">
        <v>1541</v>
      </c>
      <c r="I1345" s="1310" t="s">
        <v>130</v>
      </c>
      <c r="J1345" s="1310" t="s">
        <v>1611</v>
      </c>
      <c r="K1345" s="1310" t="s">
        <v>1498</v>
      </c>
      <c r="L1345" s="1310" t="s">
        <v>1514</v>
      </c>
      <c r="M1345" s="1310" t="s">
        <v>1541</v>
      </c>
      <c r="N1345" s="1310" t="s">
        <v>1660</v>
      </c>
      <c r="O1345" s="1310" t="s">
        <v>123</v>
      </c>
      <c r="P1345" s="1310" t="s">
        <v>1455</v>
      </c>
      <c r="Q1345" s="1310" t="s">
        <v>1528</v>
      </c>
      <c r="R1345" s="1310" t="s">
        <v>1555</v>
      </c>
      <c r="S1345" s="1310" t="s">
        <v>1455</v>
      </c>
      <c r="T1345" s="1310" t="s">
        <v>1475</v>
      </c>
      <c r="U1345" s="1310" t="s">
        <v>1500</v>
      </c>
      <c r="V1345" s="1310" t="s">
        <v>1522</v>
      </c>
      <c r="W1345" s="1310" t="s">
        <v>1610</v>
      </c>
      <c r="X1345" s="1310" t="s">
        <v>1603</v>
      </c>
      <c r="Y1345" s="1310" t="s">
        <v>1565</v>
      </c>
      <c r="Z1345" s="1310" t="s">
        <v>125</v>
      </c>
      <c r="AA1345" s="1310" t="s">
        <v>1660</v>
      </c>
      <c r="AB1345" s="1310" t="s">
        <v>1565</v>
      </c>
      <c r="AC1345" s="1310" t="s">
        <v>1493</v>
      </c>
      <c r="AD1345" s="1310" t="s">
        <v>1454</v>
      </c>
      <c r="AE1345" s="1310" t="s">
        <v>1628</v>
      </c>
      <c r="AF1345" s="1310" t="s">
        <v>1567</v>
      </c>
    </row>
    <row r="1346" spans="1:32" x14ac:dyDescent="0.3">
      <c r="A1346" s="1310" t="s">
        <v>129</v>
      </c>
      <c r="B1346" s="1310" t="s">
        <v>1587</v>
      </c>
      <c r="C1346" s="1310" t="s">
        <v>1565</v>
      </c>
      <c r="D1346" s="1310" t="s">
        <v>1615</v>
      </c>
      <c r="E1346" s="1310" t="s">
        <v>1578</v>
      </c>
      <c r="F1346" s="1310" t="s">
        <v>1503</v>
      </c>
      <c r="G1346" s="1310" t="s">
        <v>1646</v>
      </c>
      <c r="H1346" s="1310" t="s">
        <v>1447</v>
      </c>
      <c r="I1346" s="1310" t="s">
        <v>1564</v>
      </c>
      <c r="J1346" s="1310" t="s">
        <v>1507</v>
      </c>
      <c r="K1346" s="1310" t="s">
        <v>1583</v>
      </c>
      <c r="L1346" s="1310" t="s">
        <v>1534</v>
      </c>
      <c r="M1346" s="1310" t="s">
        <v>1649</v>
      </c>
      <c r="N1346" s="1310" t="s">
        <v>263</v>
      </c>
      <c r="O1346" s="1310" t="s">
        <v>1562</v>
      </c>
      <c r="P1346" s="1310" t="s">
        <v>1580</v>
      </c>
      <c r="Q1346" s="1310" t="s">
        <v>1645</v>
      </c>
      <c r="R1346" s="1310" t="s">
        <v>1563</v>
      </c>
      <c r="S1346" s="1310" t="s">
        <v>1446</v>
      </c>
      <c r="T1346" s="1310" t="s">
        <v>1633</v>
      </c>
      <c r="U1346" s="1310" t="s">
        <v>112</v>
      </c>
      <c r="V1346" s="1310" t="s">
        <v>1574</v>
      </c>
      <c r="W1346" s="1310" t="s">
        <v>1513</v>
      </c>
      <c r="X1346" s="1310" t="s">
        <v>1482</v>
      </c>
      <c r="Y1346" s="1310" t="s">
        <v>1658</v>
      </c>
      <c r="Z1346" s="1310" t="s">
        <v>1496</v>
      </c>
      <c r="AA1346" s="1310" t="s">
        <v>1540</v>
      </c>
      <c r="AB1346" s="1310" t="s">
        <v>110</v>
      </c>
      <c r="AC1346" s="1310" t="s">
        <v>1448</v>
      </c>
      <c r="AD1346" s="1310" t="s">
        <v>465</v>
      </c>
      <c r="AE1346" s="1310" t="s">
        <v>1446</v>
      </c>
      <c r="AF1346" s="1310" t="s">
        <v>1597</v>
      </c>
    </row>
    <row r="1347" spans="1:32" x14ac:dyDescent="0.3">
      <c r="A1347" s="1310" t="s">
        <v>1568</v>
      </c>
      <c r="B1347" s="1310" t="s">
        <v>1638</v>
      </c>
      <c r="C1347" s="1310" t="s">
        <v>1455</v>
      </c>
      <c r="D1347" s="1310" t="s">
        <v>1561</v>
      </c>
      <c r="E1347" s="1310" t="s">
        <v>1536</v>
      </c>
      <c r="F1347" s="1310" t="s">
        <v>1566</v>
      </c>
      <c r="G1347" s="1310" t="s">
        <v>114</v>
      </c>
      <c r="H1347" s="1310" t="s">
        <v>1479</v>
      </c>
      <c r="I1347" s="1310" t="s">
        <v>1640</v>
      </c>
      <c r="J1347" s="1310" t="s">
        <v>1625</v>
      </c>
      <c r="K1347" s="1310" t="s">
        <v>120</v>
      </c>
      <c r="L1347" s="1310" t="s">
        <v>1447</v>
      </c>
      <c r="M1347" s="1310" t="s">
        <v>1541</v>
      </c>
      <c r="N1347" s="1310" t="s">
        <v>1615</v>
      </c>
      <c r="O1347" s="1310" t="s">
        <v>1597</v>
      </c>
      <c r="P1347" s="1310" t="s">
        <v>1618</v>
      </c>
      <c r="Q1347" s="1310" t="s">
        <v>263</v>
      </c>
      <c r="R1347" s="1310" t="s">
        <v>117</v>
      </c>
      <c r="S1347" s="1310" t="s">
        <v>1481</v>
      </c>
      <c r="T1347" s="1310" t="s">
        <v>1616</v>
      </c>
      <c r="U1347" s="1310" t="s">
        <v>1544</v>
      </c>
      <c r="V1347" s="1310" t="s">
        <v>1584</v>
      </c>
      <c r="W1347" s="1310" t="s">
        <v>1519</v>
      </c>
      <c r="X1347" s="1310" t="s">
        <v>1537</v>
      </c>
      <c r="Y1347" s="1310" t="s">
        <v>266</v>
      </c>
      <c r="Z1347" s="1310" t="s">
        <v>270</v>
      </c>
      <c r="AA1347" s="1310" t="s">
        <v>1541</v>
      </c>
      <c r="AB1347" s="1310" t="s">
        <v>1499</v>
      </c>
      <c r="AC1347" s="1310" t="s">
        <v>1575</v>
      </c>
      <c r="AD1347" s="1310" t="s">
        <v>1476</v>
      </c>
      <c r="AE1347" s="1310" t="s">
        <v>1554</v>
      </c>
      <c r="AF1347" s="1310" t="s">
        <v>1648</v>
      </c>
    </row>
    <row r="1348" spans="1:32" x14ac:dyDescent="0.3">
      <c r="A1348" s="1310" t="s">
        <v>1648</v>
      </c>
      <c r="B1348" s="1310" t="s">
        <v>1530</v>
      </c>
      <c r="C1348" s="1310" t="s">
        <v>1557</v>
      </c>
      <c r="D1348" s="1310" t="s">
        <v>265</v>
      </c>
      <c r="E1348" s="1310" t="s">
        <v>1487</v>
      </c>
      <c r="F1348" s="1310" t="s">
        <v>1640</v>
      </c>
      <c r="G1348" s="1310" t="s">
        <v>1457</v>
      </c>
      <c r="H1348" s="1310" t="s">
        <v>1514</v>
      </c>
      <c r="I1348" s="1310" t="s">
        <v>1461</v>
      </c>
      <c r="J1348" s="1310" t="s">
        <v>1558</v>
      </c>
      <c r="K1348" s="1310" t="s">
        <v>1617</v>
      </c>
      <c r="L1348" s="1310" t="s">
        <v>471</v>
      </c>
      <c r="M1348" s="1310" t="s">
        <v>123</v>
      </c>
      <c r="N1348" s="1310" t="s">
        <v>1449</v>
      </c>
      <c r="O1348" s="1310" t="s">
        <v>1557</v>
      </c>
      <c r="P1348" s="1310" t="s">
        <v>1609</v>
      </c>
      <c r="Q1348" s="1310" t="s">
        <v>267</v>
      </c>
      <c r="R1348" s="1310" t="s">
        <v>1556</v>
      </c>
      <c r="S1348" s="1310" t="s">
        <v>1585</v>
      </c>
      <c r="T1348" s="1310" t="s">
        <v>1537</v>
      </c>
      <c r="U1348" s="1310" t="s">
        <v>1573</v>
      </c>
      <c r="V1348" s="1310" t="s">
        <v>1628</v>
      </c>
      <c r="W1348" s="1310" t="s">
        <v>1580</v>
      </c>
      <c r="X1348" s="1310" t="s">
        <v>1464</v>
      </c>
      <c r="Y1348" s="1310" t="s">
        <v>1618</v>
      </c>
      <c r="Z1348" s="1310" t="s">
        <v>1654</v>
      </c>
      <c r="AA1348" s="1310" t="s">
        <v>1533</v>
      </c>
      <c r="AB1348" s="1310" t="s">
        <v>110</v>
      </c>
      <c r="AC1348" s="1310" t="s">
        <v>129</v>
      </c>
      <c r="AD1348" s="1310" t="s">
        <v>1629</v>
      </c>
      <c r="AE1348" s="1310" t="s">
        <v>1619</v>
      </c>
      <c r="AF1348" s="1310" t="s">
        <v>1472</v>
      </c>
    </row>
    <row r="1349" spans="1:32" x14ac:dyDescent="0.3">
      <c r="A1349" s="1310" t="s">
        <v>1561</v>
      </c>
      <c r="B1349" s="1310" t="s">
        <v>1627</v>
      </c>
      <c r="C1349" s="1310" t="s">
        <v>1535</v>
      </c>
      <c r="D1349" s="1310" t="s">
        <v>1545</v>
      </c>
      <c r="E1349" s="1310" t="s">
        <v>1636</v>
      </c>
      <c r="F1349" s="1310" t="s">
        <v>1658</v>
      </c>
      <c r="G1349" s="1310" t="s">
        <v>1503</v>
      </c>
      <c r="H1349" s="1310" t="s">
        <v>1479</v>
      </c>
      <c r="I1349" s="1310" t="s">
        <v>1659</v>
      </c>
      <c r="J1349" s="1310" t="s">
        <v>1464</v>
      </c>
      <c r="K1349" s="1310" t="s">
        <v>1467</v>
      </c>
      <c r="L1349" s="1310" t="s">
        <v>1521</v>
      </c>
      <c r="M1349" s="1310" t="s">
        <v>1585</v>
      </c>
      <c r="N1349" s="1310" t="s">
        <v>1554</v>
      </c>
      <c r="O1349" s="1310" t="s">
        <v>116</v>
      </c>
      <c r="P1349" s="1310" t="s">
        <v>1566</v>
      </c>
      <c r="Q1349" s="1310" t="s">
        <v>1546</v>
      </c>
      <c r="R1349" s="1310" t="s">
        <v>1654</v>
      </c>
      <c r="S1349" s="1310" t="s">
        <v>1558</v>
      </c>
      <c r="T1349" s="1310" t="s">
        <v>1554</v>
      </c>
      <c r="U1349" s="1310" t="s">
        <v>1454</v>
      </c>
      <c r="V1349" s="1310" t="s">
        <v>1482</v>
      </c>
      <c r="W1349" s="1310" t="s">
        <v>1560</v>
      </c>
      <c r="X1349" s="1310" t="s">
        <v>126</v>
      </c>
      <c r="Y1349" s="1310" t="s">
        <v>1498</v>
      </c>
      <c r="Z1349" s="1310" t="s">
        <v>1487</v>
      </c>
      <c r="AA1349" s="1310" t="s">
        <v>1637</v>
      </c>
      <c r="AB1349" s="1310" t="s">
        <v>1626</v>
      </c>
      <c r="AC1349" s="1310" t="s">
        <v>1455</v>
      </c>
      <c r="AD1349" s="1310" t="s">
        <v>113</v>
      </c>
      <c r="AE1349" s="1310" t="s">
        <v>1499</v>
      </c>
      <c r="AF1349" s="1310" t="s">
        <v>1646</v>
      </c>
    </row>
    <row r="1350" spans="1:32" x14ac:dyDescent="0.3">
      <c r="A1350" s="1310" t="s">
        <v>1648</v>
      </c>
      <c r="B1350" s="1310" t="s">
        <v>1480</v>
      </c>
      <c r="C1350" s="1310" t="s">
        <v>1478</v>
      </c>
      <c r="D1350" s="1310" t="s">
        <v>1518</v>
      </c>
      <c r="E1350" s="1310" t="s">
        <v>1552</v>
      </c>
      <c r="F1350" s="1310" t="s">
        <v>1590</v>
      </c>
      <c r="G1350" s="1310" t="s">
        <v>1468</v>
      </c>
      <c r="H1350" s="1310" t="s">
        <v>125</v>
      </c>
      <c r="I1350" s="1310" t="s">
        <v>1485</v>
      </c>
      <c r="J1350" s="1310" t="s">
        <v>1570</v>
      </c>
      <c r="K1350" s="1310" t="s">
        <v>121</v>
      </c>
      <c r="L1350" s="1310" t="s">
        <v>131</v>
      </c>
      <c r="M1350" s="1310" t="s">
        <v>1556</v>
      </c>
      <c r="N1350" s="1310" t="s">
        <v>1581</v>
      </c>
      <c r="O1350" s="1310" t="s">
        <v>1517</v>
      </c>
      <c r="P1350" s="1310" t="s">
        <v>1625</v>
      </c>
      <c r="Q1350" s="1310" t="s">
        <v>1605</v>
      </c>
      <c r="R1350" s="1310" t="s">
        <v>1637</v>
      </c>
      <c r="S1350" s="1310" t="s">
        <v>1521</v>
      </c>
      <c r="T1350" s="1310" t="s">
        <v>1451</v>
      </c>
      <c r="U1350" s="1310" t="s">
        <v>1508</v>
      </c>
      <c r="V1350" s="1310" t="s">
        <v>1553</v>
      </c>
      <c r="W1350" s="1310" t="s">
        <v>1529</v>
      </c>
      <c r="X1350" s="1310" t="s">
        <v>1581</v>
      </c>
      <c r="Y1350" s="1310" t="s">
        <v>1473</v>
      </c>
      <c r="Z1350" s="1310" t="s">
        <v>131</v>
      </c>
      <c r="AA1350" s="1310" t="s">
        <v>1558</v>
      </c>
      <c r="AB1350" s="1310" t="s">
        <v>1634</v>
      </c>
      <c r="AC1350" s="1310" t="s">
        <v>1576</v>
      </c>
      <c r="AD1350" s="1310" t="s">
        <v>1537</v>
      </c>
      <c r="AE1350" s="1310" t="s">
        <v>1562</v>
      </c>
      <c r="AF1350" s="1310" t="s">
        <v>1452</v>
      </c>
    </row>
    <row r="1351" spans="1:32" x14ac:dyDescent="0.3">
      <c r="A1351" s="1310" t="s">
        <v>1610</v>
      </c>
      <c r="B1351" s="1310" t="s">
        <v>1657</v>
      </c>
      <c r="C1351" s="1310" t="s">
        <v>1460</v>
      </c>
      <c r="D1351" s="1310" t="s">
        <v>1526</v>
      </c>
      <c r="E1351" s="1310" t="s">
        <v>1468</v>
      </c>
      <c r="F1351" s="1310" t="s">
        <v>116</v>
      </c>
      <c r="G1351" s="1310" t="s">
        <v>1461</v>
      </c>
      <c r="H1351" s="1310" t="s">
        <v>1528</v>
      </c>
      <c r="I1351" s="1310" t="s">
        <v>1584</v>
      </c>
      <c r="J1351" s="1310" t="s">
        <v>133</v>
      </c>
      <c r="K1351" s="1310" t="s">
        <v>1469</v>
      </c>
      <c r="L1351" s="1310" t="s">
        <v>1471</v>
      </c>
      <c r="M1351" s="1310" t="s">
        <v>1514</v>
      </c>
      <c r="N1351" s="1310" t="s">
        <v>1487</v>
      </c>
      <c r="O1351" s="1310" t="s">
        <v>1492</v>
      </c>
      <c r="P1351" s="1310" t="s">
        <v>267</v>
      </c>
      <c r="Q1351" s="1310" t="s">
        <v>1481</v>
      </c>
      <c r="R1351" s="1310" t="s">
        <v>1460</v>
      </c>
      <c r="S1351" s="1310" t="s">
        <v>1478</v>
      </c>
      <c r="T1351" s="1310" t="s">
        <v>1474</v>
      </c>
      <c r="U1351" s="1310" t="s">
        <v>1509</v>
      </c>
      <c r="V1351" s="1310" t="s">
        <v>1554</v>
      </c>
      <c r="W1351" s="1310" t="s">
        <v>1452</v>
      </c>
      <c r="X1351" s="1310" t="s">
        <v>1621</v>
      </c>
      <c r="Y1351" s="1310" t="s">
        <v>1541</v>
      </c>
      <c r="Z1351" s="1310" t="s">
        <v>1444</v>
      </c>
      <c r="AA1351" s="1310" t="s">
        <v>465</v>
      </c>
      <c r="AB1351" s="1310" t="s">
        <v>114</v>
      </c>
      <c r="AC1351" s="1310" t="s">
        <v>1488</v>
      </c>
      <c r="AD1351" s="1310" t="s">
        <v>1455</v>
      </c>
      <c r="AE1351" s="1310" t="s">
        <v>1635</v>
      </c>
      <c r="AF1351" s="1310" t="s">
        <v>1549</v>
      </c>
    </row>
    <row r="1352" spans="1:32" x14ac:dyDescent="0.3">
      <c r="A1352" s="1310" t="s">
        <v>1644</v>
      </c>
      <c r="B1352" s="1310" t="s">
        <v>1632</v>
      </c>
      <c r="C1352" s="1310" t="s">
        <v>1600</v>
      </c>
      <c r="D1352" s="1310" t="s">
        <v>1509</v>
      </c>
      <c r="E1352" s="1310" t="s">
        <v>1580</v>
      </c>
      <c r="F1352" s="1310" t="s">
        <v>1443</v>
      </c>
      <c r="G1352" s="1310" t="s">
        <v>1634</v>
      </c>
      <c r="H1352" s="1310" t="s">
        <v>1571</v>
      </c>
      <c r="I1352" s="1310" t="s">
        <v>1562</v>
      </c>
      <c r="J1352" s="1310" t="s">
        <v>1452</v>
      </c>
      <c r="K1352" s="1310" t="s">
        <v>1621</v>
      </c>
      <c r="L1352" s="1310" t="s">
        <v>1541</v>
      </c>
      <c r="M1352" s="1310" t="s">
        <v>1444</v>
      </c>
      <c r="N1352" s="1310" t="s">
        <v>465</v>
      </c>
      <c r="O1352" s="1310" t="s">
        <v>114</v>
      </c>
      <c r="P1352" s="1310" t="s">
        <v>1488</v>
      </c>
      <c r="Q1352" s="1310" t="s">
        <v>1455</v>
      </c>
      <c r="R1352" s="1310" t="s">
        <v>1635</v>
      </c>
      <c r="S1352" s="1310" t="s">
        <v>1549</v>
      </c>
      <c r="T1352" s="1310" t="s">
        <v>1644</v>
      </c>
      <c r="U1352" s="1310" t="s">
        <v>1632</v>
      </c>
      <c r="V1352" s="1310" t="s">
        <v>1600</v>
      </c>
      <c r="W1352" s="1310" t="s">
        <v>1509</v>
      </c>
      <c r="X1352" s="1310" t="s">
        <v>1554</v>
      </c>
      <c r="Y1352" s="1310" t="s">
        <v>1452</v>
      </c>
      <c r="Z1352" s="1310" t="s">
        <v>1621</v>
      </c>
      <c r="AA1352" s="1310" t="s">
        <v>1541</v>
      </c>
      <c r="AB1352" s="1310" t="s">
        <v>1656</v>
      </c>
      <c r="AC1352" s="1310" t="s">
        <v>1580</v>
      </c>
      <c r="AD1352" s="1310" t="s">
        <v>132</v>
      </c>
      <c r="AE1352" s="1310" t="s">
        <v>1544</v>
      </c>
      <c r="AF1352" s="1310" t="s">
        <v>1575</v>
      </c>
    </row>
    <row r="1353" spans="1:32" x14ac:dyDescent="0.3">
      <c r="A1353" s="1310" t="s">
        <v>1602</v>
      </c>
      <c r="B1353" s="1310" t="s">
        <v>1533</v>
      </c>
      <c r="C1353" s="1310" t="s">
        <v>1602</v>
      </c>
      <c r="D1353" s="1310" t="s">
        <v>1537</v>
      </c>
      <c r="E1353" s="1310" t="s">
        <v>471</v>
      </c>
      <c r="F1353" s="1310" t="s">
        <v>1653</v>
      </c>
      <c r="G1353" s="1310" t="s">
        <v>1556</v>
      </c>
      <c r="H1353" s="1310" t="s">
        <v>1030</v>
      </c>
      <c r="I1353" s="1310" t="s">
        <v>1624</v>
      </c>
      <c r="J1353" s="1310" t="s">
        <v>1649</v>
      </c>
      <c r="K1353" s="1310" t="s">
        <v>1501</v>
      </c>
      <c r="L1353" s="1310" t="s">
        <v>1601</v>
      </c>
      <c r="M1353" s="1310" t="s">
        <v>1454</v>
      </c>
      <c r="N1353" s="1310" t="s">
        <v>115</v>
      </c>
      <c r="O1353" s="1310" t="s">
        <v>1493</v>
      </c>
      <c r="P1353" s="1310" t="s">
        <v>1454</v>
      </c>
      <c r="Q1353" s="1310" t="s">
        <v>1479</v>
      </c>
      <c r="R1353" s="1310" t="s">
        <v>262</v>
      </c>
      <c r="S1353" s="1310" t="s">
        <v>1628</v>
      </c>
      <c r="T1353" s="1310" t="s">
        <v>130</v>
      </c>
      <c r="U1353" s="1310" t="s">
        <v>465</v>
      </c>
      <c r="V1353" s="1310" t="s">
        <v>1504</v>
      </c>
      <c r="W1353" s="1310" t="s">
        <v>1535</v>
      </c>
      <c r="X1353" s="1310" t="s">
        <v>1532</v>
      </c>
      <c r="Y1353" s="1310" t="s">
        <v>1466</v>
      </c>
      <c r="Z1353" s="1310" t="s">
        <v>1521</v>
      </c>
      <c r="AA1353" s="1310" t="s">
        <v>1611</v>
      </c>
      <c r="AB1353" s="1310" t="s">
        <v>1488</v>
      </c>
      <c r="AC1353" s="1310" t="s">
        <v>129</v>
      </c>
      <c r="AD1353" s="1310" t="s">
        <v>1642</v>
      </c>
      <c r="AE1353" s="1310" t="s">
        <v>266</v>
      </c>
      <c r="AF1353" s="1310" t="s">
        <v>1501</v>
      </c>
    </row>
    <row r="1354" spans="1:32" x14ac:dyDescent="0.3">
      <c r="A1354" s="1310" t="s">
        <v>1544</v>
      </c>
      <c r="B1354" s="1310" t="s">
        <v>116</v>
      </c>
      <c r="C1354" s="1310" t="s">
        <v>1576</v>
      </c>
      <c r="D1354" s="1310" t="s">
        <v>1516</v>
      </c>
      <c r="E1354" s="1310" t="s">
        <v>1638</v>
      </c>
      <c r="F1354" s="1310" t="s">
        <v>1567</v>
      </c>
      <c r="G1354" s="1310" t="s">
        <v>1571</v>
      </c>
      <c r="H1354" s="1310" t="s">
        <v>1454</v>
      </c>
      <c r="I1354" s="1310" t="s">
        <v>1595</v>
      </c>
      <c r="J1354" s="1310" t="s">
        <v>133</v>
      </c>
      <c r="K1354" s="1310" t="s">
        <v>1555</v>
      </c>
      <c r="L1354" s="1310" t="s">
        <v>1596</v>
      </c>
      <c r="M1354" s="1310" t="s">
        <v>1637</v>
      </c>
      <c r="N1354" s="1310" t="s">
        <v>1591</v>
      </c>
      <c r="O1354" s="1310" t="s">
        <v>1454</v>
      </c>
      <c r="P1354" s="1310" t="s">
        <v>1448</v>
      </c>
      <c r="Q1354" s="1310" t="s">
        <v>1551</v>
      </c>
      <c r="R1354" s="1310" t="s">
        <v>1483</v>
      </c>
      <c r="S1354" s="1310" t="s">
        <v>1637</v>
      </c>
      <c r="T1354" s="1310" t="s">
        <v>1660</v>
      </c>
      <c r="U1354" s="1310" t="s">
        <v>1506</v>
      </c>
      <c r="V1354" s="1310" t="s">
        <v>116</v>
      </c>
      <c r="W1354" s="1310" t="s">
        <v>1603</v>
      </c>
      <c r="X1354" s="1310" t="s">
        <v>1655</v>
      </c>
      <c r="Y1354" s="1310" t="s">
        <v>1551</v>
      </c>
      <c r="Z1354" s="1310" t="s">
        <v>1512</v>
      </c>
      <c r="AA1354" s="1310" t="s">
        <v>1537</v>
      </c>
      <c r="AB1354" s="1310" t="s">
        <v>1476</v>
      </c>
      <c r="AC1354" s="1310" t="s">
        <v>1594</v>
      </c>
      <c r="AD1354" s="1310" t="s">
        <v>1579</v>
      </c>
      <c r="AE1354" s="1310" t="s">
        <v>1554</v>
      </c>
      <c r="AF1354" s="1310" t="s">
        <v>1576</v>
      </c>
    </row>
    <row r="1355" spans="1:32" x14ac:dyDescent="0.3">
      <c r="A1355" s="1310" t="s">
        <v>1632</v>
      </c>
      <c r="B1355" s="1310" t="s">
        <v>1499</v>
      </c>
      <c r="C1355" s="1310" t="s">
        <v>1463</v>
      </c>
      <c r="D1355" s="1310" t="s">
        <v>1655</v>
      </c>
      <c r="E1355" s="1310" t="s">
        <v>1622</v>
      </c>
      <c r="F1355" s="1310" t="s">
        <v>1490</v>
      </c>
      <c r="G1355" s="1310" t="s">
        <v>1465</v>
      </c>
      <c r="H1355" s="1310" t="s">
        <v>267</v>
      </c>
      <c r="I1355" s="1310" t="s">
        <v>111</v>
      </c>
      <c r="J1355" s="1310" t="s">
        <v>1478</v>
      </c>
      <c r="K1355" s="1310" t="s">
        <v>1454</v>
      </c>
      <c r="L1355" s="1310" t="s">
        <v>1501</v>
      </c>
      <c r="M1355" s="1310" t="s">
        <v>1515</v>
      </c>
      <c r="N1355" s="1310" t="s">
        <v>1575</v>
      </c>
      <c r="O1355" s="1310" t="s">
        <v>1504</v>
      </c>
      <c r="P1355" s="1310" t="s">
        <v>1460</v>
      </c>
      <c r="Q1355" s="1310" t="s">
        <v>1577</v>
      </c>
      <c r="R1355" s="1310" t="s">
        <v>1655</v>
      </c>
      <c r="S1355" s="1310" t="s">
        <v>1503</v>
      </c>
      <c r="T1355" s="1310" t="s">
        <v>1651</v>
      </c>
      <c r="U1355" s="1310" t="s">
        <v>1515</v>
      </c>
      <c r="V1355" s="1310" t="s">
        <v>1552</v>
      </c>
      <c r="W1355" s="1310" t="s">
        <v>1575</v>
      </c>
      <c r="X1355" s="1310" t="s">
        <v>1654</v>
      </c>
      <c r="Y1355" s="1310" t="s">
        <v>1579</v>
      </c>
      <c r="Z1355" s="1310" t="s">
        <v>1603</v>
      </c>
      <c r="AA1355" s="1310" t="s">
        <v>1532</v>
      </c>
      <c r="AB1355" s="1310" t="s">
        <v>125</v>
      </c>
      <c r="AC1355" s="1310" t="s">
        <v>1601</v>
      </c>
      <c r="AD1355" s="1310" t="s">
        <v>1470</v>
      </c>
      <c r="AE1355" s="1310" t="s">
        <v>1586</v>
      </c>
      <c r="AF1355" s="1310" t="s">
        <v>1628</v>
      </c>
    </row>
    <row r="1356" spans="1:32" x14ac:dyDescent="0.3">
      <c r="A1356" s="1310" t="s">
        <v>1480</v>
      </c>
      <c r="B1356" s="1310" t="s">
        <v>1520</v>
      </c>
      <c r="C1356" s="1310" t="s">
        <v>1540</v>
      </c>
      <c r="D1356" s="1310" t="s">
        <v>1611</v>
      </c>
      <c r="E1356" s="1310" t="s">
        <v>1478</v>
      </c>
      <c r="F1356" s="1310" t="s">
        <v>1454</v>
      </c>
      <c r="G1356" s="1310" t="s">
        <v>1588</v>
      </c>
      <c r="H1356" s="1310" t="s">
        <v>1477</v>
      </c>
      <c r="I1356" s="1310" t="s">
        <v>1600</v>
      </c>
      <c r="J1356" s="1310" t="s">
        <v>1564</v>
      </c>
      <c r="K1356" s="1310" t="s">
        <v>1512</v>
      </c>
      <c r="L1356" s="1310" t="s">
        <v>465</v>
      </c>
      <c r="M1356" s="1310" t="s">
        <v>1601</v>
      </c>
      <c r="N1356" s="1310" t="s">
        <v>1561</v>
      </c>
      <c r="O1356" s="1310" t="s">
        <v>1524</v>
      </c>
      <c r="P1356" s="1310" t="s">
        <v>1645</v>
      </c>
      <c r="Q1356" s="1310" t="s">
        <v>1524</v>
      </c>
      <c r="R1356" s="1310" t="s">
        <v>123</v>
      </c>
      <c r="S1356" s="1310" t="s">
        <v>1625</v>
      </c>
      <c r="T1356" s="1310" t="s">
        <v>119</v>
      </c>
      <c r="U1356" s="1310" t="s">
        <v>1616</v>
      </c>
      <c r="V1356" s="1310" t="s">
        <v>1499</v>
      </c>
      <c r="W1356" s="1310" t="s">
        <v>1629</v>
      </c>
      <c r="X1356" s="1310" t="s">
        <v>471</v>
      </c>
      <c r="Y1356" s="1310" t="s">
        <v>1605</v>
      </c>
      <c r="Z1356" s="1310" t="s">
        <v>1556</v>
      </c>
      <c r="AA1356" s="1310" t="s">
        <v>128</v>
      </c>
      <c r="AB1356" s="1310" t="s">
        <v>129</v>
      </c>
      <c r="AC1356" s="1310" t="s">
        <v>1461</v>
      </c>
      <c r="AD1356" s="1310" t="s">
        <v>1657</v>
      </c>
      <c r="AE1356" s="1310" t="s">
        <v>1447</v>
      </c>
      <c r="AF1356" s="1310" t="s">
        <v>1589</v>
      </c>
    </row>
    <row r="1357" spans="1:32" x14ac:dyDescent="0.3">
      <c r="A1357" s="1310" t="s">
        <v>1522</v>
      </c>
      <c r="B1357" s="1310" t="s">
        <v>1463</v>
      </c>
      <c r="C1357" s="1310" t="s">
        <v>1604</v>
      </c>
      <c r="D1357" s="1310" t="s">
        <v>1643</v>
      </c>
      <c r="E1357" s="1310" t="s">
        <v>117</v>
      </c>
      <c r="F1357" s="1310" t="s">
        <v>1515</v>
      </c>
      <c r="G1357" s="1310" t="s">
        <v>124</v>
      </c>
      <c r="H1357" s="1310" t="s">
        <v>1475</v>
      </c>
      <c r="I1357" s="1310" t="s">
        <v>1528</v>
      </c>
      <c r="J1357" s="1310" t="s">
        <v>1657</v>
      </c>
      <c r="K1357" s="1310" t="s">
        <v>131</v>
      </c>
      <c r="L1357" s="1310" t="s">
        <v>1490</v>
      </c>
      <c r="M1357" s="1310" t="s">
        <v>1554</v>
      </c>
      <c r="N1357" s="1310" t="s">
        <v>1452</v>
      </c>
      <c r="O1357" s="1310" t="s">
        <v>1621</v>
      </c>
      <c r="P1357" s="1310" t="s">
        <v>1541</v>
      </c>
      <c r="Q1357" s="1310" t="s">
        <v>1543</v>
      </c>
      <c r="R1357" s="1310" t="s">
        <v>1474</v>
      </c>
      <c r="S1357" s="1310" t="s">
        <v>115</v>
      </c>
      <c r="T1357" s="1310" t="s">
        <v>1460</v>
      </c>
      <c r="U1357" s="1310" t="s">
        <v>1521</v>
      </c>
      <c r="V1357" s="1310" t="s">
        <v>1472</v>
      </c>
      <c r="W1357" s="1310" t="s">
        <v>1532</v>
      </c>
      <c r="X1357" s="1310" t="s">
        <v>1463</v>
      </c>
      <c r="Y1357" s="1310" t="s">
        <v>1566</v>
      </c>
      <c r="Z1357" s="1310" t="s">
        <v>1617</v>
      </c>
      <c r="AA1357" s="1310" t="s">
        <v>1482</v>
      </c>
      <c r="AB1357" s="1310" t="s">
        <v>1572</v>
      </c>
      <c r="AC1357" s="1310" t="s">
        <v>1656</v>
      </c>
      <c r="AD1357" s="1310" t="s">
        <v>1457</v>
      </c>
      <c r="AE1357" s="1310" t="s">
        <v>1537</v>
      </c>
      <c r="AF1357" s="1310" t="s">
        <v>1640</v>
      </c>
    </row>
    <row r="1358" spans="1:32" x14ac:dyDescent="0.3">
      <c r="A1358" s="1310" t="s">
        <v>1605</v>
      </c>
      <c r="B1358" s="1310" t="s">
        <v>1568</v>
      </c>
      <c r="C1358" s="1310" t="s">
        <v>1562</v>
      </c>
      <c r="D1358" s="1310" t="s">
        <v>1501</v>
      </c>
      <c r="E1358" s="1310" t="s">
        <v>1491</v>
      </c>
      <c r="F1358" s="1310" t="s">
        <v>1516</v>
      </c>
      <c r="G1358" s="1310" t="s">
        <v>1512</v>
      </c>
      <c r="H1358" s="1310" t="s">
        <v>1584</v>
      </c>
      <c r="I1358" s="1310" t="s">
        <v>1485</v>
      </c>
      <c r="J1358" s="1310" t="s">
        <v>1609</v>
      </c>
      <c r="K1358" s="1310" t="s">
        <v>1622</v>
      </c>
      <c r="L1358" s="1310" t="s">
        <v>116</v>
      </c>
      <c r="M1358" s="1310" t="s">
        <v>465</v>
      </c>
      <c r="N1358" s="1310" t="s">
        <v>1639</v>
      </c>
      <c r="O1358" s="1310" t="s">
        <v>1631</v>
      </c>
      <c r="P1358" s="1310" t="s">
        <v>1496</v>
      </c>
      <c r="Q1358" s="1310" t="s">
        <v>1627</v>
      </c>
      <c r="R1358" s="1310" t="s">
        <v>1602</v>
      </c>
      <c r="S1358" s="1310" t="s">
        <v>121</v>
      </c>
      <c r="T1358" s="1310" t="s">
        <v>1514</v>
      </c>
      <c r="U1358" s="1310" t="s">
        <v>1650</v>
      </c>
      <c r="V1358" s="1310" t="s">
        <v>130</v>
      </c>
      <c r="W1358" s="1310" t="s">
        <v>1499</v>
      </c>
      <c r="X1358" s="1310" t="s">
        <v>1620</v>
      </c>
      <c r="Y1358" s="1310" t="s">
        <v>1499</v>
      </c>
      <c r="Z1358" s="1310" t="s">
        <v>1539</v>
      </c>
      <c r="AA1358" s="1310" t="s">
        <v>1489</v>
      </c>
      <c r="AB1358" s="1310" t="s">
        <v>1610</v>
      </c>
      <c r="AC1358" s="1310" t="s">
        <v>1563</v>
      </c>
      <c r="AD1358" s="1310" t="s">
        <v>1467</v>
      </c>
      <c r="AE1358" s="1310" t="s">
        <v>1651</v>
      </c>
      <c r="AF1358" s="1310" t="s">
        <v>1504</v>
      </c>
    </row>
    <row r="1359" spans="1:32" x14ac:dyDescent="0.3">
      <c r="A1359" s="1310" t="s">
        <v>1443</v>
      </c>
      <c r="B1359" s="1310" t="s">
        <v>1450</v>
      </c>
      <c r="C1359" s="1310" t="s">
        <v>1499</v>
      </c>
      <c r="D1359" s="1310" t="s">
        <v>1658</v>
      </c>
      <c r="E1359" s="1310" t="s">
        <v>1579</v>
      </c>
      <c r="F1359" s="1310" t="s">
        <v>1487</v>
      </c>
      <c r="G1359" s="1310" t="s">
        <v>131</v>
      </c>
      <c r="H1359" s="1310" t="s">
        <v>1521</v>
      </c>
      <c r="I1359" s="1310" t="s">
        <v>1632</v>
      </c>
      <c r="J1359" s="1310" t="s">
        <v>1527</v>
      </c>
      <c r="K1359" s="1310" t="s">
        <v>1610</v>
      </c>
      <c r="L1359" s="1310" t="s">
        <v>1629</v>
      </c>
      <c r="M1359" s="1310" t="s">
        <v>1640</v>
      </c>
      <c r="N1359" s="1310" t="s">
        <v>1500</v>
      </c>
      <c r="O1359" s="1310" t="s">
        <v>1598</v>
      </c>
      <c r="P1359" s="1310" t="s">
        <v>1545</v>
      </c>
      <c r="Q1359" s="1310" t="s">
        <v>1586</v>
      </c>
      <c r="R1359" s="1310" t="s">
        <v>1500</v>
      </c>
      <c r="S1359" s="1310" t="s">
        <v>1543</v>
      </c>
      <c r="T1359" s="1310" t="s">
        <v>1452</v>
      </c>
      <c r="U1359" s="1310" t="s">
        <v>1587</v>
      </c>
      <c r="V1359" s="1310" t="s">
        <v>1475</v>
      </c>
      <c r="W1359" s="1310" t="s">
        <v>1525</v>
      </c>
      <c r="X1359" s="1310" t="s">
        <v>1509</v>
      </c>
      <c r="Y1359" s="1310" t="s">
        <v>1538</v>
      </c>
      <c r="Z1359" s="1310" t="s">
        <v>1540</v>
      </c>
      <c r="AA1359" s="1310" t="s">
        <v>1500</v>
      </c>
      <c r="AB1359" s="1310" t="s">
        <v>1618</v>
      </c>
      <c r="AC1359" s="1310" t="s">
        <v>126</v>
      </c>
      <c r="AD1359" s="1310" t="s">
        <v>465</v>
      </c>
      <c r="AE1359" s="1310" t="s">
        <v>1636</v>
      </c>
      <c r="AF1359" s="1310" t="s">
        <v>115</v>
      </c>
    </row>
    <row r="1360" spans="1:32" x14ac:dyDescent="0.3">
      <c r="A1360" s="1310" t="s">
        <v>6</v>
      </c>
      <c r="B1360" s="1310" t="s">
        <v>1574</v>
      </c>
      <c r="C1360" s="1310" t="s">
        <v>1616</v>
      </c>
      <c r="D1360" s="1310" t="s">
        <v>123</v>
      </c>
      <c r="E1360" s="1310" t="s">
        <v>1481</v>
      </c>
      <c r="F1360" s="1310" t="s">
        <v>1568</v>
      </c>
      <c r="G1360" s="1310" t="s">
        <v>471</v>
      </c>
      <c r="H1360" s="1310" t="s">
        <v>1452</v>
      </c>
      <c r="I1360" s="1310" t="s">
        <v>1557</v>
      </c>
      <c r="J1360" s="1310" t="s">
        <v>122</v>
      </c>
      <c r="K1360" s="1310" t="s">
        <v>1537</v>
      </c>
      <c r="L1360" s="1310" t="s">
        <v>1632</v>
      </c>
      <c r="M1360" s="1310" t="s">
        <v>1591</v>
      </c>
      <c r="N1360" s="1310" t="s">
        <v>1556</v>
      </c>
      <c r="O1360" s="1310" t="s">
        <v>1635</v>
      </c>
      <c r="P1360" s="1310" t="s">
        <v>1452</v>
      </c>
      <c r="Q1360" s="1310" t="s">
        <v>1560</v>
      </c>
      <c r="R1360" s="1310" t="s">
        <v>1452</v>
      </c>
      <c r="S1360" s="1310" t="s">
        <v>1621</v>
      </c>
      <c r="T1360" s="1310" t="s">
        <v>1541</v>
      </c>
      <c r="U1360" s="1310" t="s">
        <v>1659</v>
      </c>
      <c r="V1360" s="1310" t="s">
        <v>1030</v>
      </c>
      <c r="W1360" s="1310" t="s">
        <v>1499</v>
      </c>
      <c r="X1360" s="1310" t="s">
        <v>1500</v>
      </c>
      <c r="Y1360" s="1310" t="s">
        <v>1616</v>
      </c>
      <c r="Z1360" s="1310" t="s">
        <v>1448</v>
      </c>
      <c r="AA1360" s="1310" t="s">
        <v>1500</v>
      </c>
      <c r="AB1360" s="1310" t="s">
        <v>1602</v>
      </c>
      <c r="AC1360" s="1310" t="s">
        <v>1498</v>
      </c>
      <c r="AD1360" s="1310" t="s">
        <v>1641</v>
      </c>
      <c r="AE1360" s="1310" t="s">
        <v>1653</v>
      </c>
      <c r="AF1360" s="1310" t="s">
        <v>1463</v>
      </c>
    </row>
    <row r="1361" spans="1:32" x14ac:dyDescent="0.3">
      <c r="A1361" s="1310" t="s">
        <v>1595</v>
      </c>
      <c r="B1361" s="1310" t="s">
        <v>1502</v>
      </c>
      <c r="C1361" s="1310" t="s">
        <v>1482</v>
      </c>
      <c r="D1361" s="1310" t="s">
        <v>1619</v>
      </c>
      <c r="E1361" s="1310" t="s">
        <v>1630</v>
      </c>
      <c r="F1361" s="1310" t="s">
        <v>1551</v>
      </c>
      <c r="G1361" s="1310" t="s">
        <v>1583</v>
      </c>
      <c r="H1361" s="1310" t="s">
        <v>117</v>
      </c>
      <c r="I1361" s="1310" t="s">
        <v>1602</v>
      </c>
      <c r="J1361" s="1310" t="s">
        <v>1543</v>
      </c>
      <c r="K1361" s="1310" t="s">
        <v>1460</v>
      </c>
      <c r="L1361" s="1310" t="s">
        <v>1454</v>
      </c>
      <c r="M1361" s="1310" t="s">
        <v>1569</v>
      </c>
      <c r="N1361" s="1310" t="s">
        <v>1486</v>
      </c>
      <c r="O1361" s="1310" t="s">
        <v>1510</v>
      </c>
      <c r="P1361" s="1310" t="s">
        <v>1483</v>
      </c>
      <c r="Q1361" s="1310" t="s">
        <v>131</v>
      </c>
      <c r="R1361" s="1310" t="s">
        <v>1583</v>
      </c>
      <c r="S1361" s="1310" t="s">
        <v>1617</v>
      </c>
      <c r="T1361" s="1310" t="s">
        <v>1633</v>
      </c>
      <c r="U1361" s="1310" t="s">
        <v>112</v>
      </c>
      <c r="V1361" s="1310" t="s">
        <v>1660</v>
      </c>
      <c r="W1361" s="1310" t="s">
        <v>1571</v>
      </c>
      <c r="X1361" s="1310" t="s">
        <v>1501</v>
      </c>
      <c r="Y1361" s="1310" t="s">
        <v>1550</v>
      </c>
      <c r="Z1361" s="1310" t="s">
        <v>1444</v>
      </c>
      <c r="AA1361" s="1310" t="s">
        <v>1532</v>
      </c>
      <c r="AB1361" s="1310" t="s">
        <v>1610</v>
      </c>
      <c r="AC1361" s="1310" t="s">
        <v>1562</v>
      </c>
      <c r="AD1361" s="1310" t="s">
        <v>1464</v>
      </c>
      <c r="AE1361" s="1310" t="s">
        <v>1562</v>
      </c>
      <c r="AF1361" s="1310" t="s">
        <v>1488</v>
      </c>
    </row>
    <row r="1362" spans="1:32" x14ac:dyDescent="0.3">
      <c r="A1362" s="1310" t="s">
        <v>1574</v>
      </c>
      <c r="B1362" s="1310" t="s">
        <v>1623</v>
      </c>
      <c r="C1362" s="1310" t="s">
        <v>1530</v>
      </c>
      <c r="D1362" s="1310" t="s">
        <v>1649</v>
      </c>
      <c r="E1362" s="1310" t="s">
        <v>1533</v>
      </c>
      <c r="F1362" s="1310" t="s">
        <v>1483</v>
      </c>
      <c r="G1362" s="1310" t="s">
        <v>1475</v>
      </c>
      <c r="H1362" s="1310" t="s">
        <v>1562</v>
      </c>
      <c r="I1362" s="1310" t="s">
        <v>1543</v>
      </c>
      <c r="J1362" s="1310" t="s">
        <v>1478</v>
      </c>
      <c r="K1362" s="1310" t="s">
        <v>1561</v>
      </c>
      <c r="L1362" s="1310" t="s">
        <v>1485</v>
      </c>
      <c r="M1362" s="1310" t="s">
        <v>1474</v>
      </c>
      <c r="N1362" s="1310" t="s">
        <v>269</v>
      </c>
      <c r="O1362" s="1310" t="s">
        <v>1570</v>
      </c>
      <c r="P1362" s="1310" t="s">
        <v>1610</v>
      </c>
      <c r="Q1362" s="1310" t="s">
        <v>1500</v>
      </c>
      <c r="R1362" s="1310" t="s">
        <v>1594</v>
      </c>
      <c r="S1362" s="1310" t="s">
        <v>1660</v>
      </c>
      <c r="T1362" s="1310" t="s">
        <v>1554</v>
      </c>
      <c r="U1362" s="1310" t="s">
        <v>1445</v>
      </c>
      <c r="V1362" s="1310" t="s">
        <v>1527</v>
      </c>
      <c r="W1362" s="1310" t="s">
        <v>465</v>
      </c>
      <c r="X1362" s="1310" t="s">
        <v>1637</v>
      </c>
      <c r="Y1362" s="1310" t="s">
        <v>1594</v>
      </c>
      <c r="Z1362" s="1310" t="s">
        <v>1476</v>
      </c>
      <c r="AA1362" s="1310" t="s">
        <v>1614</v>
      </c>
      <c r="AB1362" s="1310" t="s">
        <v>1646</v>
      </c>
      <c r="AC1362" s="1310" t="s">
        <v>1587</v>
      </c>
      <c r="AD1362" s="1310" t="s">
        <v>1608</v>
      </c>
      <c r="AE1362" s="1310" t="s">
        <v>1594</v>
      </c>
      <c r="AF1362" s="1310" t="s">
        <v>1572</v>
      </c>
    </row>
    <row r="1363" spans="1:32" x14ac:dyDescent="0.3">
      <c r="A1363" s="1310" t="s">
        <v>1475</v>
      </c>
      <c r="B1363" s="1310" t="s">
        <v>1535</v>
      </c>
      <c r="C1363" s="1310" t="s">
        <v>1490</v>
      </c>
      <c r="D1363" s="1310" t="s">
        <v>1616</v>
      </c>
      <c r="E1363" s="1310" t="s">
        <v>1638</v>
      </c>
      <c r="F1363" s="1310" t="s">
        <v>1576</v>
      </c>
      <c r="G1363" s="1310" t="s">
        <v>264</v>
      </c>
      <c r="H1363" s="1310" t="s">
        <v>1474</v>
      </c>
      <c r="I1363" s="1310" t="s">
        <v>1630</v>
      </c>
      <c r="J1363" s="1310" t="s">
        <v>1543</v>
      </c>
      <c r="K1363" s="1310" t="s">
        <v>1565</v>
      </c>
      <c r="L1363" s="1310" t="s">
        <v>1498</v>
      </c>
      <c r="M1363" s="1310" t="s">
        <v>126</v>
      </c>
      <c r="N1363" s="1310" t="s">
        <v>1615</v>
      </c>
      <c r="O1363" s="1310" t="s">
        <v>1651</v>
      </c>
      <c r="P1363" s="1310" t="s">
        <v>267</v>
      </c>
      <c r="Q1363" s="1310" t="s">
        <v>1599</v>
      </c>
      <c r="R1363" s="1310" t="s">
        <v>1560</v>
      </c>
      <c r="S1363" s="1310" t="s">
        <v>1591</v>
      </c>
      <c r="T1363" s="1310" t="s">
        <v>1637</v>
      </c>
      <c r="U1363" s="1310" t="s">
        <v>126</v>
      </c>
      <c r="V1363" s="1310" t="s">
        <v>1601</v>
      </c>
      <c r="W1363" s="1310" t="s">
        <v>1600</v>
      </c>
      <c r="X1363" s="1310" t="s">
        <v>1653</v>
      </c>
      <c r="Y1363" s="1310" t="s">
        <v>112</v>
      </c>
      <c r="Z1363" s="1310" t="s">
        <v>1521</v>
      </c>
      <c r="AA1363" s="1310" t="s">
        <v>1564</v>
      </c>
      <c r="AB1363" s="1310" t="s">
        <v>1539</v>
      </c>
      <c r="AC1363" s="1310" t="s">
        <v>266</v>
      </c>
      <c r="AD1363" s="1310" t="s">
        <v>1616</v>
      </c>
      <c r="AE1363" s="1310" t="s">
        <v>1596</v>
      </c>
      <c r="AF1363" s="1310" t="s">
        <v>1536</v>
      </c>
    </row>
    <row r="1364" spans="1:32" x14ac:dyDescent="0.3">
      <c r="A1364" s="1310" t="s">
        <v>1537</v>
      </c>
      <c r="B1364" s="1310" t="s">
        <v>130</v>
      </c>
      <c r="C1364" s="1310" t="s">
        <v>1564</v>
      </c>
      <c r="D1364" s="1310" t="s">
        <v>1541</v>
      </c>
      <c r="E1364" s="1310" t="s">
        <v>1566</v>
      </c>
      <c r="F1364" s="1310" t="s">
        <v>122</v>
      </c>
      <c r="G1364" s="1310" t="s">
        <v>1589</v>
      </c>
      <c r="H1364" s="1310" t="s">
        <v>1537</v>
      </c>
      <c r="I1364" s="1310" t="s">
        <v>1646</v>
      </c>
      <c r="J1364" s="1310" t="s">
        <v>1597</v>
      </c>
      <c r="K1364" s="1310" t="s">
        <v>1604</v>
      </c>
      <c r="L1364" s="1310" t="s">
        <v>124</v>
      </c>
      <c r="M1364" s="1310" t="s">
        <v>1637</v>
      </c>
      <c r="N1364" s="1310" t="s">
        <v>1537</v>
      </c>
      <c r="O1364" s="1310" t="s">
        <v>471</v>
      </c>
      <c r="P1364" s="1310" t="s">
        <v>1474</v>
      </c>
      <c r="Q1364" s="1310" t="s">
        <v>1465</v>
      </c>
      <c r="R1364" s="1310" t="s">
        <v>1656</v>
      </c>
      <c r="S1364" s="1310" t="s">
        <v>1566</v>
      </c>
      <c r="T1364" s="1310" t="s">
        <v>1467</v>
      </c>
      <c r="U1364" s="1310" t="s">
        <v>1480</v>
      </c>
      <c r="V1364" s="1310" t="s">
        <v>1524</v>
      </c>
      <c r="W1364" s="1310" t="s">
        <v>1639</v>
      </c>
      <c r="X1364" s="1310" t="s">
        <v>1478</v>
      </c>
      <c r="Y1364" s="1310" t="s">
        <v>114</v>
      </c>
      <c r="Z1364" s="1310" t="s">
        <v>1626</v>
      </c>
      <c r="AA1364" s="1310" t="s">
        <v>1646</v>
      </c>
      <c r="AB1364" s="1310" t="s">
        <v>1458</v>
      </c>
      <c r="AC1364" s="1310" t="s">
        <v>1532</v>
      </c>
      <c r="AD1364" s="1310" t="s">
        <v>1566</v>
      </c>
      <c r="AE1364" s="1310" t="s">
        <v>1586</v>
      </c>
      <c r="AF1364" s="1310" t="s">
        <v>1565</v>
      </c>
    </row>
    <row r="1365" spans="1:32" x14ac:dyDescent="0.3">
      <c r="A1365" s="1310" t="s">
        <v>1515</v>
      </c>
      <c r="B1365" s="1310" t="s">
        <v>115</v>
      </c>
      <c r="C1365" s="1310" t="s">
        <v>1652</v>
      </c>
      <c r="D1365" s="1310" t="s">
        <v>1480</v>
      </c>
      <c r="E1365" s="1310" t="s">
        <v>1476</v>
      </c>
      <c r="F1365" s="1310" t="s">
        <v>1446</v>
      </c>
      <c r="G1365" s="1310" t="s">
        <v>123</v>
      </c>
      <c r="H1365" s="1310" t="s">
        <v>1561</v>
      </c>
      <c r="I1365" s="1310" t="s">
        <v>1615</v>
      </c>
      <c r="J1365" s="1310" t="s">
        <v>1589</v>
      </c>
      <c r="K1365" s="1310" t="s">
        <v>1615</v>
      </c>
      <c r="L1365" s="1310" t="s">
        <v>1448</v>
      </c>
      <c r="M1365" s="1310" t="s">
        <v>1545</v>
      </c>
      <c r="N1365" s="1310" t="s">
        <v>122</v>
      </c>
      <c r="O1365" s="1310" t="s">
        <v>1561</v>
      </c>
      <c r="P1365" s="1310" t="s">
        <v>1615</v>
      </c>
      <c r="Q1365" s="1310" t="s">
        <v>1464</v>
      </c>
      <c r="R1365" s="1310" t="s">
        <v>1556</v>
      </c>
      <c r="S1365" s="1310" t="s">
        <v>1482</v>
      </c>
      <c r="T1365" s="1310" t="s">
        <v>1584</v>
      </c>
      <c r="U1365" s="1310" t="s">
        <v>1628</v>
      </c>
      <c r="V1365" s="1310" t="s">
        <v>1643</v>
      </c>
      <c r="W1365" s="1310" t="s">
        <v>1493</v>
      </c>
      <c r="X1365" s="1310" t="s">
        <v>1500</v>
      </c>
      <c r="Y1365" s="1310" t="s">
        <v>115</v>
      </c>
      <c r="Z1365" s="1310" t="s">
        <v>1569</v>
      </c>
      <c r="AA1365" s="1310" t="s">
        <v>264</v>
      </c>
      <c r="AB1365" s="1310" t="s">
        <v>1522</v>
      </c>
      <c r="AC1365" s="1310" t="s">
        <v>1490</v>
      </c>
      <c r="AD1365" s="1310" t="s">
        <v>1518</v>
      </c>
      <c r="AE1365" s="1310" t="s">
        <v>1644</v>
      </c>
      <c r="AF1365" s="1310" t="s">
        <v>465</v>
      </c>
    </row>
    <row r="1366" spans="1:32" x14ac:dyDescent="0.3">
      <c r="A1366" s="1310" t="s">
        <v>1522</v>
      </c>
      <c r="B1366" s="1310" t="s">
        <v>1495</v>
      </c>
      <c r="C1366" s="1310" t="s">
        <v>1546</v>
      </c>
      <c r="D1366" s="1310" t="s">
        <v>1534</v>
      </c>
      <c r="E1366" s="1310" t="s">
        <v>1480</v>
      </c>
      <c r="F1366" s="1310" t="s">
        <v>1584</v>
      </c>
      <c r="G1366" s="1310" t="s">
        <v>1509</v>
      </c>
      <c r="H1366" s="1310" t="s">
        <v>1543</v>
      </c>
      <c r="I1366" s="1310" t="s">
        <v>117</v>
      </c>
      <c r="J1366" s="1310" t="s">
        <v>1445</v>
      </c>
      <c r="K1366" s="1310" t="s">
        <v>1503</v>
      </c>
      <c r="L1366" s="1310" t="s">
        <v>1539</v>
      </c>
      <c r="M1366" s="1310" t="s">
        <v>1445</v>
      </c>
      <c r="N1366" s="1310" t="s">
        <v>1561</v>
      </c>
      <c r="O1366" s="1310" t="s">
        <v>1526</v>
      </c>
      <c r="P1366" s="1310" t="s">
        <v>1463</v>
      </c>
      <c r="Q1366" s="1310" t="s">
        <v>267</v>
      </c>
      <c r="R1366" s="1310" t="s">
        <v>1566</v>
      </c>
      <c r="S1366" s="1310" t="s">
        <v>1574</v>
      </c>
      <c r="T1366" s="1310" t="s">
        <v>128</v>
      </c>
      <c r="U1366" s="1310" t="s">
        <v>1477</v>
      </c>
      <c r="V1366" s="1310" t="s">
        <v>1496</v>
      </c>
      <c r="W1366" s="1310" t="s">
        <v>1478</v>
      </c>
      <c r="X1366" s="1310" t="s">
        <v>1457</v>
      </c>
      <c r="Y1366" s="1310" t="s">
        <v>1452</v>
      </c>
      <c r="Z1366" s="1310" t="s">
        <v>1513</v>
      </c>
      <c r="AA1366" s="1310" t="s">
        <v>1472</v>
      </c>
      <c r="AB1366" s="1310" t="s">
        <v>1030</v>
      </c>
      <c r="AC1366" s="1310" t="s">
        <v>269</v>
      </c>
      <c r="AD1366" s="1310" t="s">
        <v>1484</v>
      </c>
      <c r="AE1366" s="1310" t="s">
        <v>1549</v>
      </c>
      <c r="AF1366" s="1310" t="s">
        <v>1631</v>
      </c>
    </row>
    <row r="1367" spans="1:32" x14ac:dyDescent="0.3">
      <c r="A1367" s="1310" t="s">
        <v>1524</v>
      </c>
      <c r="B1367" s="1310" t="s">
        <v>1576</v>
      </c>
      <c r="C1367" s="1310" t="s">
        <v>1519</v>
      </c>
      <c r="D1367" s="1310" t="s">
        <v>1526</v>
      </c>
      <c r="E1367" s="1310" t="s">
        <v>1613</v>
      </c>
      <c r="F1367" s="1310" t="s">
        <v>130</v>
      </c>
      <c r="G1367" s="1310" t="s">
        <v>116</v>
      </c>
      <c r="H1367" s="1310" t="s">
        <v>1454</v>
      </c>
      <c r="I1367" s="1310" t="s">
        <v>1600</v>
      </c>
      <c r="J1367" s="1310" t="s">
        <v>1468</v>
      </c>
      <c r="K1367" s="1310" t="s">
        <v>117</v>
      </c>
      <c r="L1367" s="1310" t="s">
        <v>1600</v>
      </c>
      <c r="M1367" s="1310" t="s">
        <v>117</v>
      </c>
      <c r="N1367" s="1310" t="s">
        <v>1604</v>
      </c>
      <c r="O1367" s="1310" t="s">
        <v>1584</v>
      </c>
      <c r="P1367" s="1310" t="s">
        <v>1659</v>
      </c>
      <c r="Q1367" s="1310" t="s">
        <v>131</v>
      </c>
      <c r="R1367" s="1310" t="s">
        <v>1446</v>
      </c>
      <c r="S1367" s="1310" t="s">
        <v>133</v>
      </c>
      <c r="T1367" s="1310" t="s">
        <v>1572</v>
      </c>
      <c r="U1367" s="1310" t="s">
        <v>1619</v>
      </c>
      <c r="V1367" s="1310" t="s">
        <v>1583</v>
      </c>
      <c r="W1367" s="1310" t="s">
        <v>1457</v>
      </c>
      <c r="X1367" s="1310" t="s">
        <v>119</v>
      </c>
      <c r="Y1367" s="1310" t="s">
        <v>1596</v>
      </c>
      <c r="Z1367" s="1310" t="s">
        <v>1475</v>
      </c>
      <c r="AA1367" s="1310" t="s">
        <v>1573</v>
      </c>
      <c r="AB1367" s="1310" t="s">
        <v>1594</v>
      </c>
      <c r="AC1367" s="1310" t="s">
        <v>1539</v>
      </c>
      <c r="AD1367" s="1310" t="s">
        <v>1599</v>
      </c>
      <c r="AE1367" s="1310" t="s">
        <v>1462</v>
      </c>
      <c r="AF1367" s="1310" t="s">
        <v>1467</v>
      </c>
    </row>
    <row r="1368" spans="1:32" x14ac:dyDescent="0.3">
      <c r="A1368" s="1310" t="s">
        <v>1511</v>
      </c>
      <c r="B1368" s="1310" t="s">
        <v>1564</v>
      </c>
      <c r="C1368" s="1310" t="s">
        <v>1527</v>
      </c>
      <c r="D1368" s="1310" t="s">
        <v>1598</v>
      </c>
      <c r="E1368" s="1310" t="s">
        <v>1456</v>
      </c>
      <c r="F1368" s="1310" t="s">
        <v>1532</v>
      </c>
      <c r="G1368" s="1310" t="s">
        <v>1604</v>
      </c>
      <c r="H1368" s="1310" t="s">
        <v>1470</v>
      </c>
      <c r="I1368" s="1310" t="s">
        <v>1480</v>
      </c>
      <c r="J1368" s="1310" t="s">
        <v>1562</v>
      </c>
      <c r="K1368" s="1310" t="s">
        <v>1578</v>
      </c>
      <c r="L1368" s="1310" t="s">
        <v>1520</v>
      </c>
      <c r="M1368" s="1310" t="s">
        <v>1643</v>
      </c>
      <c r="N1368" s="1310" t="s">
        <v>1511</v>
      </c>
      <c r="O1368" s="1310" t="s">
        <v>1475</v>
      </c>
      <c r="P1368" s="1310" t="s">
        <v>1522</v>
      </c>
      <c r="Q1368" s="1310" t="s">
        <v>1555</v>
      </c>
      <c r="R1368" s="1310" t="s">
        <v>1498</v>
      </c>
      <c r="S1368" s="1310" t="s">
        <v>1609</v>
      </c>
      <c r="T1368" s="1310" t="s">
        <v>1543</v>
      </c>
      <c r="U1368" s="1310" t="s">
        <v>1586</v>
      </c>
      <c r="V1368" s="1310" t="s">
        <v>1652</v>
      </c>
      <c r="W1368" s="1310" t="s">
        <v>1461</v>
      </c>
      <c r="X1368" s="1310" t="s">
        <v>1658</v>
      </c>
      <c r="Y1368" s="1310" t="s">
        <v>1519</v>
      </c>
      <c r="Z1368" s="1310" t="s">
        <v>1565</v>
      </c>
      <c r="AA1368" s="1310" t="s">
        <v>1552</v>
      </c>
      <c r="AB1368" s="1310" t="s">
        <v>111</v>
      </c>
      <c r="AC1368" s="1310" t="s">
        <v>1554</v>
      </c>
      <c r="AD1368" s="1310" t="s">
        <v>1645</v>
      </c>
      <c r="AE1368" s="1310" t="s">
        <v>1483</v>
      </c>
      <c r="AF1368" s="1310" t="s">
        <v>1617</v>
      </c>
    </row>
    <row r="1369" spans="1:32" x14ac:dyDescent="0.3">
      <c r="A1369" s="1310" t="s">
        <v>1636</v>
      </c>
      <c r="B1369" s="1310" t="s">
        <v>1634</v>
      </c>
      <c r="C1369" s="1310" t="s">
        <v>1473</v>
      </c>
      <c r="D1369" s="1310" t="s">
        <v>1609</v>
      </c>
      <c r="E1369" s="1310" t="s">
        <v>264</v>
      </c>
      <c r="F1369" s="1310" t="s">
        <v>1539</v>
      </c>
      <c r="G1369" s="1310" t="s">
        <v>1443</v>
      </c>
      <c r="H1369" s="1310" t="s">
        <v>1450</v>
      </c>
      <c r="I1369" s="1310" t="s">
        <v>123</v>
      </c>
      <c r="J1369" s="1310" t="s">
        <v>1592</v>
      </c>
      <c r="K1369" s="1310" t="s">
        <v>122</v>
      </c>
      <c r="L1369" s="1310" t="s">
        <v>1622</v>
      </c>
      <c r="M1369" s="1310" t="s">
        <v>1580</v>
      </c>
      <c r="N1369" s="1310" t="s">
        <v>129</v>
      </c>
      <c r="O1369" s="1310" t="s">
        <v>1569</v>
      </c>
      <c r="P1369" s="1310" t="s">
        <v>1622</v>
      </c>
      <c r="Q1369" s="1310" t="s">
        <v>1607</v>
      </c>
      <c r="R1369" s="1310" t="s">
        <v>1455</v>
      </c>
      <c r="S1369" s="1310" t="s">
        <v>1468</v>
      </c>
      <c r="T1369" s="1310" t="s">
        <v>1567</v>
      </c>
      <c r="U1369" s="1310" t="s">
        <v>1443</v>
      </c>
      <c r="V1369" s="1310" t="s">
        <v>1450</v>
      </c>
      <c r="W1369" s="1310" t="s">
        <v>1629</v>
      </c>
      <c r="X1369" s="1310" t="s">
        <v>1589</v>
      </c>
      <c r="Y1369" s="1310" t="s">
        <v>132</v>
      </c>
      <c r="Z1369" s="1310" t="s">
        <v>1470</v>
      </c>
      <c r="AA1369" s="1310" t="s">
        <v>1556</v>
      </c>
      <c r="AB1369" s="1310" t="s">
        <v>1474</v>
      </c>
      <c r="AC1369" s="1310" t="s">
        <v>127</v>
      </c>
      <c r="AD1369" s="1310" t="s">
        <v>131</v>
      </c>
      <c r="AE1369" s="1310" t="s">
        <v>1567</v>
      </c>
      <c r="AF1369" s="1310" t="s">
        <v>1570</v>
      </c>
    </row>
    <row r="1370" spans="1:32" x14ac:dyDescent="0.3">
      <c r="A1370" s="1310" t="s">
        <v>1623</v>
      </c>
      <c r="B1370" s="1310" t="s">
        <v>1506</v>
      </c>
      <c r="C1370" s="1310" t="s">
        <v>1592</v>
      </c>
      <c r="D1370" s="1310" t="s">
        <v>1469</v>
      </c>
      <c r="E1370" s="1310" t="s">
        <v>1616</v>
      </c>
      <c r="F1370" s="1310" t="s">
        <v>1563</v>
      </c>
      <c r="G1370" s="1310" t="s">
        <v>1561</v>
      </c>
      <c r="H1370" s="1310" t="s">
        <v>269</v>
      </c>
      <c r="I1370" s="1310" t="s">
        <v>1476</v>
      </c>
      <c r="J1370" s="1310" t="s">
        <v>1507</v>
      </c>
      <c r="K1370" s="1310" t="s">
        <v>1466</v>
      </c>
      <c r="L1370" s="1310" t="s">
        <v>1495</v>
      </c>
      <c r="M1370" s="1310" t="s">
        <v>1448</v>
      </c>
      <c r="N1370" s="1310" t="s">
        <v>1599</v>
      </c>
      <c r="O1370" s="1310" t="s">
        <v>1651</v>
      </c>
      <c r="P1370" s="1310" t="s">
        <v>1537</v>
      </c>
      <c r="Q1370" s="1310" t="s">
        <v>120</v>
      </c>
      <c r="R1370" s="1310" t="s">
        <v>1598</v>
      </c>
      <c r="S1370" s="1310" t="s">
        <v>1453</v>
      </c>
      <c r="T1370" s="1310" t="s">
        <v>1478</v>
      </c>
      <c r="U1370" s="1310" t="s">
        <v>1469</v>
      </c>
      <c r="V1370" s="1310" t="s">
        <v>1579</v>
      </c>
      <c r="W1370" s="1310" t="s">
        <v>1528</v>
      </c>
      <c r="X1370" s="1310" t="s">
        <v>1581</v>
      </c>
      <c r="Y1370" s="1310" t="s">
        <v>1555</v>
      </c>
      <c r="Z1370" s="1310" t="s">
        <v>127</v>
      </c>
      <c r="AA1370" s="1310" t="s">
        <v>1603</v>
      </c>
      <c r="AB1370" s="1310" t="s">
        <v>1444</v>
      </c>
      <c r="AC1370" s="1310" t="s">
        <v>1589</v>
      </c>
      <c r="AD1370" s="1310" t="s">
        <v>1489</v>
      </c>
      <c r="AE1370" s="1310" t="s">
        <v>1635</v>
      </c>
      <c r="AF1370" s="1310" t="s">
        <v>1447</v>
      </c>
    </row>
    <row r="1371" spans="1:32" x14ac:dyDescent="0.3">
      <c r="A1371" s="1310" t="s">
        <v>1030</v>
      </c>
      <c r="B1371" s="1310" t="s">
        <v>117</v>
      </c>
      <c r="C1371" s="1310" t="s">
        <v>1603</v>
      </c>
      <c r="D1371" s="1310" t="s">
        <v>1531</v>
      </c>
      <c r="E1371" s="1310" t="s">
        <v>1492</v>
      </c>
      <c r="F1371" s="1310" t="s">
        <v>1568</v>
      </c>
      <c r="G1371" s="1310" t="s">
        <v>1578</v>
      </c>
      <c r="H1371" s="1310" t="s">
        <v>1658</v>
      </c>
      <c r="I1371" s="1310" t="s">
        <v>1587</v>
      </c>
      <c r="J1371" s="1310" t="s">
        <v>1629</v>
      </c>
      <c r="K1371" s="1310" t="s">
        <v>1447</v>
      </c>
      <c r="L1371" s="1310" t="s">
        <v>1475</v>
      </c>
      <c r="M1371" s="1310" t="s">
        <v>1636</v>
      </c>
      <c r="N1371" s="1310" t="s">
        <v>112</v>
      </c>
      <c r="O1371" s="1310" t="s">
        <v>1494</v>
      </c>
      <c r="P1371" s="1310" t="s">
        <v>1496</v>
      </c>
      <c r="Q1371" s="1310" t="s">
        <v>1556</v>
      </c>
      <c r="R1371" s="1310" t="s">
        <v>1030</v>
      </c>
      <c r="S1371" s="1310" t="s">
        <v>128</v>
      </c>
      <c r="T1371" s="1310" t="s">
        <v>1570</v>
      </c>
      <c r="U1371" s="1310" t="s">
        <v>1654</v>
      </c>
      <c r="V1371" s="1310" t="s">
        <v>127</v>
      </c>
      <c r="W1371" s="1310" t="s">
        <v>1525</v>
      </c>
      <c r="X1371" s="1310" t="s">
        <v>1516</v>
      </c>
      <c r="Y1371" s="1310" t="s">
        <v>1578</v>
      </c>
      <c r="Z1371" s="1310" t="s">
        <v>1606</v>
      </c>
      <c r="AA1371" s="1310" t="s">
        <v>1466</v>
      </c>
      <c r="AB1371" s="1310" t="s">
        <v>471</v>
      </c>
      <c r="AC1371" s="1310" t="s">
        <v>1027</v>
      </c>
      <c r="AD1371" s="1310" t="s">
        <v>1521</v>
      </c>
      <c r="AE1371" s="1310" t="s">
        <v>1584</v>
      </c>
      <c r="AF1371" s="1310" t="s">
        <v>1579</v>
      </c>
    </row>
    <row r="1372" spans="1:32" x14ac:dyDescent="0.3">
      <c r="A1372" s="1310" t="s">
        <v>1659</v>
      </c>
      <c r="B1372" s="1310" t="s">
        <v>1486</v>
      </c>
      <c r="C1372" s="1310" t="s">
        <v>1569</v>
      </c>
      <c r="D1372" s="1310" t="s">
        <v>1592</v>
      </c>
      <c r="E1372" s="1310" t="s">
        <v>1498</v>
      </c>
      <c r="F1372" s="1310" t="s">
        <v>1445</v>
      </c>
      <c r="G1372" s="1310" t="s">
        <v>1633</v>
      </c>
      <c r="H1372" s="1310" t="s">
        <v>1471</v>
      </c>
      <c r="I1372" s="1310" t="s">
        <v>1636</v>
      </c>
      <c r="J1372" s="1310" t="s">
        <v>1481</v>
      </c>
      <c r="K1372" s="1310" t="s">
        <v>1443</v>
      </c>
      <c r="L1372" s="1310" t="s">
        <v>1450</v>
      </c>
      <c r="M1372" s="1310" t="s">
        <v>1623</v>
      </c>
      <c r="N1372" s="1310" t="s">
        <v>1612</v>
      </c>
      <c r="O1372" s="1310" t="s">
        <v>1567</v>
      </c>
      <c r="P1372" s="1310" t="s">
        <v>1649</v>
      </c>
      <c r="Q1372" s="1310" t="s">
        <v>1647</v>
      </c>
      <c r="R1372" s="1310" t="s">
        <v>1623</v>
      </c>
      <c r="S1372" s="1310" t="s">
        <v>1647</v>
      </c>
      <c r="T1372" s="1310" t="s">
        <v>1596</v>
      </c>
      <c r="U1372" s="1310" t="s">
        <v>1659</v>
      </c>
      <c r="V1372" s="1310" t="s">
        <v>1626</v>
      </c>
      <c r="W1372" s="1310" t="s">
        <v>1602</v>
      </c>
      <c r="X1372" s="1310" t="s">
        <v>1463</v>
      </c>
      <c r="Y1372" s="1310" t="s">
        <v>1463</v>
      </c>
      <c r="Z1372" s="1310" t="s">
        <v>1551</v>
      </c>
      <c r="AA1372" s="1310" t="s">
        <v>1559</v>
      </c>
      <c r="AB1372" s="1310" t="s">
        <v>1594</v>
      </c>
      <c r="AC1372" s="1310" t="s">
        <v>1581</v>
      </c>
      <c r="AD1372" s="1310" t="s">
        <v>1633</v>
      </c>
      <c r="AE1372" s="1310" t="s">
        <v>1646</v>
      </c>
      <c r="AF1372" s="1310" t="s">
        <v>1605</v>
      </c>
    </row>
    <row r="1373" spans="1:32" x14ac:dyDescent="0.3">
      <c r="A1373" s="1310" t="s">
        <v>1649</v>
      </c>
      <c r="B1373" s="1310" t="s">
        <v>1479</v>
      </c>
      <c r="C1373" s="1310" t="s">
        <v>1479</v>
      </c>
      <c r="D1373" s="1310" t="s">
        <v>1505</v>
      </c>
      <c r="E1373" s="1310" t="s">
        <v>465</v>
      </c>
      <c r="F1373" s="1310" t="s">
        <v>1501</v>
      </c>
      <c r="G1373" s="1310" t="s">
        <v>1635</v>
      </c>
      <c r="H1373" s="1310" t="s">
        <v>1572</v>
      </c>
      <c r="I1373" s="1310" t="s">
        <v>1568</v>
      </c>
      <c r="J1373" s="1310" t="s">
        <v>1494</v>
      </c>
      <c r="K1373" s="1310" t="s">
        <v>1643</v>
      </c>
      <c r="L1373" s="1310" t="s">
        <v>1511</v>
      </c>
      <c r="M1373" s="1310" t="s">
        <v>123</v>
      </c>
      <c r="N1373" s="1310" t="s">
        <v>1483</v>
      </c>
      <c r="O1373" s="1310" t="s">
        <v>1472</v>
      </c>
      <c r="P1373" s="1310" t="s">
        <v>1545</v>
      </c>
      <c r="Q1373" s="1310" t="s">
        <v>1474</v>
      </c>
      <c r="R1373" s="1310" t="s">
        <v>111</v>
      </c>
      <c r="S1373" s="1310" t="s">
        <v>133</v>
      </c>
      <c r="T1373" s="1310" t="s">
        <v>1474</v>
      </c>
      <c r="U1373" s="1310" t="s">
        <v>1656</v>
      </c>
      <c r="V1373" s="1310" t="s">
        <v>1595</v>
      </c>
      <c r="W1373" s="1310" t="s">
        <v>1576</v>
      </c>
      <c r="X1373" s="1310" t="s">
        <v>1485</v>
      </c>
      <c r="Y1373" s="1310" t="s">
        <v>1618</v>
      </c>
      <c r="Z1373" s="1310" t="s">
        <v>1447</v>
      </c>
      <c r="AA1373" s="1310" t="s">
        <v>1484</v>
      </c>
      <c r="AB1373" s="1310" t="s">
        <v>1520</v>
      </c>
      <c r="AC1373" s="1310" t="s">
        <v>1508</v>
      </c>
      <c r="AD1373" s="1310" t="s">
        <v>1645</v>
      </c>
      <c r="AE1373" s="1310" t="s">
        <v>1591</v>
      </c>
      <c r="AF1373" s="1310" t="s">
        <v>1640</v>
      </c>
    </row>
    <row r="1374" spans="1:32" x14ac:dyDescent="0.3">
      <c r="A1374" s="1310" t="s">
        <v>1631</v>
      </c>
      <c r="B1374" s="1310" t="s">
        <v>117</v>
      </c>
      <c r="C1374" s="1310" t="s">
        <v>1655</v>
      </c>
      <c r="D1374" s="1310" t="s">
        <v>1587</v>
      </c>
      <c r="E1374" s="1310" t="s">
        <v>1510</v>
      </c>
      <c r="F1374" s="1310" t="s">
        <v>1617</v>
      </c>
      <c r="G1374" s="1310" t="s">
        <v>1658</v>
      </c>
      <c r="H1374" s="1310" t="s">
        <v>1491</v>
      </c>
      <c r="I1374" s="1310" t="s">
        <v>1629</v>
      </c>
      <c r="J1374" s="1310" t="s">
        <v>1627</v>
      </c>
      <c r="K1374" s="1310" t="s">
        <v>1546</v>
      </c>
      <c r="L1374" s="1310" t="s">
        <v>1584</v>
      </c>
      <c r="M1374" s="1310" t="s">
        <v>1613</v>
      </c>
      <c r="N1374" s="1310" t="s">
        <v>113</v>
      </c>
      <c r="O1374" s="1310" t="s">
        <v>1498</v>
      </c>
      <c r="P1374" s="1310" t="s">
        <v>1475</v>
      </c>
      <c r="Q1374" s="1310" t="s">
        <v>1590</v>
      </c>
      <c r="R1374" s="1310" t="s">
        <v>1658</v>
      </c>
      <c r="S1374" s="1310" t="s">
        <v>1475</v>
      </c>
      <c r="T1374" s="1310" t="s">
        <v>1568</v>
      </c>
      <c r="U1374" s="1310" t="s">
        <v>1655</v>
      </c>
      <c r="V1374" s="1310" t="s">
        <v>1587</v>
      </c>
      <c r="W1374" s="1310" t="s">
        <v>1631</v>
      </c>
      <c r="X1374" s="1310" t="s">
        <v>1535</v>
      </c>
      <c r="Y1374" s="1310" t="s">
        <v>1525</v>
      </c>
      <c r="Z1374" s="1310" t="s">
        <v>1636</v>
      </c>
      <c r="AA1374" s="1310" t="s">
        <v>1474</v>
      </c>
      <c r="AB1374" s="1310" t="s">
        <v>267</v>
      </c>
      <c r="AC1374" s="1310" t="s">
        <v>1510</v>
      </c>
      <c r="AD1374" s="1310" t="s">
        <v>267</v>
      </c>
      <c r="AE1374" s="1310" t="s">
        <v>1531</v>
      </c>
      <c r="AF1374" s="1310" t="s">
        <v>1531</v>
      </c>
    </row>
    <row r="1375" spans="1:32" x14ac:dyDescent="0.3">
      <c r="A1375" s="1310" t="s">
        <v>1481</v>
      </c>
      <c r="B1375" s="1310" t="s">
        <v>1531</v>
      </c>
      <c r="C1375" s="1310" t="s">
        <v>1577</v>
      </c>
      <c r="D1375" s="1310" t="s">
        <v>1448</v>
      </c>
      <c r="E1375" s="1310" t="s">
        <v>1549</v>
      </c>
      <c r="F1375" s="1310" t="s">
        <v>1550</v>
      </c>
      <c r="G1375" s="1310" t="s">
        <v>1511</v>
      </c>
      <c r="H1375" s="1310" t="s">
        <v>1629</v>
      </c>
      <c r="I1375" s="1310" t="s">
        <v>113</v>
      </c>
      <c r="J1375" s="1310" t="s">
        <v>1568</v>
      </c>
      <c r="K1375" s="1310" t="s">
        <v>1556</v>
      </c>
      <c r="L1375" s="1310" t="s">
        <v>1030</v>
      </c>
      <c r="M1375" s="1310" t="s">
        <v>1480</v>
      </c>
      <c r="N1375" s="1310" t="s">
        <v>1607</v>
      </c>
      <c r="O1375" s="1310" t="s">
        <v>1473</v>
      </c>
      <c r="P1375" s="1310" t="s">
        <v>132</v>
      </c>
      <c r="Q1375" s="1310" t="s">
        <v>1607</v>
      </c>
      <c r="R1375" s="1310" t="s">
        <v>1556</v>
      </c>
      <c r="S1375" s="1310" t="s">
        <v>1613</v>
      </c>
      <c r="T1375" s="1310" t="s">
        <v>1538</v>
      </c>
      <c r="U1375" s="1310" t="s">
        <v>1523</v>
      </c>
      <c r="V1375" s="1310" t="s">
        <v>1580</v>
      </c>
      <c r="W1375" s="1310" t="s">
        <v>1625</v>
      </c>
      <c r="X1375" s="1310" t="s">
        <v>1468</v>
      </c>
      <c r="Y1375" s="1310" t="s">
        <v>1567</v>
      </c>
      <c r="Z1375" s="1310" t="s">
        <v>1454</v>
      </c>
      <c r="AA1375" s="1310" t="s">
        <v>1645</v>
      </c>
      <c r="AB1375" s="1310" t="s">
        <v>1572</v>
      </c>
      <c r="AC1375" s="1310" t="s">
        <v>1609</v>
      </c>
      <c r="AD1375" s="1310" t="s">
        <v>1484</v>
      </c>
      <c r="AE1375" s="1310" t="s">
        <v>1605</v>
      </c>
      <c r="AF1375" s="1310" t="s">
        <v>1650</v>
      </c>
    </row>
    <row r="1376" spans="1:32" x14ac:dyDescent="0.3">
      <c r="A1376" s="1310" t="s">
        <v>1541</v>
      </c>
      <c r="B1376" s="1310" t="s">
        <v>471</v>
      </c>
      <c r="C1376" s="1310" t="s">
        <v>1605</v>
      </c>
      <c r="D1376" s="1310" t="s">
        <v>1548</v>
      </c>
      <c r="E1376" s="1310" t="s">
        <v>111</v>
      </c>
      <c r="F1376" s="1310" t="s">
        <v>1030</v>
      </c>
      <c r="G1376" s="1310" t="s">
        <v>1521</v>
      </c>
      <c r="H1376" s="1310" t="s">
        <v>1597</v>
      </c>
      <c r="I1376" s="1310" t="s">
        <v>1560</v>
      </c>
      <c r="J1376" s="1310" t="s">
        <v>1589</v>
      </c>
      <c r="K1376" s="1310" t="s">
        <v>1027</v>
      </c>
      <c r="L1376" s="1310" t="s">
        <v>123</v>
      </c>
      <c r="M1376" s="1310" t="s">
        <v>131</v>
      </c>
      <c r="N1376" s="1310" t="s">
        <v>1571</v>
      </c>
      <c r="O1376" s="1310" t="s">
        <v>132</v>
      </c>
      <c r="P1376" s="1310" t="s">
        <v>1565</v>
      </c>
      <c r="Q1376" s="1310" t="s">
        <v>1488</v>
      </c>
      <c r="R1376" s="1310" t="s">
        <v>1558</v>
      </c>
      <c r="S1376" s="1310" t="s">
        <v>132</v>
      </c>
      <c r="T1376" s="1310" t="s">
        <v>1464</v>
      </c>
      <c r="U1376" s="1310" t="s">
        <v>1544</v>
      </c>
      <c r="V1376" s="1310" t="s">
        <v>117</v>
      </c>
      <c r="W1376" s="1310" t="s">
        <v>1456</v>
      </c>
      <c r="X1376" s="1310" t="s">
        <v>1511</v>
      </c>
      <c r="Y1376" s="1310" t="s">
        <v>117</v>
      </c>
      <c r="Z1376" s="1310" t="s">
        <v>1614</v>
      </c>
      <c r="AA1376" s="1310" t="s">
        <v>1657</v>
      </c>
      <c r="AB1376" s="1310" t="s">
        <v>1585</v>
      </c>
      <c r="AC1376" s="1310" t="s">
        <v>1471</v>
      </c>
      <c r="AD1376" s="1310" t="s">
        <v>1585</v>
      </c>
      <c r="AE1376" s="1310" t="s">
        <v>1534</v>
      </c>
      <c r="AF1376" s="1310" t="s">
        <v>1652</v>
      </c>
    </row>
    <row r="1377" spans="1:32" x14ac:dyDescent="0.3">
      <c r="A1377" s="1310" t="s">
        <v>1655</v>
      </c>
      <c r="B1377" s="1310" t="s">
        <v>1581</v>
      </c>
      <c r="C1377" s="1310" t="s">
        <v>123</v>
      </c>
      <c r="D1377" s="1310" t="s">
        <v>1518</v>
      </c>
      <c r="E1377" s="1310" t="s">
        <v>1552</v>
      </c>
      <c r="F1377" s="1310" t="s">
        <v>1635</v>
      </c>
      <c r="G1377" s="1310" t="s">
        <v>1482</v>
      </c>
      <c r="H1377" s="1310" t="s">
        <v>1499</v>
      </c>
      <c r="I1377" s="1310" t="s">
        <v>1594</v>
      </c>
      <c r="J1377" s="1310" t="s">
        <v>1657</v>
      </c>
      <c r="K1377" s="1310" t="s">
        <v>117</v>
      </c>
      <c r="L1377" s="1310" t="s">
        <v>1552</v>
      </c>
      <c r="M1377" s="1310" t="s">
        <v>1486</v>
      </c>
      <c r="N1377" s="1310" t="s">
        <v>110</v>
      </c>
      <c r="O1377" s="1310" t="s">
        <v>1602</v>
      </c>
      <c r="P1377" s="1310" t="s">
        <v>1588</v>
      </c>
      <c r="Q1377" s="1310" t="s">
        <v>1594</v>
      </c>
      <c r="R1377" s="1310" t="s">
        <v>1562</v>
      </c>
      <c r="S1377" s="1310" t="s">
        <v>1596</v>
      </c>
      <c r="T1377" s="1310" t="s">
        <v>1543</v>
      </c>
      <c r="U1377" s="1310" t="s">
        <v>1458</v>
      </c>
      <c r="V1377" s="1310" t="s">
        <v>1588</v>
      </c>
      <c r="W1377" s="1310" t="s">
        <v>1451</v>
      </c>
      <c r="X1377" s="1310" t="s">
        <v>1528</v>
      </c>
      <c r="Y1377" s="1310" t="s">
        <v>1655</v>
      </c>
      <c r="Z1377" s="1310" t="s">
        <v>1634</v>
      </c>
      <c r="AA1377" s="1310" t="s">
        <v>132</v>
      </c>
      <c r="AB1377" s="1310" t="s">
        <v>1633</v>
      </c>
      <c r="AC1377" s="1310" t="s">
        <v>1614</v>
      </c>
      <c r="AD1377" s="1310" t="s">
        <v>1452</v>
      </c>
      <c r="AE1377" s="1310" t="s">
        <v>1604</v>
      </c>
      <c r="AF1377" s="1310" t="s">
        <v>1628</v>
      </c>
    </row>
    <row r="1378" spans="1:32" x14ac:dyDescent="0.3">
      <c r="A1378" s="1310" t="s">
        <v>1499</v>
      </c>
      <c r="B1378" s="1310" t="s">
        <v>1583</v>
      </c>
      <c r="C1378" s="1310" t="s">
        <v>1540</v>
      </c>
      <c r="D1378" s="1310" t="s">
        <v>131</v>
      </c>
      <c r="E1378" s="1310" t="s">
        <v>1597</v>
      </c>
      <c r="F1378" s="1310" t="s">
        <v>1468</v>
      </c>
      <c r="G1378" s="1310" t="s">
        <v>1657</v>
      </c>
      <c r="H1378" s="1310" t="s">
        <v>130</v>
      </c>
      <c r="I1378" s="1310" t="s">
        <v>1660</v>
      </c>
      <c r="J1378" s="1310" t="s">
        <v>1625</v>
      </c>
      <c r="K1378" s="1310" t="s">
        <v>1629</v>
      </c>
      <c r="L1378" s="1310" t="s">
        <v>1658</v>
      </c>
      <c r="M1378" s="1310" t="s">
        <v>1540</v>
      </c>
      <c r="N1378" s="1310" t="s">
        <v>1568</v>
      </c>
      <c r="O1378" s="1310" t="s">
        <v>1568</v>
      </c>
      <c r="P1378" s="1310" t="s">
        <v>118</v>
      </c>
      <c r="Q1378" s="1310" t="s">
        <v>1486</v>
      </c>
      <c r="R1378" s="1310" t="s">
        <v>1613</v>
      </c>
      <c r="S1378" s="1310" t="s">
        <v>1504</v>
      </c>
      <c r="T1378" s="1310" t="s">
        <v>1603</v>
      </c>
      <c r="U1378" s="1310" t="s">
        <v>1488</v>
      </c>
      <c r="V1378" s="1310" t="s">
        <v>1540</v>
      </c>
      <c r="W1378" s="1310" t="s">
        <v>1540</v>
      </c>
      <c r="X1378" s="1310" t="s">
        <v>123</v>
      </c>
      <c r="Y1378" s="1310" t="s">
        <v>120</v>
      </c>
      <c r="Z1378" s="1310" t="s">
        <v>1587</v>
      </c>
      <c r="AA1378" s="1310" t="s">
        <v>1558</v>
      </c>
      <c r="AB1378" s="1310" t="s">
        <v>125</v>
      </c>
      <c r="AC1378" s="1310" t="s">
        <v>1635</v>
      </c>
      <c r="AD1378" s="1310" t="s">
        <v>1574</v>
      </c>
      <c r="AE1378" s="1310" t="s">
        <v>1030</v>
      </c>
      <c r="AF1378" s="1310" t="s">
        <v>1657</v>
      </c>
    </row>
    <row r="1379" spans="1:32" x14ac:dyDescent="0.3">
      <c r="A1379" s="1310" t="s">
        <v>1510</v>
      </c>
      <c r="B1379" s="1310" t="s">
        <v>1495</v>
      </c>
      <c r="C1379" s="1310" t="s">
        <v>1443</v>
      </c>
      <c r="D1379" s="1310" t="s">
        <v>1450</v>
      </c>
      <c r="E1379" s="1310" t="s">
        <v>1493</v>
      </c>
      <c r="F1379" s="1310" t="s">
        <v>1443</v>
      </c>
      <c r="G1379" s="1310" t="s">
        <v>1450</v>
      </c>
      <c r="H1379" s="1310" t="s">
        <v>1570</v>
      </c>
      <c r="I1379" s="1310" t="s">
        <v>1645</v>
      </c>
      <c r="J1379" s="1310" t="s">
        <v>1483</v>
      </c>
      <c r="K1379" s="1310" t="s">
        <v>1483</v>
      </c>
      <c r="L1379" s="1310" t="s">
        <v>1552</v>
      </c>
      <c r="M1379" s="1310" t="s">
        <v>270</v>
      </c>
      <c r="N1379" s="1310" t="s">
        <v>1605</v>
      </c>
      <c r="O1379" s="1310" t="s">
        <v>112</v>
      </c>
      <c r="P1379" s="1310" t="s">
        <v>1622</v>
      </c>
      <c r="Q1379" s="1310" t="s">
        <v>1502</v>
      </c>
      <c r="R1379" s="1310" t="s">
        <v>1455</v>
      </c>
      <c r="S1379" s="1310" t="s">
        <v>6</v>
      </c>
      <c r="T1379" s="1310" t="s">
        <v>1475</v>
      </c>
      <c r="U1379" s="1310" t="s">
        <v>132</v>
      </c>
      <c r="V1379" s="1310" t="s">
        <v>1625</v>
      </c>
      <c r="W1379" s="1310" t="s">
        <v>131</v>
      </c>
      <c r="X1379" s="1310" t="s">
        <v>1548</v>
      </c>
      <c r="Y1379" s="1310" t="s">
        <v>111</v>
      </c>
      <c r="Z1379" s="1310" t="s">
        <v>1596</v>
      </c>
      <c r="AA1379" s="1310" t="s">
        <v>1658</v>
      </c>
      <c r="AB1379" s="1310" t="s">
        <v>1659</v>
      </c>
      <c r="AC1379" s="1310" t="s">
        <v>1596</v>
      </c>
      <c r="AD1379" s="1310" t="s">
        <v>1501</v>
      </c>
      <c r="AE1379" s="1310" t="s">
        <v>1027</v>
      </c>
      <c r="AF1379" s="1310" t="s">
        <v>1533</v>
      </c>
    </row>
    <row r="1380" spans="1:32" x14ac:dyDescent="0.3">
      <c r="A1380" s="1310" t="s">
        <v>1541</v>
      </c>
      <c r="B1380" s="1310" t="s">
        <v>263</v>
      </c>
      <c r="C1380" s="1310" t="s">
        <v>1560</v>
      </c>
      <c r="D1380" s="1310" t="s">
        <v>1526</v>
      </c>
      <c r="E1380" s="1310" t="s">
        <v>266</v>
      </c>
      <c r="F1380" s="1310" t="s">
        <v>1503</v>
      </c>
      <c r="G1380" s="1310" t="s">
        <v>1606</v>
      </c>
      <c r="H1380" s="1310" t="s">
        <v>1529</v>
      </c>
      <c r="I1380" s="1310" t="s">
        <v>125</v>
      </c>
      <c r="J1380" s="1310" t="s">
        <v>1586</v>
      </c>
      <c r="K1380" s="1310" t="s">
        <v>1656</v>
      </c>
      <c r="L1380" s="1310" t="s">
        <v>1590</v>
      </c>
      <c r="M1380" s="1310" t="s">
        <v>1565</v>
      </c>
      <c r="N1380" s="1310" t="s">
        <v>267</v>
      </c>
      <c r="O1380" s="1310" t="s">
        <v>1633</v>
      </c>
      <c r="P1380" s="1310" t="s">
        <v>1027</v>
      </c>
      <c r="Q1380" s="1310" t="s">
        <v>1525</v>
      </c>
      <c r="R1380" s="1310" t="s">
        <v>1564</v>
      </c>
      <c r="S1380" s="1310" t="s">
        <v>1464</v>
      </c>
      <c r="T1380" s="1310" t="s">
        <v>1554</v>
      </c>
      <c r="U1380" s="1310" t="s">
        <v>267</v>
      </c>
      <c r="V1380" s="1310" t="s">
        <v>1468</v>
      </c>
      <c r="W1380" s="1310" t="s">
        <v>1504</v>
      </c>
      <c r="X1380" s="1310" t="s">
        <v>116</v>
      </c>
      <c r="Y1380" s="1310" t="s">
        <v>1638</v>
      </c>
      <c r="Z1380" s="1310" t="s">
        <v>1593</v>
      </c>
      <c r="AA1380" s="1310" t="s">
        <v>124</v>
      </c>
      <c r="AB1380" s="1310" t="s">
        <v>1554</v>
      </c>
      <c r="AC1380" s="1310" t="s">
        <v>1506</v>
      </c>
      <c r="AD1380" s="1310" t="s">
        <v>1642</v>
      </c>
      <c r="AE1380" s="1310" t="s">
        <v>265</v>
      </c>
      <c r="AF1380" s="1310" t="s">
        <v>1587</v>
      </c>
    </row>
    <row r="1381" spans="1:32" x14ac:dyDescent="0.3">
      <c r="A1381" s="1310" t="s">
        <v>1619</v>
      </c>
      <c r="B1381" s="1310" t="s">
        <v>1603</v>
      </c>
      <c r="C1381" s="1310" t="s">
        <v>1622</v>
      </c>
      <c r="D1381" s="1310" t="s">
        <v>1448</v>
      </c>
      <c r="E1381" s="1310" t="s">
        <v>130</v>
      </c>
      <c r="F1381" s="1310" t="s">
        <v>1599</v>
      </c>
      <c r="G1381" s="1310" t="s">
        <v>1639</v>
      </c>
      <c r="H1381" s="1310" t="s">
        <v>1621</v>
      </c>
      <c r="I1381" s="1310" t="s">
        <v>1590</v>
      </c>
      <c r="J1381" s="1310" t="s">
        <v>1571</v>
      </c>
      <c r="K1381" s="1310" t="s">
        <v>1580</v>
      </c>
      <c r="L1381" s="1310" t="s">
        <v>120</v>
      </c>
      <c r="M1381" s="1310" t="s">
        <v>1532</v>
      </c>
      <c r="N1381" s="1310" t="s">
        <v>1550</v>
      </c>
      <c r="O1381" s="1310" t="s">
        <v>1537</v>
      </c>
      <c r="P1381" s="1310" t="s">
        <v>1585</v>
      </c>
      <c r="Q1381" s="1310" t="s">
        <v>270</v>
      </c>
      <c r="R1381" s="1310" t="s">
        <v>1447</v>
      </c>
      <c r="S1381" s="1310" t="s">
        <v>1480</v>
      </c>
      <c r="T1381" s="1310" t="s">
        <v>1489</v>
      </c>
      <c r="U1381" s="1310" t="s">
        <v>1599</v>
      </c>
      <c r="V1381" s="1310" t="s">
        <v>1641</v>
      </c>
      <c r="W1381" s="1310" t="s">
        <v>1524</v>
      </c>
      <c r="X1381" s="1310" t="s">
        <v>1459</v>
      </c>
      <c r="Y1381" s="1310" t="s">
        <v>133</v>
      </c>
      <c r="Z1381" s="1310" t="s">
        <v>127</v>
      </c>
      <c r="AA1381" s="1310" t="s">
        <v>1622</v>
      </c>
      <c r="AB1381" s="1310" t="s">
        <v>133</v>
      </c>
      <c r="AC1381" s="1310" t="s">
        <v>1520</v>
      </c>
      <c r="AD1381" s="1310" t="s">
        <v>6</v>
      </c>
      <c r="AE1381" s="1310" t="s">
        <v>1644</v>
      </c>
      <c r="AF1381" s="1310" t="s">
        <v>1443</v>
      </c>
    </row>
    <row r="1382" spans="1:32" x14ac:dyDescent="0.3">
      <c r="A1382" s="1310" t="s">
        <v>1450</v>
      </c>
      <c r="B1382" s="1310" t="s">
        <v>1629</v>
      </c>
      <c r="C1382" s="1310" t="s">
        <v>1448</v>
      </c>
      <c r="D1382" s="1310" t="s">
        <v>1468</v>
      </c>
      <c r="E1382" s="1310" t="s">
        <v>1514</v>
      </c>
      <c r="F1382" s="1310" t="s">
        <v>1468</v>
      </c>
      <c r="G1382" s="1310" t="s">
        <v>1568</v>
      </c>
      <c r="H1382" s="1310" t="s">
        <v>1550</v>
      </c>
      <c r="I1382" s="1310" t="s">
        <v>1540</v>
      </c>
      <c r="J1382" s="1310" t="s">
        <v>1601</v>
      </c>
      <c r="K1382" s="1310" t="s">
        <v>1501</v>
      </c>
      <c r="L1382" s="1310" t="s">
        <v>1594</v>
      </c>
      <c r="M1382" s="1310" t="s">
        <v>6</v>
      </c>
      <c r="N1382" s="1310" t="s">
        <v>1582</v>
      </c>
      <c r="O1382" s="1310" t="s">
        <v>1604</v>
      </c>
      <c r="P1382" s="1310" t="s">
        <v>1512</v>
      </c>
      <c r="Q1382" s="1310" t="s">
        <v>1653</v>
      </c>
      <c r="R1382" s="1310" t="s">
        <v>1527</v>
      </c>
      <c r="S1382" s="1310" t="s">
        <v>1493</v>
      </c>
      <c r="T1382" s="1310" t="s">
        <v>117</v>
      </c>
      <c r="U1382" s="1310" t="s">
        <v>1546</v>
      </c>
      <c r="V1382" s="1310" t="s">
        <v>1564</v>
      </c>
      <c r="W1382" s="1310" t="s">
        <v>471</v>
      </c>
      <c r="X1382" s="1310" t="s">
        <v>133</v>
      </c>
      <c r="Y1382" s="1310" t="s">
        <v>1649</v>
      </c>
      <c r="Z1382" s="1310" t="s">
        <v>1551</v>
      </c>
      <c r="AA1382" s="1310" t="s">
        <v>1580</v>
      </c>
      <c r="AB1382" s="1310" t="s">
        <v>1653</v>
      </c>
      <c r="AC1382" s="1310" t="s">
        <v>1594</v>
      </c>
      <c r="AD1382" s="1310" t="s">
        <v>1531</v>
      </c>
      <c r="AE1382" s="1310" t="s">
        <v>1572</v>
      </c>
      <c r="AF1382" s="1310" t="s">
        <v>1559</v>
      </c>
    </row>
    <row r="1383" spans="1:32" x14ac:dyDescent="0.3">
      <c r="A1383" s="1310" t="s">
        <v>1598</v>
      </c>
      <c r="B1383" s="1310" t="s">
        <v>1534</v>
      </c>
      <c r="C1383" s="1310" t="s">
        <v>113</v>
      </c>
      <c r="D1383" s="1310" t="s">
        <v>1477</v>
      </c>
      <c r="E1383" s="1310" t="s">
        <v>1027</v>
      </c>
      <c r="F1383" s="1310" t="s">
        <v>1584</v>
      </c>
      <c r="G1383" s="1310" t="s">
        <v>1549</v>
      </c>
      <c r="H1383" s="1310" t="s">
        <v>1516</v>
      </c>
      <c r="I1383" s="1310" t="s">
        <v>1574</v>
      </c>
      <c r="J1383" s="1310" t="s">
        <v>1514</v>
      </c>
      <c r="K1383" s="1310" t="s">
        <v>1617</v>
      </c>
      <c r="L1383" s="1310" t="s">
        <v>1614</v>
      </c>
      <c r="M1383" s="1310" t="s">
        <v>1454</v>
      </c>
      <c r="N1383" s="1310" t="s">
        <v>1613</v>
      </c>
      <c r="O1383" s="1310" t="s">
        <v>1607</v>
      </c>
      <c r="P1383" s="1310" t="s">
        <v>123</v>
      </c>
      <c r="Q1383" s="1310" t="s">
        <v>1478</v>
      </c>
      <c r="R1383" s="1310" t="s">
        <v>1521</v>
      </c>
      <c r="S1383" s="1310" t="s">
        <v>1500</v>
      </c>
      <c r="T1383" s="1310" t="s">
        <v>1659</v>
      </c>
      <c r="U1383" s="1310" t="s">
        <v>1447</v>
      </c>
      <c r="V1383" s="1310" t="s">
        <v>1563</v>
      </c>
      <c r="W1383" s="1310" t="s">
        <v>1658</v>
      </c>
      <c r="X1383" s="1310" t="s">
        <v>267</v>
      </c>
      <c r="Y1383" s="1310" t="s">
        <v>1498</v>
      </c>
      <c r="Z1383" s="1310" t="s">
        <v>1592</v>
      </c>
      <c r="AA1383" s="1310" t="s">
        <v>1620</v>
      </c>
      <c r="AB1383" s="1310" t="s">
        <v>1481</v>
      </c>
      <c r="AC1383" s="1310" t="s">
        <v>130</v>
      </c>
      <c r="AD1383" s="1310" t="s">
        <v>1653</v>
      </c>
      <c r="AE1383" s="1310" t="s">
        <v>1027</v>
      </c>
      <c r="AF1383" s="1310" t="s">
        <v>1551</v>
      </c>
    </row>
    <row r="1384" spans="1:32" x14ac:dyDescent="0.3">
      <c r="A1384" s="1310" t="s">
        <v>1519</v>
      </c>
      <c r="B1384" s="1310" t="s">
        <v>1540</v>
      </c>
      <c r="C1384" s="1310" t="s">
        <v>1631</v>
      </c>
      <c r="D1384" s="1310" t="s">
        <v>1576</v>
      </c>
      <c r="E1384" s="1310" t="s">
        <v>1547</v>
      </c>
      <c r="F1384" s="1310" t="s">
        <v>124</v>
      </c>
      <c r="G1384" s="1310" t="s">
        <v>1581</v>
      </c>
      <c r="H1384" s="1310" t="s">
        <v>1500</v>
      </c>
      <c r="I1384" s="1310" t="s">
        <v>1604</v>
      </c>
      <c r="J1384" s="1310" t="s">
        <v>1547</v>
      </c>
      <c r="K1384" s="1310" t="s">
        <v>1525</v>
      </c>
      <c r="L1384" s="1310" t="s">
        <v>1473</v>
      </c>
      <c r="M1384" s="1310" t="s">
        <v>1617</v>
      </c>
      <c r="N1384" s="1310" t="s">
        <v>1623</v>
      </c>
      <c r="O1384" s="1310" t="s">
        <v>1512</v>
      </c>
      <c r="P1384" s="1310" t="s">
        <v>1495</v>
      </c>
      <c r="Q1384" s="1310" t="s">
        <v>1622</v>
      </c>
      <c r="R1384" s="1310" t="s">
        <v>1633</v>
      </c>
      <c r="S1384" s="1310" t="s">
        <v>1615</v>
      </c>
      <c r="T1384" s="1310" t="s">
        <v>6</v>
      </c>
      <c r="U1384" s="1310" t="s">
        <v>1446</v>
      </c>
      <c r="V1384" s="1310" t="s">
        <v>123</v>
      </c>
      <c r="W1384" s="1310" t="s">
        <v>1517</v>
      </c>
      <c r="X1384" s="1310" t="s">
        <v>1536</v>
      </c>
      <c r="Y1384" s="1310" t="s">
        <v>1585</v>
      </c>
      <c r="Z1384" s="1310" t="s">
        <v>1530</v>
      </c>
      <c r="AA1384" s="1310" t="s">
        <v>1653</v>
      </c>
      <c r="AB1384" s="1310" t="s">
        <v>1534</v>
      </c>
      <c r="AC1384" s="1310" t="s">
        <v>1653</v>
      </c>
      <c r="AD1384" s="1310" t="s">
        <v>114</v>
      </c>
      <c r="AE1384" s="1310" t="s">
        <v>268</v>
      </c>
      <c r="AF1384" s="1310" t="s">
        <v>1635</v>
      </c>
    </row>
    <row r="1385" spans="1:32" x14ac:dyDescent="0.3">
      <c r="A1385" s="1310" t="s">
        <v>1578</v>
      </c>
      <c r="B1385" s="1310" t="s">
        <v>1445</v>
      </c>
      <c r="C1385" s="1310" t="s">
        <v>1619</v>
      </c>
      <c r="D1385" s="1310" t="s">
        <v>1543</v>
      </c>
      <c r="E1385" s="1310" t="s">
        <v>1603</v>
      </c>
      <c r="F1385" s="1310" t="s">
        <v>1548</v>
      </c>
      <c r="G1385" s="1310" t="s">
        <v>1625</v>
      </c>
      <c r="H1385" s="1310" t="s">
        <v>1642</v>
      </c>
      <c r="I1385" s="1310" t="s">
        <v>1599</v>
      </c>
      <c r="J1385" s="1310" t="s">
        <v>128</v>
      </c>
      <c r="K1385" s="1310" t="s">
        <v>1457</v>
      </c>
      <c r="L1385" s="1310" t="s">
        <v>1483</v>
      </c>
      <c r="M1385" s="1310" t="s">
        <v>1643</v>
      </c>
      <c r="N1385" s="1310" t="s">
        <v>1617</v>
      </c>
      <c r="O1385" s="1310" t="s">
        <v>1463</v>
      </c>
      <c r="P1385" s="1310" t="s">
        <v>1646</v>
      </c>
      <c r="Q1385" s="1310" t="s">
        <v>1449</v>
      </c>
      <c r="R1385" s="1310" t="s">
        <v>1521</v>
      </c>
      <c r="S1385" s="1310" t="s">
        <v>1542</v>
      </c>
      <c r="T1385" s="1310" t="s">
        <v>1617</v>
      </c>
      <c r="U1385" s="1310" t="s">
        <v>1535</v>
      </c>
      <c r="V1385" s="1310" t="s">
        <v>1522</v>
      </c>
      <c r="W1385" s="1310" t="s">
        <v>1550</v>
      </c>
      <c r="X1385" s="1310" t="s">
        <v>1645</v>
      </c>
      <c r="Y1385" s="1310" t="s">
        <v>1447</v>
      </c>
      <c r="Z1385" s="1310" t="s">
        <v>1555</v>
      </c>
      <c r="AA1385" s="1310" t="s">
        <v>1030</v>
      </c>
      <c r="AB1385" s="1310" t="s">
        <v>1515</v>
      </c>
      <c r="AC1385" s="1310" t="s">
        <v>1653</v>
      </c>
      <c r="AD1385" s="1310" t="s">
        <v>1591</v>
      </c>
      <c r="AE1385" s="1310" t="s">
        <v>1640</v>
      </c>
      <c r="AF1385" s="1310" t="s">
        <v>1523</v>
      </c>
    </row>
    <row r="1386" spans="1:32" x14ac:dyDescent="0.3">
      <c r="A1386" s="1310" t="s">
        <v>1445</v>
      </c>
      <c r="B1386" s="1310" t="s">
        <v>1638</v>
      </c>
      <c r="C1386" s="1310" t="s">
        <v>1577</v>
      </c>
      <c r="D1386" s="1310" t="s">
        <v>1464</v>
      </c>
      <c r="E1386" s="1310" t="s">
        <v>1572</v>
      </c>
      <c r="F1386" s="1310" t="s">
        <v>1030</v>
      </c>
      <c r="G1386" s="1310" t="s">
        <v>1657</v>
      </c>
      <c r="H1386" s="1310" t="s">
        <v>1528</v>
      </c>
      <c r="I1386" s="1310" t="s">
        <v>122</v>
      </c>
      <c r="J1386" s="1310" t="s">
        <v>1561</v>
      </c>
      <c r="K1386" s="1310" t="s">
        <v>1650</v>
      </c>
      <c r="L1386" s="1310" t="s">
        <v>118</v>
      </c>
      <c r="M1386" s="1310" t="s">
        <v>1552</v>
      </c>
      <c r="N1386" s="1310" t="s">
        <v>1618</v>
      </c>
      <c r="O1386" s="1310" t="s">
        <v>1638</v>
      </c>
      <c r="P1386" s="1310" t="s">
        <v>1537</v>
      </c>
      <c r="Q1386" s="1310" t="s">
        <v>471</v>
      </c>
      <c r="R1386" s="1310" t="s">
        <v>1497</v>
      </c>
      <c r="S1386" s="1310" t="s">
        <v>1565</v>
      </c>
      <c r="T1386" s="1310" t="s">
        <v>1633</v>
      </c>
      <c r="U1386" s="1310" t="s">
        <v>1556</v>
      </c>
      <c r="V1386" s="1310" t="s">
        <v>1482</v>
      </c>
      <c r="W1386" s="1310" t="s">
        <v>1619</v>
      </c>
      <c r="X1386" s="1310" t="s">
        <v>1503</v>
      </c>
      <c r="Y1386" s="1310" t="s">
        <v>127</v>
      </c>
      <c r="Z1386" s="1310" t="s">
        <v>1523</v>
      </c>
      <c r="AA1386" s="1310" t="s">
        <v>1618</v>
      </c>
      <c r="AB1386" s="1310" t="s">
        <v>128</v>
      </c>
      <c r="AC1386" s="1310" t="s">
        <v>1644</v>
      </c>
      <c r="AD1386" s="1310" t="s">
        <v>1605</v>
      </c>
      <c r="AE1386" s="1310" t="s">
        <v>128</v>
      </c>
      <c r="AF1386" s="1310" t="s">
        <v>1546</v>
      </c>
    </row>
    <row r="1387" spans="1:32" x14ac:dyDescent="0.3">
      <c r="A1387" s="1310" t="s">
        <v>1650</v>
      </c>
      <c r="B1387" s="1310" t="s">
        <v>1552</v>
      </c>
      <c r="C1387" s="1310" t="s">
        <v>1574</v>
      </c>
      <c r="D1387" s="1310" t="s">
        <v>1454</v>
      </c>
      <c r="E1387" s="1310" t="s">
        <v>270</v>
      </c>
      <c r="F1387" s="1310" t="s">
        <v>1519</v>
      </c>
      <c r="G1387" s="1310" t="s">
        <v>1549</v>
      </c>
      <c r="H1387" s="1310" t="s">
        <v>1534</v>
      </c>
      <c r="I1387" s="1310" t="s">
        <v>1582</v>
      </c>
      <c r="J1387" s="1310" t="s">
        <v>1488</v>
      </c>
      <c r="K1387" s="1310" t="s">
        <v>1462</v>
      </c>
      <c r="L1387" s="1310" t="s">
        <v>465</v>
      </c>
      <c r="M1387" s="1310" t="s">
        <v>1549</v>
      </c>
      <c r="N1387" s="1310" t="s">
        <v>1598</v>
      </c>
      <c r="O1387" s="1310" t="s">
        <v>1624</v>
      </c>
      <c r="P1387" s="1310" t="s">
        <v>1625</v>
      </c>
      <c r="Q1387" s="1310" t="s">
        <v>1514</v>
      </c>
      <c r="R1387" s="1310" t="s">
        <v>1451</v>
      </c>
      <c r="S1387" s="1310" t="s">
        <v>1654</v>
      </c>
      <c r="T1387" s="1310" t="s">
        <v>1483</v>
      </c>
      <c r="U1387" s="1310" t="s">
        <v>1584</v>
      </c>
      <c r="V1387" s="1310" t="s">
        <v>1507</v>
      </c>
      <c r="W1387" s="1310" t="s">
        <v>1558</v>
      </c>
      <c r="X1387" s="1310" t="s">
        <v>1540</v>
      </c>
      <c r="Y1387" s="1310" t="s">
        <v>1515</v>
      </c>
      <c r="Z1387" s="1310" t="s">
        <v>1507</v>
      </c>
      <c r="AA1387" s="1310" t="s">
        <v>1473</v>
      </c>
      <c r="AB1387" s="1310" t="s">
        <v>1610</v>
      </c>
      <c r="AC1387" s="1310" t="s">
        <v>1542</v>
      </c>
      <c r="AD1387" s="1310" t="s">
        <v>1546</v>
      </c>
      <c r="AE1387" s="1310" t="s">
        <v>1498</v>
      </c>
      <c r="AF1387" s="1310" t="s">
        <v>1505</v>
      </c>
    </row>
    <row r="1388" spans="1:32" x14ac:dyDescent="0.3">
      <c r="A1388" s="1310" t="s">
        <v>1452</v>
      </c>
      <c r="B1388" s="1310" t="s">
        <v>1537</v>
      </c>
      <c r="C1388" s="1310" t="s">
        <v>114</v>
      </c>
      <c r="D1388" s="1310" t="s">
        <v>1549</v>
      </c>
      <c r="E1388" s="1310" t="s">
        <v>1595</v>
      </c>
      <c r="F1388" s="1310" t="s">
        <v>1649</v>
      </c>
      <c r="G1388" s="1310" t="s">
        <v>1448</v>
      </c>
      <c r="H1388" s="1310" t="s">
        <v>1554</v>
      </c>
      <c r="I1388" s="1310" t="s">
        <v>1603</v>
      </c>
      <c r="J1388" s="1310" t="s">
        <v>1564</v>
      </c>
      <c r="K1388" s="1310" t="s">
        <v>1482</v>
      </c>
      <c r="L1388" s="1310" t="s">
        <v>1560</v>
      </c>
      <c r="M1388" s="1310" t="s">
        <v>1564</v>
      </c>
      <c r="N1388" s="1310" t="s">
        <v>1489</v>
      </c>
      <c r="O1388" s="1310" t="s">
        <v>1606</v>
      </c>
      <c r="P1388" s="1310" t="s">
        <v>1459</v>
      </c>
      <c r="Q1388" s="1310" t="s">
        <v>1494</v>
      </c>
      <c r="R1388" s="1310" t="s">
        <v>1623</v>
      </c>
      <c r="S1388" s="1310" t="s">
        <v>1452</v>
      </c>
      <c r="T1388" s="1310" t="s">
        <v>1648</v>
      </c>
      <c r="U1388" s="1310" t="s">
        <v>1504</v>
      </c>
      <c r="V1388" s="1310" t="s">
        <v>1618</v>
      </c>
      <c r="W1388" s="1310" t="s">
        <v>1564</v>
      </c>
      <c r="X1388" s="1310" t="s">
        <v>1459</v>
      </c>
      <c r="Y1388" s="1310" t="s">
        <v>465</v>
      </c>
      <c r="Z1388" s="1310" t="s">
        <v>1645</v>
      </c>
      <c r="AA1388" s="1310" t="s">
        <v>1502</v>
      </c>
      <c r="AB1388" s="1310" t="s">
        <v>1566</v>
      </c>
      <c r="AC1388" s="1310" t="s">
        <v>129</v>
      </c>
      <c r="AD1388" s="1310" t="s">
        <v>1648</v>
      </c>
      <c r="AE1388" s="1310" t="s">
        <v>1482</v>
      </c>
      <c r="AF1388" s="1310" t="s">
        <v>1476</v>
      </c>
    </row>
    <row r="1389" spans="1:32" x14ac:dyDescent="0.3">
      <c r="A1389" s="1310" t="s">
        <v>1467</v>
      </c>
      <c r="B1389" s="1310" t="s">
        <v>268</v>
      </c>
      <c r="C1389" s="1310" t="s">
        <v>1617</v>
      </c>
      <c r="D1389" s="1310" t="s">
        <v>1568</v>
      </c>
      <c r="E1389" s="1310" t="s">
        <v>1638</v>
      </c>
      <c r="F1389" s="1310" t="s">
        <v>1584</v>
      </c>
      <c r="G1389" s="1310" t="s">
        <v>471</v>
      </c>
      <c r="H1389" s="1310" t="s">
        <v>1549</v>
      </c>
      <c r="I1389" s="1310" t="s">
        <v>1592</v>
      </c>
      <c r="J1389" s="1310" t="s">
        <v>1537</v>
      </c>
      <c r="K1389" s="1310" t="s">
        <v>1542</v>
      </c>
      <c r="L1389" s="1310" t="s">
        <v>111</v>
      </c>
      <c r="M1389" s="1310" t="s">
        <v>1635</v>
      </c>
      <c r="N1389" s="1310" t="s">
        <v>1478</v>
      </c>
      <c r="O1389" s="1310" t="s">
        <v>1561</v>
      </c>
      <c r="P1389" s="1310" t="s">
        <v>1625</v>
      </c>
      <c r="Q1389" s="1310" t="s">
        <v>1604</v>
      </c>
      <c r="R1389" s="1310" t="s">
        <v>1514</v>
      </c>
      <c r="S1389" s="1310" t="s">
        <v>1527</v>
      </c>
      <c r="T1389" s="1310" t="s">
        <v>263</v>
      </c>
      <c r="U1389" s="1310" t="s">
        <v>1562</v>
      </c>
      <c r="V1389" s="1310" t="s">
        <v>1481</v>
      </c>
      <c r="W1389" s="1310" t="s">
        <v>1616</v>
      </c>
      <c r="X1389" s="1310" t="s">
        <v>1480</v>
      </c>
      <c r="Y1389" s="1310" t="s">
        <v>1525</v>
      </c>
      <c r="Z1389" s="1310" t="s">
        <v>1504</v>
      </c>
      <c r="AA1389" s="1310" t="s">
        <v>1618</v>
      </c>
      <c r="AB1389" s="1310" t="s">
        <v>1486</v>
      </c>
      <c r="AC1389" s="1310" t="s">
        <v>1535</v>
      </c>
      <c r="AD1389" s="1310" t="s">
        <v>1599</v>
      </c>
      <c r="AE1389" s="1310" t="s">
        <v>123</v>
      </c>
      <c r="AF1389" s="1310" t="s">
        <v>1513</v>
      </c>
    </row>
    <row r="1390" spans="1:32" x14ac:dyDescent="0.3">
      <c r="A1390" s="1310" t="s">
        <v>1560</v>
      </c>
      <c r="B1390" s="1310" t="s">
        <v>1645</v>
      </c>
      <c r="C1390" s="1310" t="s">
        <v>1478</v>
      </c>
      <c r="D1390" s="1310" t="s">
        <v>1456</v>
      </c>
      <c r="E1390" s="1310" t="s">
        <v>1605</v>
      </c>
      <c r="F1390" s="1310" t="s">
        <v>1638</v>
      </c>
      <c r="G1390" s="1310" t="s">
        <v>1493</v>
      </c>
      <c r="H1390" s="1310" t="s">
        <v>1606</v>
      </c>
      <c r="I1390" s="1310" t="s">
        <v>1644</v>
      </c>
      <c r="J1390" s="1310" t="s">
        <v>268</v>
      </c>
      <c r="K1390" s="1310" t="s">
        <v>1566</v>
      </c>
      <c r="L1390" s="1310" t="s">
        <v>1657</v>
      </c>
      <c r="M1390" s="1310" t="s">
        <v>1607</v>
      </c>
      <c r="N1390" s="1310" t="s">
        <v>1492</v>
      </c>
      <c r="O1390" s="1310" t="s">
        <v>1646</v>
      </c>
      <c r="P1390" s="1310" t="s">
        <v>1638</v>
      </c>
      <c r="Q1390" s="1310" t="s">
        <v>131</v>
      </c>
      <c r="R1390" s="1310" t="s">
        <v>1030</v>
      </c>
      <c r="S1390" s="1310" t="s">
        <v>1491</v>
      </c>
      <c r="T1390" s="1310" t="s">
        <v>1640</v>
      </c>
      <c r="U1390" s="1310" t="s">
        <v>1539</v>
      </c>
      <c r="V1390" s="1310" t="s">
        <v>1470</v>
      </c>
      <c r="W1390" s="1310" t="s">
        <v>1649</v>
      </c>
      <c r="X1390" s="1310" t="s">
        <v>124</v>
      </c>
      <c r="Y1390" s="1310" t="s">
        <v>1475</v>
      </c>
      <c r="Z1390" s="1310" t="s">
        <v>1582</v>
      </c>
      <c r="AA1390" s="1310" t="s">
        <v>1581</v>
      </c>
      <c r="AB1390" s="1310" t="s">
        <v>1546</v>
      </c>
      <c r="AC1390" s="1310" t="s">
        <v>1550</v>
      </c>
      <c r="AD1390" s="1310" t="s">
        <v>1573</v>
      </c>
      <c r="AE1390" s="1310" t="s">
        <v>1030</v>
      </c>
      <c r="AF1390" s="1310" t="s">
        <v>1485</v>
      </c>
    </row>
    <row r="1391" spans="1:32" x14ac:dyDescent="0.3">
      <c r="A1391" s="1310" t="s">
        <v>1444</v>
      </c>
      <c r="B1391" s="1310" t="s">
        <v>1495</v>
      </c>
      <c r="C1391" s="1310" t="s">
        <v>1496</v>
      </c>
      <c r="D1391" s="1310" t="s">
        <v>1461</v>
      </c>
      <c r="E1391" s="1310" t="s">
        <v>1640</v>
      </c>
      <c r="F1391" s="1310" t="s">
        <v>1590</v>
      </c>
      <c r="G1391" s="1310" t="s">
        <v>1640</v>
      </c>
      <c r="H1391" s="1310" t="s">
        <v>1470</v>
      </c>
      <c r="I1391" s="1310" t="s">
        <v>1515</v>
      </c>
      <c r="J1391" s="1310" t="s">
        <v>1480</v>
      </c>
      <c r="K1391" s="1310" t="s">
        <v>1493</v>
      </c>
      <c r="L1391" s="1310" t="s">
        <v>267</v>
      </c>
      <c r="M1391" s="1310" t="s">
        <v>263</v>
      </c>
      <c r="N1391" s="1310" t="s">
        <v>1446</v>
      </c>
      <c r="O1391" s="1310" t="s">
        <v>1455</v>
      </c>
      <c r="P1391" s="1310" t="s">
        <v>1632</v>
      </c>
      <c r="Q1391" s="1310" t="s">
        <v>1629</v>
      </c>
      <c r="R1391" s="1310" t="s">
        <v>114</v>
      </c>
      <c r="S1391" s="1310" t="s">
        <v>1459</v>
      </c>
      <c r="T1391" s="1310" t="s">
        <v>269</v>
      </c>
      <c r="U1391" s="1310" t="s">
        <v>1506</v>
      </c>
      <c r="V1391" s="1310" t="s">
        <v>1659</v>
      </c>
      <c r="W1391" s="1310" t="s">
        <v>1500</v>
      </c>
      <c r="X1391" s="1310" t="s">
        <v>1578</v>
      </c>
      <c r="Y1391" s="1310" t="s">
        <v>1480</v>
      </c>
      <c r="Z1391" s="1310" t="s">
        <v>114</v>
      </c>
      <c r="AA1391" s="1310" t="s">
        <v>1472</v>
      </c>
      <c r="AB1391" s="1310" t="s">
        <v>122</v>
      </c>
      <c r="AC1391" s="1310" t="s">
        <v>1485</v>
      </c>
      <c r="AD1391" s="1310" t="s">
        <v>1507</v>
      </c>
      <c r="AE1391" s="1310" t="s">
        <v>1537</v>
      </c>
      <c r="AF1391" s="1310" t="s">
        <v>1504</v>
      </c>
    </row>
    <row r="1392" spans="1:32" x14ac:dyDescent="0.3">
      <c r="A1392" s="1310" t="s">
        <v>127</v>
      </c>
      <c r="B1392" s="1310" t="s">
        <v>1504</v>
      </c>
      <c r="C1392" s="1310" t="s">
        <v>1493</v>
      </c>
      <c r="D1392" s="1310" t="s">
        <v>1594</v>
      </c>
      <c r="E1392" s="1310" t="s">
        <v>1577</v>
      </c>
      <c r="F1392" s="1310" t="s">
        <v>126</v>
      </c>
      <c r="G1392" s="1310" t="s">
        <v>1469</v>
      </c>
      <c r="H1392" s="1310" t="s">
        <v>1614</v>
      </c>
      <c r="I1392" s="1310" t="s">
        <v>1537</v>
      </c>
      <c r="J1392" s="1310" t="s">
        <v>1504</v>
      </c>
      <c r="K1392" s="1310" t="s">
        <v>1614</v>
      </c>
      <c r="L1392" s="1310" t="s">
        <v>1504</v>
      </c>
      <c r="M1392" s="1310" t="s">
        <v>1539</v>
      </c>
      <c r="N1392" s="1310" t="s">
        <v>1470</v>
      </c>
      <c r="O1392" s="1310" t="s">
        <v>1591</v>
      </c>
      <c r="P1392" s="1310" t="s">
        <v>1644</v>
      </c>
      <c r="Q1392" s="1310" t="s">
        <v>1552</v>
      </c>
      <c r="R1392" s="1310" t="s">
        <v>1030</v>
      </c>
      <c r="S1392" s="1310" t="s">
        <v>1535</v>
      </c>
      <c r="T1392" s="1310" t="s">
        <v>1499</v>
      </c>
      <c r="U1392" s="1310" t="s">
        <v>130</v>
      </c>
      <c r="V1392" s="1310" t="s">
        <v>118</v>
      </c>
      <c r="W1392" s="1310" t="s">
        <v>1609</v>
      </c>
      <c r="X1392" s="1310" t="s">
        <v>1501</v>
      </c>
      <c r="Y1392" s="1310" t="s">
        <v>1516</v>
      </c>
      <c r="Z1392" s="1310" t="s">
        <v>1538</v>
      </c>
      <c r="AA1392" s="1310" t="s">
        <v>1630</v>
      </c>
      <c r="AB1392" s="1310" t="s">
        <v>1531</v>
      </c>
      <c r="AC1392" s="1310" t="s">
        <v>1604</v>
      </c>
      <c r="AD1392" s="1310" t="s">
        <v>1523</v>
      </c>
      <c r="AE1392" s="1310" t="s">
        <v>270</v>
      </c>
      <c r="AF1392" s="1310" t="s">
        <v>1658</v>
      </c>
    </row>
    <row r="1393" spans="1:32" x14ac:dyDescent="0.3">
      <c r="A1393" s="1310" t="s">
        <v>131</v>
      </c>
      <c r="B1393" s="1310" t="s">
        <v>124</v>
      </c>
      <c r="C1393" s="1310" t="s">
        <v>1629</v>
      </c>
      <c r="D1393" s="1310" t="s">
        <v>1654</v>
      </c>
      <c r="E1393" s="1310" t="s">
        <v>1628</v>
      </c>
      <c r="F1393" s="1310" t="s">
        <v>1539</v>
      </c>
      <c r="G1393" s="1310" t="s">
        <v>1492</v>
      </c>
      <c r="H1393" s="1310" t="s">
        <v>1574</v>
      </c>
      <c r="I1393" s="1310" t="s">
        <v>1547</v>
      </c>
      <c r="J1393" s="1310" t="s">
        <v>1027</v>
      </c>
      <c r="K1393" s="1310" t="s">
        <v>1541</v>
      </c>
      <c r="L1393" s="1310" t="s">
        <v>1444</v>
      </c>
      <c r="M1393" s="1310" t="s">
        <v>1616</v>
      </c>
      <c r="N1393" s="1310" t="s">
        <v>1551</v>
      </c>
      <c r="O1393" s="1310" t="s">
        <v>1659</v>
      </c>
      <c r="P1393" s="1310" t="s">
        <v>126</v>
      </c>
      <c r="Q1393" s="1310" t="s">
        <v>1628</v>
      </c>
      <c r="R1393" s="1310" t="s">
        <v>1589</v>
      </c>
      <c r="S1393" s="1310" t="s">
        <v>1515</v>
      </c>
      <c r="T1393" s="1310" t="s">
        <v>1591</v>
      </c>
      <c r="U1393" s="1310" t="s">
        <v>1511</v>
      </c>
      <c r="V1393" s="1310" t="s">
        <v>1467</v>
      </c>
      <c r="W1393" s="1310" t="s">
        <v>1597</v>
      </c>
      <c r="X1393" s="1310" t="s">
        <v>1486</v>
      </c>
      <c r="Y1393" s="1310" t="s">
        <v>1546</v>
      </c>
      <c r="Z1393" s="1310" t="s">
        <v>1457</v>
      </c>
      <c r="AA1393" s="1310" t="s">
        <v>1653</v>
      </c>
      <c r="AB1393" s="1310" t="s">
        <v>1486</v>
      </c>
      <c r="AC1393" s="1310" t="s">
        <v>1617</v>
      </c>
      <c r="AD1393" s="1310" t="s">
        <v>1590</v>
      </c>
      <c r="AE1393" s="1310" t="s">
        <v>1487</v>
      </c>
      <c r="AF1393" s="1310" t="s">
        <v>1558</v>
      </c>
    </row>
    <row r="1394" spans="1:32" x14ac:dyDescent="0.3">
      <c r="A1394" s="1310" t="s">
        <v>133</v>
      </c>
      <c r="B1394" s="1310" t="s">
        <v>1590</v>
      </c>
      <c r="C1394" s="1310" t="s">
        <v>1645</v>
      </c>
      <c r="D1394" s="1310" t="s">
        <v>1659</v>
      </c>
      <c r="E1394" s="1310" t="s">
        <v>1454</v>
      </c>
      <c r="F1394" s="1310" t="s">
        <v>1557</v>
      </c>
      <c r="G1394" s="1310" t="s">
        <v>1617</v>
      </c>
      <c r="H1394" s="1310" t="s">
        <v>1547</v>
      </c>
      <c r="I1394" s="1310" t="s">
        <v>124</v>
      </c>
      <c r="J1394" s="1310" t="s">
        <v>1549</v>
      </c>
      <c r="K1394" s="1310" t="s">
        <v>1606</v>
      </c>
      <c r="L1394" s="1310" t="s">
        <v>1537</v>
      </c>
      <c r="M1394" s="1310" t="s">
        <v>1444</v>
      </c>
      <c r="N1394" s="1310" t="s">
        <v>1605</v>
      </c>
      <c r="O1394" s="1310" t="s">
        <v>1583</v>
      </c>
      <c r="P1394" s="1310" t="s">
        <v>1596</v>
      </c>
      <c r="Q1394" s="1310" t="s">
        <v>1624</v>
      </c>
      <c r="R1394" s="1310" t="s">
        <v>1456</v>
      </c>
      <c r="S1394" s="1310" t="s">
        <v>1447</v>
      </c>
      <c r="T1394" s="1310" t="s">
        <v>1564</v>
      </c>
      <c r="U1394" s="1310" t="s">
        <v>1603</v>
      </c>
      <c r="V1394" s="1310" t="s">
        <v>1611</v>
      </c>
      <c r="W1394" s="1310" t="s">
        <v>1559</v>
      </c>
      <c r="X1394" s="1310" t="s">
        <v>1551</v>
      </c>
      <c r="Y1394" s="1310" t="s">
        <v>1524</v>
      </c>
      <c r="Z1394" s="1310" t="s">
        <v>1474</v>
      </c>
      <c r="AA1394" s="1310" t="s">
        <v>1582</v>
      </c>
      <c r="AB1394" s="1310" t="s">
        <v>1634</v>
      </c>
      <c r="AC1394" s="1310" t="s">
        <v>1520</v>
      </c>
      <c r="AD1394" s="1310" t="s">
        <v>111</v>
      </c>
      <c r="AE1394" s="1310" t="s">
        <v>1583</v>
      </c>
      <c r="AF1394" s="1310" t="s">
        <v>121</v>
      </c>
    </row>
    <row r="1395" spans="1:32" x14ac:dyDescent="0.3">
      <c r="A1395" s="1310" t="s">
        <v>1629</v>
      </c>
      <c r="B1395" s="1310" t="s">
        <v>1504</v>
      </c>
      <c r="C1395" s="1310" t="s">
        <v>1600</v>
      </c>
      <c r="D1395" s="1310" t="s">
        <v>1456</v>
      </c>
      <c r="E1395" s="1310" t="s">
        <v>1465</v>
      </c>
      <c r="F1395" s="1310" t="s">
        <v>1568</v>
      </c>
      <c r="G1395" s="1310" t="s">
        <v>1535</v>
      </c>
      <c r="H1395" s="1310" t="s">
        <v>1542</v>
      </c>
      <c r="I1395" s="1310" t="s">
        <v>1566</v>
      </c>
      <c r="J1395" s="1310" t="s">
        <v>1611</v>
      </c>
      <c r="K1395" s="1310" t="s">
        <v>1450</v>
      </c>
      <c r="L1395" s="1310" t="s">
        <v>1601</v>
      </c>
      <c r="M1395" s="1310" t="s">
        <v>1657</v>
      </c>
      <c r="N1395" s="1310" t="s">
        <v>1541</v>
      </c>
      <c r="O1395" s="1310" t="s">
        <v>267</v>
      </c>
      <c r="P1395" s="1310" t="s">
        <v>1491</v>
      </c>
      <c r="Q1395" s="1310" t="s">
        <v>266</v>
      </c>
      <c r="R1395" s="1310" t="s">
        <v>1491</v>
      </c>
      <c r="S1395" s="1310" t="s">
        <v>1590</v>
      </c>
      <c r="T1395" s="1310" t="s">
        <v>1495</v>
      </c>
      <c r="U1395" s="1310" t="s">
        <v>1601</v>
      </c>
      <c r="V1395" s="1310" t="s">
        <v>1580</v>
      </c>
      <c r="W1395" s="1310" t="s">
        <v>1458</v>
      </c>
      <c r="X1395" s="1310" t="s">
        <v>1460</v>
      </c>
      <c r="Y1395" s="1310" t="s">
        <v>1445</v>
      </c>
      <c r="Z1395" s="1310" t="s">
        <v>1468</v>
      </c>
      <c r="AA1395" s="1310" t="s">
        <v>120</v>
      </c>
      <c r="AB1395" s="1310" t="s">
        <v>1625</v>
      </c>
      <c r="AC1395" s="1310" t="s">
        <v>1516</v>
      </c>
      <c r="AD1395" s="1310" t="s">
        <v>1522</v>
      </c>
      <c r="AE1395" s="1310" t="s">
        <v>1486</v>
      </c>
      <c r="AF1395" s="1310" t="s">
        <v>1549</v>
      </c>
    </row>
    <row r="1396" spans="1:32" x14ac:dyDescent="0.3">
      <c r="A1396" s="1310" t="s">
        <v>1553</v>
      </c>
      <c r="B1396" s="1310" t="s">
        <v>1523</v>
      </c>
      <c r="C1396" s="1310" t="s">
        <v>1545</v>
      </c>
      <c r="D1396" s="1310" t="s">
        <v>269</v>
      </c>
      <c r="E1396" s="1310" t="s">
        <v>1599</v>
      </c>
      <c r="F1396" s="1310" t="s">
        <v>127</v>
      </c>
      <c r="G1396" s="1310" t="s">
        <v>1628</v>
      </c>
      <c r="H1396" s="1310" t="s">
        <v>1631</v>
      </c>
      <c r="I1396" s="1310" t="s">
        <v>1479</v>
      </c>
      <c r="J1396" s="1310" t="s">
        <v>1652</v>
      </c>
      <c r="K1396" s="1310" t="s">
        <v>1467</v>
      </c>
      <c r="L1396" s="1310" t="s">
        <v>1472</v>
      </c>
      <c r="M1396" s="1310" t="s">
        <v>1591</v>
      </c>
      <c r="N1396" s="1310" t="s">
        <v>1659</v>
      </c>
      <c r="O1396" s="1310" t="s">
        <v>1460</v>
      </c>
      <c r="P1396" s="1310" t="s">
        <v>1530</v>
      </c>
      <c r="Q1396" s="1310" t="s">
        <v>1558</v>
      </c>
      <c r="R1396" s="1310" t="s">
        <v>1482</v>
      </c>
      <c r="S1396" s="1310" t="s">
        <v>1465</v>
      </c>
      <c r="T1396" s="1310" t="s">
        <v>128</v>
      </c>
      <c r="U1396" s="1310" t="s">
        <v>1557</v>
      </c>
      <c r="V1396" s="1310" t="s">
        <v>115</v>
      </c>
      <c r="W1396" s="1310" t="s">
        <v>1613</v>
      </c>
      <c r="X1396" s="1310" t="s">
        <v>1580</v>
      </c>
      <c r="Y1396" s="1310" t="s">
        <v>1583</v>
      </c>
      <c r="Z1396" s="1310" t="s">
        <v>1448</v>
      </c>
      <c r="AA1396" s="1310" t="s">
        <v>1629</v>
      </c>
      <c r="AB1396" s="1310" t="s">
        <v>1534</v>
      </c>
      <c r="AC1396" s="1310" t="s">
        <v>1483</v>
      </c>
      <c r="AD1396" s="1310" t="s">
        <v>1630</v>
      </c>
      <c r="AE1396" s="1310" t="s">
        <v>1608</v>
      </c>
      <c r="AF1396" s="1310" t="s">
        <v>1537</v>
      </c>
    </row>
    <row r="1397" spans="1:32" x14ac:dyDescent="0.3">
      <c r="A1397" s="1310" t="s">
        <v>1627</v>
      </c>
      <c r="B1397" s="1310" t="s">
        <v>1574</v>
      </c>
      <c r="C1397" s="1310" t="s">
        <v>123</v>
      </c>
      <c r="D1397" s="1310" t="s">
        <v>1584</v>
      </c>
      <c r="E1397" s="1310" t="s">
        <v>1643</v>
      </c>
      <c r="F1397" s="1310" t="s">
        <v>1655</v>
      </c>
      <c r="G1397" s="1310" t="s">
        <v>1643</v>
      </c>
      <c r="H1397" s="1310" t="s">
        <v>113</v>
      </c>
      <c r="I1397" s="1310" t="s">
        <v>1623</v>
      </c>
      <c r="J1397" s="1310" t="s">
        <v>1575</v>
      </c>
      <c r="K1397" s="1310" t="s">
        <v>1464</v>
      </c>
      <c r="L1397" s="1310" t="s">
        <v>1618</v>
      </c>
      <c r="M1397" s="1310" t="s">
        <v>1483</v>
      </c>
      <c r="N1397" s="1310" t="s">
        <v>1533</v>
      </c>
      <c r="O1397" s="1310" t="s">
        <v>110</v>
      </c>
      <c r="P1397" s="1310" t="s">
        <v>120</v>
      </c>
      <c r="Q1397" s="1310" t="s">
        <v>1629</v>
      </c>
      <c r="R1397" s="1310" t="s">
        <v>1619</v>
      </c>
      <c r="S1397" s="1310" t="s">
        <v>1446</v>
      </c>
      <c r="T1397" s="1310" t="s">
        <v>1561</v>
      </c>
      <c r="U1397" s="1310" t="s">
        <v>1513</v>
      </c>
      <c r="V1397" s="1310" t="s">
        <v>1645</v>
      </c>
      <c r="W1397" s="1310" t="s">
        <v>1609</v>
      </c>
      <c r="X1397" s="1310" t="s">
        <v>1474</v>
      </c>
      <c r="Y1397" s="1310" t="s">
        <v>1464</v>
      </c>
      <c r="Z1397" s="1310" t="s">
        <v>1618</v>
      </c>
      <c r="AA1397" s="1310" t="s">
        <v>1623</v>
      </c>
      <c r="AB1397" s="1310" t="s">
        <v>1535</v>
      </c>
      <c r="AC1397" s="1310" t="s">
        <v>1489</v>
      </c>
      <c r="AD1397" s="1310" t="s">
        <v>1467</v>
      </c>
      <c r="AE1397" s="1310" t="s">
        <v>1521</v>
      </c>
      <c r="AF1397" s="1310" t="s">
        <v>1585</v>
      </c>
    </row>
    <row r="1398" spans="1:32" x14ac:dyDescent="0.3">
      <c r="A1398" s="1310" t="s">
        <v>1601</v>
      </c>
      <c r="B1398" s="1310" t="s">
        <v>465</v>
      </c>
      <c r="C1398" s="1310" t="s">
        <v>1475</v>
      </c>
      <c r="D1398" s="1310" t="s">
        <v>1549</v>
      </c>
      <c r="E1398" s="1310" t="s">
        <v>1646</v>
      </c>
      <c r="F1398" s="1310" t="s">
        <v>1482</v>
      </c>
      <c r="G1398" s="1310" t="s">
        <v>1638</v>
      </c>
      <c r="H1398" s="1310" t="s">
        <v>1481</v>
      </c>
      <c r="I1398" s="1310" t="s">
        <v>1473</v>
      </c>
      <c r="J1398" s="1310" t="s">
        <v>1567</v>
      </c>
      <c r="K1398" s="1310" t="s">
        <v>1454</v>
      </c>
      <c r="L1398" s="1310" t="s">
        <v>1472</v>
      </c>
      <c r="M1398" s="1310" t="s">
        <v>1595</v>
      </c>
      <c r="N1398" s="1310" t="s">
        <v>114</v>
      </c>
      <c r="O1398" s="1310" t="s">
        <v>1463</v>
      </c>
      <c r="P1398" s="1310" t="s">
        <v>1601</v>
      </c>
      <c r="Q1398" s="1310" t="s">
        <v>125</v>
      </c>
      <c r="R1398" s="1310" t="s">
        <v>1486</v>
      </c>
      <c r="S1398" s="1310" t="s">
        <v>1582</v>
      </c>
      <c r="T1398" s="1310" t="s">
        <v>1532</v>
      </c>
      <c r="U1398" s="1310" t="s">
        <v>1658</v>
      </c>
      <c r="V1398" s="1310" t="s">
        <v>121</v>
      </c>
      <c r="W1398" s="1310" t="s">
        <v>1487</v>
      </c>
      <c r="X1398" s="1310" t="s">
        <v>1447</v>
      </c>
      <c r="Y1398" s="1310" t="s">
        <v>1466</v>
      </c>
      <c r="Z1398" s="1310" t="s">
        <v>1482</v>
      </c>
      <c r="AA1398" s="1310" t="s">
        <v>1502</v>
      </c>
      <c r="AB1398" s="1310" t="s">
        <v>264</v>
      </c>
      <c r="AC1398" s="1310" t="s">
        <v>1477</v>
      </c>
      <c r="AD1398" s="1310" t="s">
        <v>1480</v>
      </c>
      <c r="AE1398" s="1310" t="s">
        <v>1596</v>
      </c>
      <c r="AF1398" s="1310" t="s">
        <v>270</v>
      </c>
    </row>
    <row r="1399" spans="1:32" x14ac:dyDescent="0.3">
      <c r="A1399" s="1310" t="s">
        <v>1492</v>
      </c>
      <c r="B1399" s="1310" t="s">
        <v>1540</v>
      </c>
      <c r="C1399" s="1310" t="s">
        <v>1638</v>
      </c>
      <c r="D1399" s="1310" t="s">
        <v>1563</v>
      </c>
      <c r="E1399" s="1310" t="s">
        <v>1468</v>
      </c>
      <c r="F1399" s="1310" t="s">
        <v>126</v>
      </c>
      <c r="G1399" s="1310" t="s">
        <v>1563</v>
      </c>
      <c r="H1399" s="1310" t="s">
        <v>1570</v>
      </c>
      <c r="I1399" s="1310" t="s">
        <v>128</v>
      </c>
      <c r="J1399" s="1310" t="s">
        <v>1517</v>
      </c>
      <c r="K1399" s="1310" t="s">
        <v>1463</v>
      </c>
      <c r="L1399" s="1310" t="s">
        <v>1636</v>
      </c>
      <c r="M1399" s="1310" t="s">
        <v>1477</v>
      </c>
      <c r="N1399" s="1310" t="s">
        <v>1451</v>
      </c>
      <c r="O1399" s="1310" t="s">
        <v>264</v>
      </c>
      <c r="P1399" s="1310" t="s">
        <v>1586</v>
      </c>
      <c r="Q1399" s="1310" t="s">
        <v>1589</v>
      </c>
      <c r="R1399" s="1310" t="s">
        <v>267</v>
      </c>
      <c r="S1399" s="1310" t="s">
        <v>1601</v>
      </c>
      <c r="T1399" s="1310" t="s">
        <v>1463</v>
      </c>
      <c r="U1399" s="1310" t="s">
        <v>1452</v>
      </c>
      <c r="V1399" s="1310" t="s">
        <v>1452</v>
      </c>
      <c r="W1399" s="1310" t="s">
        <v>1644</v>
      </c>
      <c r="X1399" s="1310" t="s">
        <v>465</v>
      </c>
      <c r="Y1399" s="1310" t="s">
        <v>1603</v>
      </c>
      <c r="Z1399" s="1310" t="s">
        <v>1632</v>
      </c>
      <c r="AA1399" s="1310" t="s">
        <v>1447</v>
      </c>
      <c r="AB1399" s="1310" t="s">
        <v>1497</v>
      </c>
      <c r="AC1399" s="1310" t="s">
        <v>111</v>
      </c>
      <c r="AD1399" s="1310" t="s">
        <v>1615</v>
      </c>
      <c r="AE1399" s="1310" t="s">
        <v>1657</v>
      </c>
      <c r="AF1399" s="1310" t="s">
        <v>1587</v>
      </c>
    </row>
    <row r="1400" spans="1:32" x14ac:dyDescent="0.3">
      <c r="A1400" s="1310" t="s">
        <v>1451</v>
      </c>
      <c r="B1400" s="1310" t="s">
        <v>1454</v>
      </c>
      <c r="C1400" s="1310" t="s">
        <v>1575</v>
      </c>
      <c r="D1400" s="1310" t="s">
        <v>1625</v>
      </c>
      <c r="E1400" s="1310" t="s">
        <v>1650</v>
      </c>
      <c r="F1400" s="1310" t="s">
        <v>266</v>
      </c>
      <c r="G1400" s="1310" t="s">
        <v>1584</v>
      </c>
      <c r="H1400" s="1310" t="s">
        <v>1579</v>
      </c>
      <c r="I1400" s="1310" t="s">
        <v>1658</v>
      </c>
      <c r="J1400" s="1310" t="s">
        <v>1452</v>
      </c>
      <c r="K1400" s="1310" t="s">
        <v>1621</v>
      </c>
      <c r="L1400" s="1310" t="s">
        <v>1541</v>
      </c>
      <c r="M1400" s="1310" t="s">
        <v>1444</v>
      </c>
      <c r="N1400" s="1310" t="s">
        <v>465</v>
      </c>
      <c r="O1400" s="1310" t="s">
        <v>114</v>
      </c>
      <c r="P1400" s="1310" t="s">
        <v>1488</v>
      </c>
      <c r="Q1400" s="1310" t="s">
        <v>1455</v>
      </c>
      <c r="R1400" s="1310" t="s">
        <v>1635</v>
      </c>
      <c r="S1400" s="1310" t="s">
        <v>1549</v>
      </c>
      <c r="T1400" s="1310" t="s">
        <v>1644</v>
      </c>
      <c r="U1400" s="1310" t="s">
        <v>1632</v>
      </c>
      <c r="V1400" s="1310" t="s">
        <v>1600</v>
      </c>
      <c r="W1400" s="1310" t="s">
        <v>1509</v>
      </c>
      <c r="X1400" s="1310" t="s">
        <v>1554</v>
      </c>
      <c r="Y1400" s="1310" t="s">
        <v>1452</v>
      </c>
      <c r="Z1400" s="1310" t="s">
        <v>1443</v>
      </c>
      <c r="AA1400" s="1310" t="s">
        <v>1450</v>
      </c>
      <c r="AB1400" s="1310" t="s">
        <v>1443</v>
      </c>
      <c r="AC1400" s="1310" t="s">
        <v>121</v>
      </c>
      <c r="AD1400" s="1310" t="s">
        <v>1571</v>
      </c>
      <c r="AE1400" s="1310" t="s">
        <v>1562</v>
      </c>
      <c r="AF1400" s="1310" t="s">
        <v>1452</v>
      </c>
    </row>
    <row r="1401" spans="1:32" x14ac:dyDescent="0.3">
      <c r="A1401" s="1310" t="s">
        <v>1621</v>
      </c>
      <c r="B1401" s="1310" t="s">
        <v>1541</v>
      </c>
      <c r="C1401" s="1310" t="s">
        <v>1444</v>
      </c>
      <c r="D1401" s="1310" t="s">
        <v>465</v>
      </c>
      <c r="E1401" s="1310" t="s">
        <v>114</v>
      </c>
      <c r="F1401" s="1310" t="s">
        <v>1488</v>
      </c>
      <c r="G1401" s="1310" t="s">
        <v>1455</v>
      </c>
      <c r="H1401" s="1310" t="s">
        <v>1635</v>
      </c>
      <c r="I1401" s="1310" t="s">
        <v>1549</v>
      </c>
      <c r="J1401" s="1310" t="s">
        <v>1644</v>
      </c>
      <c r="K1401" s="1310" t="s">
        <v>1632</v>
      </c>
      <c r="L1401" s="1310" t="s">
        <v>1600</v>
      </c>
      <c r="M1401" s="1310" t="s">
        <v>1509</v>
      </c>
      <c r="N1401" s="1310" t="s">
        <v>1554</v>
      </c>
      <c r="O1401" s="1310" t="s">
        <v>1452</v>
      </c>
      <c r="P1401" s="1310" t="s">
        <v>129</v>
      </c>
      <c r="Q1401" s="1310" t="s">
        <v>1443</v>
      </c>
      <c r="R1401" s="1310" t="s">
        <v>1450</v>
      </c>
      <c r="S1401" s="1310" t="s">
        <v>1461</v>
      </c>
      <c r="T1401" s="1310" t="s">
        <v>1580</v>
      </c>
      <c r="U1401" s="1310" t="s">
        <v>1487</v>
      </c>
      <c r="V1401" s="1310" t="s">
        <v>1493</v>
      </c>
      <c r="W1401" s="1310" t="s">
        <v>1517</v>
      </c>
      <c r="X1401" s="1310" t="s">
        <v>1637</v>
      </c>
      <c r="Y1401" s="1310" t="s">
        <v>1645</v>
      </c>
      <c r="Z1401" s="1310" t="s">
        <v>1458</v>
      </c>
      <c r="AA1401" s="1310" t="s">
        <v>1457</v>
      </c>
      <c r="AB1401" s="1310" t="s">
        <v>1613</v>
      </c>
      <c r="AC1401" s="1310" t="s">
        <v>1474</v>
      </c>
      <c r="AD1401" s="1310" t="s">
        <v>1569</v>
      </c>
      <c r="AE1401" s="1310" t="s">
        <v>1551</v>
      </c>
      <c r="AF1401" s="1310" t="s">
        <v>1507</v>
      </c>
    </row>
    <row r="1402" spans="1:32" x14ac:dyDescent="0.3">
      <c r="A1402" s="1310" t="s">
        <v>1617</v>
      </c>
      <c r="B1402" s="1310" t="s">
        <v>1617</v>
      </c>
      <c r="C1402" s="1310" t="s">
        <v>1518</v>
      </c>
      <c r="D1402" s="1310" t="s">
        <v>1458</v>
      </c>
      <c r="E1402" s="1310" t="s">
        <v>1546</v>
      </c>
      <c r="F1402" s="1310" t="s">
        <v>112</v>
      </c>
      <c r="G1402" s="1310" t="s">
        <v>1573</v>
      </c>
      <c r="H1402" s="1310" t="s">
        <v>1490</v>
      </c>
      <c r="I1402" s="1310" t="s">
        <v>265</v>
      </c>
      <c r="J1402" s="1310" t="s">
        <v>1616</v>
      </c>
      <c r="K1402" s="1310" t="s">
        <v>1645</v>
      </c>
      <c r="L1402" s="1310" t="s">
        <v>1609</v>
      </c>
      <c r="M1402" s="1310" t="s">
        <v>1493</v>
      </c>
      <c r="N1402" s="1310" t="s">
        <v>1549</v>
      </c>
      <c r="O1402" s="1310" t="s">
        <v>1501</v>
      </c>
      <c r="P1402" s="1310" t="s">
        <v>1590</v>
      </c>
      <c r="Q1402" s="1310" t="s">
        <v>1501</v>
      </c>
      <c r="R1402" s="1310" t="s">
        <v>1463</v>
      </c>
      <c r="S1402" s="1310" t="s">
        <v>1517</v>
      </c>
      <c r="T1402" s="1310" t="s">
        <v>1649</v>
      </c>
      <c r="U1402" s="1310" t="s">
        <v>1491</v>
      </c>
      <c r="V1402" s="1310" t="s">
        <v>1614</v>
      </c>
      <c r="W1402" s="1310" t="s">
        <v>1561</v>
      </c>
      <c r="X1402" s="1310" t="s">
        <v>1568</v>
      </c>
      <c r="Y1402" s="1310" t="s">
        <v>1630</v>
      </c>
      <c r="Z1402" s="1310" t="s">
        <v>1645</v>
      </c>
      <c r="AA1402" s="1310" t="s">
        <v>1468</v>
      </c>
      <c r="AB1402" s="1310" t="s">
        <v>1617</v>
      </c>
      <c r="AC1402" s="1310" t="s">
        <v>1611</v>
      </c>
      <c r="AD1402" s="1310" t="s">
        <v>1615</v>
      </c>
      <c r="AE1402" s="1310" t="s">
        <v>1653</v>
      </c>
      <c r="AF1402" s="1310" t="s">
        <v>1576</v>
      </c>
    </row>
    <row r="1403" spans="1:32" x14ac:dyDescent="0.3">
      <c r="A1403" s="1310" t="s">
        <v>1631</v>
      </c>
      <c r="B1403" s="1310" t="s">
        <v>1533</v>
      </c>
      <c r="C1403" s="1310" t="s">
        <v>1558</v>
      </c>
      <c r="D1403" s="1310" t="s">
        <v>1550</v>
      </c>
      <c r="E1403" s="1310" t="s">
        <v>1608</v>
      </c>
      <c r="F1403" s="1310" t="s">
        <v>1629</v>
      </c>
      <c r="G1403" s="1310" t="s">
        <v>1471</v>
      </c>
      <c r="H1403" s="1310" t="s">
        <v>1445</v>
      </c>
      <c r="I1403" s="1310" t="s">
        <v>1652</v>
      </c>
      <c r="J1403" s="1310" t="s">
        <v>111</v>
      </c>
      <c r="K1403" s="1310" t="s">
        <v>1590</v>
      </c>
      <c r="L1403" s="1310" t="s">
        <v>262</v>
      </c>
      <c r="M1403" s="1310" t="s">
        <v>1576</v>
      </c>
      <c r="N1403" s="1310" t="s">
        <v>1506</v>
      </c>
      <c r="O1403" s="1310" t="s">
        <v>1632</v>
      </c>
      <c r="P1403" s="1310" t="s">
        <v>1527</v>
      </c>
      <c r="Q1403" s="1310" t="s">
        <v>1618</v>
      </c>
      <c r="R1403" s="1310" t="s">
        <v>1508</v>
      </c>
      <c r="S1403" s="1310" t="s">
        <v>1647</v>
      </c>
      <c r="T1403" s="1310" t="s">
        <v>1536</v>
      </c>
      <c r="U1403" s="1310" t="s">
        <v>1483</v>
      </c>
      <c r="V1403" s="1310" t="s">
        <v>1606</v>
      </c>
      <c r="W1403" s="1310" t="s">
        <v>1631</v>
      </c>
      <c r="X1403" s="1310" t="s">
        <v>1473</v>
      </c>
      <c r="Y1403" s="1310" t="s">
        <v>1648</v>
      </c>
      <c r="Z1403" s="1310" t="s">
        <v>1494</v>
      </c>
      <c r="AA1403" s="1310" t="s">
        <v>1630</v>
      </c>
      <c r="AB1403" s="1310" t="s">
        <v>1504</v>
      </c>
      <c r="AC1403" s="1310" t="s">
        <v>120</v>
      </c>
      <c r="AD1403" s="1310" t="s">
        <v>1537</v>
      </c>
      <c r="AE1403" s="1310" t="s">
        <v>1486</v>
      </c>
      <c r="AF1403" s="1310" t="s">
        <v>1617</v>
      </c>
    </row>
    <row r="1404" spans="1:32" x14ac:dyDescent="0.3">
      <c r="A1404" s="1310" t="s">
        <v>1607</v>
      </c>
      <c r="B1404" s="1310" t="s">
        <v>1638</v>
      </c>
      <c r="C1404" s="1310" t="s">
        <v>115</v>
      </c>
      <c r="D1404" s="1310" t="s">
        <v>123</v>
      </c>
      <c r="E1404" s="1310" t="s">
        <v>1605</v>
      </c>
      <c r="F1404" s="1310" t="s">
        <v>1502</v>
      </c>
      <c r="G1404" s="1310" t="s">
        <v>1550</v>
      </c>
      <c r="H1404" s="1310" t="s">
        <v>1655</v>
      </c>
      <c r="I1404" s="1310" t="s">
        <v>1567</v>
      </c>
      <c r="J1404" s="1310" t="s">
        <v>1547</v>
      </c>
      <c r="K1404" s="1310" t="s">
        <v>1488</v>
      </c>
      <c r="L1404" s="1310" t="s">
        <v>1464</v>
      </c>
      <c r="M1404" s="1310" t="s">
        <v>120</v>
      </c>
      <c r="N1404" s="1310" t="s">
        <v>125</v>
      </c>
      <c r="O1404" s="1310" t="s">
        <v>1629</v>
      </c>
      <c r="P1404" s="1310" t="s">
        <v>1449</v>
      </c>
      <c r="Q1404" s="1310" t="s">
        <v>1567</v>
      </c>
      <c r="R1404" s="1310" t="s">
        <v>1618</v>
      </c>
      <c r="S1404" s="1310" t="s">
        <v>1649</v>
      </c>
      <c r="T1404" s="1310" t="s">
        <v>269</v>
      </c>
      <c r="U1404" s="1310" t="s">
        <v>1587</v>
      </c>
      <c r="V1404" s="1310" t="s">
        <v>1580</v>
      </c>
      <c r="W1404" s="1310" t="s">
        <v>1637</v>
      </c>
      <c r="X1404" s="1310" t="s">
        <v>1581</v>
      </c>
      <c r="Y1404" s="1310" t="s">
        <v>1477</v>
      </c>
      <c r="Z1404" s="1310" t="s">
        <v>262</v>
      </c>
      <c r="AA1404" s="1310" t="s">
        <v>1608</v>
      </c>
      <c r="AB1404" s="1310" t="s">
        <v>1658</v>
      </c>
      <c r="AC1404" s="1310" t="s">
        <v>125</v>
      </c>
      <c r="AD1404" s="1310" t="s">
        <v>1548</v>
      </c>
      <c r="AE1404" s="1310" t="s">
        <v>1463</v>
      </c>
      <c r="AF1404" s="1310" t="s">
        <v>1464</v>
      </c>
    </row>
    <row r="1405" spans="1:32" x14ac:dyDescent="0.3">
      <c r="A1405" s="1310" t="s">
        <v>1539</v>
      </c>
      <c r="B1405" s="1310" t="s">
        <v>1507</v>
      </c>
      <c r="C1405" s="1310" t="s">
        <v>1610</v>
      </c>
      <c r="D1405" s="1310" t="s">
        <v>1484</v>
      </c>
      <c r="E1405" s="1310" t="s">
        <v>1590</v>
      </c>
      <c r="F1405" s="1310" t="s">
        <v>1582</v>
      </c>
      <c r="G1405" s="1310" t="s">
        <v>1509</v>
      </c>
      <c r="H1405" s="1310" t="s">
        <v>1488</v>
      </c>
      <c r="I1405" s="1310" t="s">
        <v>1482</v>
      </c>
      <c r="J1405" s="1310" t="s">
        <v>128</v>
      </c>
      <c r="K1405" s="1310" t="s">
        <v>1492</v>
      </c>
      <c r="L1405" s="1310" t="s">
        <v>1631</v>
      </c>
      <c r="M1405" s="1310" t="s">
        <v>1483</v>
      </c>
      <c r="N1405" s="1310" t="s">
        <v>1637</v>
      </c>
      <c r="O1405" s="1310" t="s">
        <v>1593</v>
      </c>
      <c r="P1405" s="1310" t="s">
        <v>1475</v>
      </c>
      <c r="Q1405" s="1310" t="s">
        <v>1558</v>
      </c>
      <c r="R1405" s="1310" t="s">
        <v>1578</v>
      </c>
      <c r="S1405" s="1310" t="s">
        <v>1521</v>
      </c>
      <c r="T1405" s="1310" t="s">
        <v>264</v>
      </c>
      <c r="U1405" s="1310" t="s">
        <v>1482</v>
      </c>
      <c r="V1405" s="1310" t="s">
        <v>122</v>
      </c>
      <c r="W1405" s="1310" t="s">
        <v>1473</v>
      </c>
      <c r="X1405" s="1310" t="s">
        <v>1630</v>
      </c>
      <c r="Y1405" s="1310" t="s">
        <v>1567</v>
      </c>
      <c r="Z1405" s="1310" t="s">
        <v>1450</v>
      </c>
      <c r="AA1405" s="1310" t="s">
        <v>1649</v>
      </c>
      <c r="AB1405" s="1310" t="s">
        <v>1515</v>
      </c>
      <c r="AC1405" s="1310" t="s">
        <v>1634</v>
      </c>
      <c r="AD1405" s="1310" t="s">
        <v>1449</v>
      </c>
      <c r="AE1405" s="1310" t="s">
        <v>1490</v>
      </c>
      <c r="AF1405" s="1310" t="s">
        <v>1625</v>
      </c>
    </row>
    <row r="1406" spans="1:32" x14ac:dyDescent="0.3">
      <c r="A1406" s="1310" t="s">
        <v>1546</v>
      </c>
      <c r="B1406" s="1310" t="s">
        <v>268</v>
      </c>
      <c r="C1406" s="1310" t="s">
        <v>1446</v>
      </c>
      <c r="D1406" s="1310" t="s">
        <v>1654</v>
      </c>
      <c r="E1406" s="1310" t="s">
        <v>1656</v>
      </c>
      <c r="F1406" s="1310" t="s">
        <v>1488</v>
      </c>
      <c r="G1406" s="1310" t="s">
        <v>1455</v>
      </c>
      <c r="H1406" s="1310" t="s">
        <v>1635</v>
      </c>
      <c r="I1406" s="1310" t="s">
        <v>1549</v>
      </c>
      <c r="J1406" s="1310" t="s">
        <v>1538</v>
      </c>
      <c r="K1406" s="1310" t="s">
        <v>1449</v>
      </c>
      <c r="L1406" s="1310" t="s">
        <v>1641</v>
      </c>
      <c r="M1406" s="1310" t="s">
        <v>1470</v>
      </c>
      <c r="N1406" s="1310" t="s">
        <v>1625</v>
      </c>
      <c r="O1406" s="1310" t="s">
        <v>1632</v>
      </c>
      <c r="P1406" s="1310" t="s">
        <v>1508</v>
      </c>
      <c r="Q1406" s="1310" t="s">
        <v>1456</v>
      </c>
      <c r="R1406" s="1310" t="s">
        <v>1550</v>
      </c>
      <c r="S1406" s="1310" t="s">
        <v>1608</v>
      </c>
      <c r="T1406" s="1310" t="s">
        <v>1637</v>
      </c>
      <c r="U1406" s="1310" t="s">
        <v>1449</v>
      </c>
      <c r="V1406" s="1310" t="s">
        <v>1569</v>
      </c>
      <c r="W1406" s="1310" t="s">
        <v>264</v>
      </c>
      <c r="X1406" s="1310" t="s">
        <v>1538</v>
      </c>
      <c r="Y1406" s="1310" t="s">
        <v>1594</v>
      </c>
      <c r="Z1406" s="1310" t="s">
        <v>1483</v>
      </c>
      <c r="AA1406" s="1310" t="s">
        <v>1561</v>
      </c>
      <c r="AB1406" s="1310" t="s">
        <v>1517</v>
      </c>
      <c r="AC1406" s="1310" t="s">
        <v>115</v>
      </c>
      <c r="AD1406" s="1310" t="s">
        <v>1622</v>
      </c>
      <c r="AE1406" s="1310" t="s">
        <v>1560</v>
      </c>
      <c r="AF1406" s="1310" t="s">
        <v>1478</v>
      </c>
    </row>
    <row r="1407" spans="1:32" x14ac:dyDescent="0.3">
      <c r="A1407" s="1310" t="s">
        <v>1629</v>
      </c>
      <c r="B1407" s="1310" t="s">
        <v>1599</v>
      </c>
      <c r="C1407" s="1310" t="s">
        <v>1655</v>
      </c>
      <c r="D1407" s="1310" t="s">
        <v>1633</v>
      </c>
      <c r="E1407" s="1310" t="s">
        <v>1640</v>
      </c>
      <c r="F1407" s="1310" t="s">
        <v>1630</v>
      </c>
      <c r="G1407" s="1310" t="s">
        <v>1501</v>
      </c>
      <c r="H1407" s="1310" t="s">
        <v>1579</v>
      </c>
      <c r="I1407" s="1310" t="s">
        <v>1607</v>
      </c>
      <c r="J1407" s="1310" t="s">
        <v>1472</v>
      </c>
      <c r="K1407" s="1310" t="s">
        <v>1621</v>
      </c>
      <c r="L1407" s="1310" t="s">
        <v>1636</v>
      </c>
      <c r="M1407" s="1310" t="s">
        <v>1592</v>
      </c>
      <c r="N1407" s="1310" t="s">
        <v>268</v>
      </c>
      <c r="O1407" s="1310" t="s">
        <v>1563</v>
      </c>
      <c r="P1407" s="1310" t="s">
        <v>1590</v>
      </c>
      <c r="Q1407" s="1310" t="s">
        <v>1596</v>
      </c>
      <c r="R1407" s="1310" t="s">
        <v>1030</v>
      </c>
      <c r="S1407" s="1310" t="s">
        <v>1448</v>
      </c>
      <c r="T1407" s="1310" t="s">
        <v>116</v>
      </c>
      <c r="U1407" s="1310" t="s">
        <v>1600</v>
      </c>
      <c r="V1407" s="1310" t="s">
        <v>122</v>
      </c>
      <c r="W1407" s="1310" t="s">
        <v>1574</v>
      </c>
      <c r="X1407" s="1310" t="s">
        <v>1527</v>
      </c>
      <c r="Y1407" s="1310" t="s">
        <v>1582</v>
      </c>
      <c r="Z1407" s="1310" t="s">
        <v>1489</v>
      </c>
      <c r="AA1407" s="1310" t="s">
        <v>1443</v>
      </c>
      <c r="AB1407" s="1310" t="s">
        <v>1450</v>
      </c>
      <c r="AC1407" s="1310" t="s">
        <v>1478</v>
      </c>
      <c r="AD1407" s="1310" t="s">
        <v>1570</v>
      </c>
      <c r="AE1407" s="1310" t="s">
        <v>1573</v>
      </c>
      <c r="AF1407" s="1310" t="s">
        <v>1464</v>
      </c>
    </row>
    <row r="1408" spans="1:32" x14ac:dyDescent="0.3">
      <c r="A1408" s="1310" t="s">
        <v>1537</v>
      </c>
      <c r="B1408" s="1310" t="s">
        <v>1642</v>
      </c>
      <c r="C1408" s="1310" t="s">
        <v>1527</v>
      </c>
      <c r="D1408" s="1310" t="s">
        <v>1537</v>
      </c>
      <c r="E1408" s="1310" t="s">
        <v>124</v>
      </c>
      <c r="F1408" s="1310" t="s">
        <v>1561</v>
      </c>
      <c r="G1408" s="1310" t="s">
        <v>1478</v>
      </c>
      <c r="H1408" s="1310" t="s">
        <v>1582</v>
      </c>
      <c r="I1408" s="1310" t="s">
        <v>1621</v>
      </c>
      <c r="J1408" s="1310" t="s">
        <v>1452</v>
      </c>
      <c r="K1408" s="1310" t="s">
        <v>1621</v>
      </c>
      <c r="L1408" s="1310" t="s">
        <v>1541</v>
      </c>
      <c r="M1408" s="1310" t="s">
        <v>1444</v>
      </c>
      <c r="N1408" s="1310" t="s">
        <v>465</v>
      </c>
      <c r="O1408" s="1310" t="s">
        <v>114</v>
      </c>
      <c r="P1408" s="1310" t="s">
        <v>1488</v>
      </c>
      <c r="Q1408" s="1310" t="s">
        <v>1455</v>
      </c>
      <c r="R1408" s="1310" t="s">
        <v>1635</v>
      </c>
      <c r="S1408" s="1310" t="s">
        <v>1549</v>
      </c>
      <c r="T1408" s="1310" t="s">
        <v>1644</v>
      </c>
      <c r="U1408" s="1310" t="s">
        <v>1632</v>
      </c>
      <c r="V1408" s="1310" t="s">
        <v>1600</v>
      </c>
      <c r="W1408" s="1310" t="s">
        <v>1509</v>
      </c>
      <c r="X1408" s="1310" t="s">
        <v>1554</v>
      </c>
      <c r="Y1408" s="1310" t="s">
        <v>1452</v>
      </c>
      <c r="Z1408" s="1310" t="s">
        <v>1621</v>
      </c>
      <c r="AA1408" s="1310" t="s">
        <v>1541</v>
      </c>
      <c r="AB1408" s="1310" t="s">
        <v>1659</v>
      </c>
      <c r="AC1408" s="1310" t="s">
        <v>1030</v>
      </c>
      <c r="AD1408" s="1310" t="s">
        <v>1499</v>
      </c>
      <c r="AE1408" s="1310" t="s">
        <v>1500</v>
      </c>
      <c r="AF1408" s="1310" t="s">
        <v>1616</v>
      </c>
    </row>
    <row r="1409" spans="1:32" x14ac:dyDescent="0.3">
      <c r="A1409" s="1310" t="s">
        <v>1448</v>
      </c>
      <c r="B1409" s="1310" t="s">
        <v>1500</v>
      </c>
      <c r="C1409" s="1310" t="s">
        <v>1602</v>
      </c>
      <c r="D1409" s="1310" t="s">
        <v>1498</v>
      </c>
      <c r="E1409" s="1310" t="s">
        <v>1641</v>
      </c>
      <c r="F1409" s="1310" t="s">
        <v>1653</v>
      </c>
      <c r="G1409" s="1310" t="s">
        <v>1463</v>
      </c>
      <c r="H1409" s="1310" t="s">
        <v>1595</v>
      </c>
      <c r="I1409" s="1310" t="s">
        <v>1502</v>
      </c>
      <c r="J1409" s="1310" t="s">
        <v>1482</v>
      </c>
      <c r="K1409" s="1310" t="s">
        <v>1619</v>
      </c>
      <c r="L1409" s="1310" t="s">
        <v>1630</v>
      </c>
      <c r="M1409" s="1310" t="s">
        <v>1551</v>
      </c>
      <c r="N1409" s="1310" t="s">
        <v>1583</v>
      </c>
      <c r="O1409" s="1310" t="s">
        <v>117</v>
      </c>
      <c r="P1409" s="1310" t="s">
        <v>1602</v>
      </c>
      <c r="Q1409" s="1310" t="s">
        <v>1543</v>
      </c>
      <c r="R1409" s="1310" t="s">
        <v>1460</v>
      </c>
      <c r="S1409" s="1310" t="s">
        <v>1454</v>
      </c>
      <c r="T1409" s="1310" t="s">
        <v>1569</v>
      </c>
      <c r="U1409" s="1310" t="s">
        <v>1486</v>
      </c>
      <c r="V1409" s="1310" t="s">
        <v>1510</v>
      </c>
      <c r="W1409" s="1310" t="s">
        <v>1483</v>
      </c>
      <c r="X1409" s="1310" t="s">
        <v>131</v>
      </c>
      <c r="Y1409" s="1310" t="s">
        <v>1583</v>
      </c>
      <c r="Z1409" s="1310" t="s">
        <v>1617</v>
      </c>
      <c r="AA1409" s="1310" t="s">
        <v>1633</v>
      </c>
      <c r="AB1409" s="1310" t="s">
        <v>112</v>
      </c>
      <c r="AC1409" s="1310" t="s">
        <v>1660</v>
      </c>
      <c r="AD1409" s="1310" t="s">
        <v>1571</v>
      </c>
      <c r="AE1409" s="1310" t="s">
        <v>1501</v>
      </c>
      <c r="AF1409" s="1310" t="s">
        <v>1550</v>
      </c>
    </row>
    <row r="1410" spans="1:32" x14ac:dyDescent="0.3">
      <c r="A1410" s="1310" t="s">
        <v>1444</v>
      </c>
      <c r="B1410" s="1310" t="s">
        <v>1532</v>
      </c>
      <c r="C1410" s="1310" t="s">
        <v>1610</v>
      </c>
      <c r="D1410" s="1310" t="s">
        <v>1562</v>
      </c>
      <c r="E1410" s="1310" t="s">
        <v>1464</v>
      </c>
      <c r="F1410" s="1310" t="s">
        <v>1562</v>
      </c>
      <c r="G1410" s="1310" t="s">
        <v>1488</v>
      </c>
      <c r="H1410" s="1310" t="s">
        <v>1574</v>
      </c>
      <c r="I1410" s="1310" t="s">
        <v>1630</v>
      </c>
      <c r="J1410" s="1310" t="s">
        <v>1498</v>
      </c>
      <c r="K1410" s="1310" t="s">
        <v>1516</v>
      </c>
      <c r="L1410" s="1310" t="s">
        <v>1648</v>
      </c>
      <c r="M1410" s="1310" t="s">
        <v>1584</v>
      </c>
      <c r="N1410" s="1310" t="s">
        <v>1492</v>
      </c>
      <c r="O1410" s="1310" t="s">
        <v>116</v>
      </c>
      <c r="P1410" s="1310" t="s">
        <v>1517</v>
      </c>
      <c r="Q1410" s="1310" t="s">
        <v>269</v>
      </c>
      <c r="R1410" s="1310" t="s">
        <v>1640</v>
      </c>
      <c r="S1410" s="1310" t="s">
        <v>1573</v>
      </c>
      <c r="T1410" s="1310" t="s">
        <v>1595</v>
      </c>
      <c r="U1410" s="1310" t="s">
        <v>1556</v>
      </c>
      <c r="V1410" s="1310" t="s">
        <v>1505</v>
      </c>
      <c r="W1410" s="1310" t="s">
        <v>1541</v>
      </c>
      <c r="X1410" s="1310" t="s">
        <v>1589</v>
      </c>
      <c r="Y1410" s="1310" t="s">
        <v>1537</v>
      </c>
      <c r="Z1410" s="1310" t="s">
        <v>1632</v>
      </c>
      <c r="AA1410" s="1310" t="s">
        <v>1561</v>
      </c>
      <c r="AB1410" s="1310" t="s">
        <v>120</v>
      </c>
      <c r="AC1410" s="1310" t="s">
        <v>1633</v>
      </c>
      <c r="AD1410" s="1310" t="s">
        <v>1632</v>
      </c>
      <c r="AE1410" s="1310" t="s">
        <v>1572</v>
      </c>
      <c r="AF1410" s="1310" t="s">
        <v>128</v>
      </c>
    </row>
    <row r="1411" spans="1:32" x14ac:dyDescent="0.3">
      <c r="A1411" s="1310" t="s">
        <v>1588</v>
      </c>
      <c r="B1411" s="1310" t="s">
        <v>1601</v>
      </c>
      <c r="C1411" s="1310" t="s">
        <v>465</v>
      </c>
      <c r="D1411" s="1310" t="s">
        <v>1489</v>
      </c>
      <c r="E1411" s="1310" t="s">
        <v>1549</v>
      </c>
      <c r="F1411" s="1310" t="s">
        <v>1586</v>
      </c>
      <c r="G1411" s="1310" t="s">
        <v>1605</v>
      </c>
      <c r="H1411" s="1310" t="s">
        <v>1638</v>
      </c>
      <c r="I1411" s="1310" t="s">
        <v>133</v>
      </c>
      <c r="J1411" s="1310" t="s">
        <v>1463</v>
      </c>
      <c r="K1411" s="1310" t="s">
        <v>1596</v>
      </c>
      <c r="L1411" s="1310" t="s">
        <v>1521</v>
      </c>
      <c r="M1411" s="1310" t="s">
        <v>1564</v>
      </c>
      <c r="N1411" s="1310" t="s">
        <v>1470</v>
      </c>
      <c r="O1411" s="1310" t="s">
        <v>1594</v>
      </c>
      <c r="P1411" s="1310" t="s">
        <v>1626</v>
      </c>
      <c r="Q1411" s="1310" t="s">
        <v>1581</v>
      </c>
      <c r="R1411" s="1310" t="s">
        <v>1602</v>
      </c>
      <c r="S1411" s="1310" t="s">
        <v>1471</v>
      </c>
      <c r="T1411" s="1310" t="s">
        <v>1505</v>
      </c>
      <c r="U1411" s="1310" t="s">
        <v>1570</v>
      </c>
      <c r="V1411" s="1310" t="s">
        <v>1475</v>
      </c>
      <c r="W1411" s="1310" t="s">
        <v>113</v>
      </c>
      <c r="X1411" s="1310" t="s">
        <v>122</v>
      </c>
      <c r="Y1411" s="1310" t="s">
        <v>1589</v>
      </c>
      <c r="Z1411" s="1310" t="s">
        <v>1537</v>
      </c>
      <c r="AA1411" s="1310" t="s">
        <v>1537</v>
      </c>
      <c r="AB1411" s="1310" t="s">
        <v>1648</v>
      </c>
      <c r="AC1411" s="1310" t="s">
        <v>1552</v>
      </c>
      <c r="AD1411" s="1310" t="s">
        <v>1611</v>
      </c>
      <c r="AE1411" s="1310" t="s">
        <v>1588</v>
      </c>
      <c r="AF1411" s="1310" t="s">
        <v>1550</v>
      </c>
    </row>
    <row r="1412" spans="1:32" x14ac:dyDescent="0.3">
      <c r="A1412" s="1310" t="s">
        <v>471</v>
      </c>
      <c r="B1412" s="1310" t="s">
        <v>1625</v>
      </c>
      <c r="C1412" s="1310" t="s">
        <v>1626</v>
      </c>
      <c r="D1412" s="1310" t="s">
        <v>117</v>
      </c>
      <c r="E1412" s="1310" t="s">
        <v>1572</v>
      </c>
      <c r="F1412" s="1310" t="s">
        <v>1564</v>
      </c>
      <c r="G1412" s="1310" t="s">
        <v>1453</v>
      </c>
      <c r="H1412" s="1310" t="s">
        <v>1460</v>
      </c>
      <c r="I1412" s="1310" t="s">
        <v>1520</v>
      </c>
      <c r="J1412" s="1310" t="s">
        <v>1485</v>
      </c>
      <c r="K1412" s="1310" t="s">
        <v>1581</v>
      </c>
      <c r="L1412" s="1310" t="s">
        <v>1522</v>
      </c>
      <c r="M1412" s="1310" t="s">
        <v>1554</v>
      </c>
      <c r="N1412" s="1310" t="s">
        <v>1618</v>
      </c>
      <c r="O1412" s="1310" t="s">
        <v>1561</v>
      </c>
      <c r="P1412" s="1310" t="s">
        <v>1443</v>
      </c>
      <c r="Q1412" s="1310" t="s">
        <v>1450</v>
      </c>
      <c r="R1412" s="1310" t="s">
        <v>1533</v>
      </c>
      <c r="S1412" s="1310" t="s">
        <v>1454</v>
      </c>
      <c r="T1412" s="1310" t="s">
        <v>1481</v>
      </c>
      <c r="U1412" s="1310" t="s">
        <v>1570</v>
      </c>
      <c r="V1412" s="1310" t="s">
        <v>1526</v>
      </c>
      <c r="W1412" s="1310" t="s">
        <v>1450</v>
      </c>
      <c r="X1412" s="1310" t="s">
        <v>1606</v>
      </c>
      <c r="Y1412" s="1310" t="s">
        <v>1604</v>
      </c>
      <c r="Z1412" s="1310" t="s">
        <v>1626</v>
      </c>
      <c r="AA1412" s="1310" t="s">
        <v>1646</v>
      </c>
      <c r="AB1412" s="1310" t="s">
        <v>1511</v>
      </c>
      <c r="AC1412" s="1310" t="s">
        <v>119</v>
      </c>
      <c r="AD1412" s="1310" t="s">
        <v>1629</v>
      </c>
      <c r="AE1412" s="1310" t="s">
        <v>1500</v>
      </c>
      <c r="AF1412" s="1310" t="s">
        <v>1537</v>
      </c>
    </row>
    <row r="1413" spans="1:32" x14ac:dyDescent="0.3">
      <c r="A1413" s="1310" t="s">
        <v>1543</v>
      </c>
      <c r="B1413" s="1310" t="s">
        <v>1502</v>
      </c>
      <c r="C1413" s="1310" t="s">
        <v>1530</v>
      </c>
      <c r="D1413" s="1310" t="s">
        <v>1565</v>
      </c>
      <c r="E1413" s="1310" t="s">
        <v>1530</v>
      </c>
      <c r="F1413" s="1310" t="s">
        <v>1591</v>
      </c>
      <c r="G1413" s="1310" t="s">
        <v>1640</v>
      </c>
      <c r="H1413" s="1310" t="s">
        <v>1523</v>
      </c>
      <c r="I1413" s="1310" t="s">
        <v>1511</v>
      </c>
      <c r="J1413" s="1310" t="s">
        <v>1445</v>
      </c>
      <c r="K1413" s="1310" t="s">
        <v>1534</v>
      </c>
      <c r="L1413" s="1310" t="s">
        <v>1540</v>
      </c>
      <c r="M1413" s="1310" t="s">
        <v>1653</v>
      </c>
      <c r="N1413" s="1310" t="s">
        <v>1646</v>
      </c>
      <c r="O1413" s="1310" t="s">
        <v>1525</v>
      </c>
      <c r="P1413" s="1310" t="s">
        <v>1624</v>
      </c>
      <c r="Q1413" s="1310" t="s">
        <v>124</v>
      </c>
      <c r="R1413" s="1310" t="s">
        <v>1597</v>
      </c>
      <c r="S1413" s="1310" t="s">
        <v>1453</v>
      </c>
      <c r="T1413" s="1310" t="s">
        <v>1579</v>
      </c>
      <c r="U1413" s="1310" t="s">
        <v>131</v>
      </c>
      <c r="V1413" s="1310" t="s">
        <v>128</v>
      </c>
      <c r="W1413" s="1310" t="s">
        <v>1524</v>
      </c>
      <c r="X1413" s="1310" t="s">
        <v>1653</v>
      </c>
      <c r="Y1413" s="1310" t="s">
        <v>1535</v>
      </c>
      <c r="Z1413" s="1310" t="s">
        <v>1472</v>
      </c>
      <c r="AA1413" s="1310" t="s">
        <v>1560</v>
      </c>
      <c r="AB1413" s="1310" t="s">
        <v>1601</v>
      </c>
      <c r="AC1413" s="1310" t="s">
        <v>1498</v>
      </c>
      <c r="AD1413" s="1310" t="s">
        <v>1488</v>
      </c>
      <c r="AE1413" s="1310" t="s">
        <v>1457</v>
      </c>
      <c r="AF1413" s="1310" t="s">
        <v>1656</v>
      </c>
    </row>
    <row r="1414" spans="1:32" x14ac:dyDescent="0.3">
      <c r="A1414" s="1310" t="s">
        <v>1521</v>
      </c>
      <c r="B1414" s="1310" t="s">
        <v>1643</v>
      </c>
      <c r="C1414" s="1310" t="s">
        <v>1527</v>
      </c>
      <c r="D1414" s="1310" t="s">
        <v>1535</v>
      </c>
      <c r="E1414" s="1310" t="s">
        <v>1589</v>
      </c>
      <c r="F1414" s="1310" t="s">
        <v>1465</v>
      </c>
      <c r="G1414" s="1310" t="s">
        <v>1576</v>
      </c>
      <c r="H1414" s="1310" t="s">
        <v>1445</v>
      </c>
      <c r="I1414" s="1310" t="s">
        <v>1566</v>
      </c>
      <c r="J1414" s="1310" t="s">
        <v>1462</v>
      </c>
      <c r="K1414" s="1310" t="s">
        <v>1506</v>
      </c>
      <c r="L1414" s="1310" t="s">
        <v>1615</v>
      </c>
      <c r="M1414" s="1310" t="s">
        <v>1560</v>
      </c>
      <c r="N1414" s="1310" t="s">
        <v>1452</v>
      </c>
      <c r="O1414" s="1310" t="s">
        <v>1523</v>
      </c>
      <c r="P1414" s="1310" t="s">
        <v>1545</v>
      </c>
      <c r="Q1414" s="1310" t="s">
        <v>1581</v>
      </c>
      <c r="R1414" s="1310" t="s">
        <v>1518</v>
      </c>
      <c r="S1414" s="1310" t="s">
        <v>1537</v>
      </c>
      <c r="T1414" s="1310" t="s">
        <v>1448</v>
      </c>
      <c r="U1414" s="1310" t="s">
        <v>1556</v>
      </c>
      <c r="V1414" s="1310" t="s">
        <v>1629</v>
      </c>
      <c r="W1414" s="1310" t="s">
        <v>1632</v>
      </c>
      <c r="X1414" s="1310" t="s">
        <v>1499</v>
      </c>
      <c r="Y1414" s="1310" t="s">
        <v>1529</v>
      </c>
      <c r="Z1414" s="1310" t="s">
        <v>1504</v>
      </c>
      <c r="AA1414" s="1310" t="s">
        <v>1647</v>
      </c>
      <c r="AB1414" s="1310" t="s">
        <v>1574</v>
      </c>
      <c r="AC1414" s="1310" t="s">
        <v>1461</v>
      </c>
      <c r="AD1414" s="1310" t="s">
        <v>1456</v>
      </c>
      <c r="AE1414" s="1310" t="s">
        <v>1607</v>
      </c>
      <c r="AF1414" s="1310" t="s">
        <v>1526</v>
      </c>
    </row>
    <row r="1415" spans="1:32" x14ac:dyDescent="0.3">
      <c r="A1415" s="1310" t="s">
        <v>1478</v>
      </c>
      <c r="B1415" s="1310" t="s">
        <v>1619</v>
      </c>
      <c r="C1415" s="1310" t="s">
        <v>1483</v>
      </c>
      <c r="D1415" s="1310" t="s">
        <v>123</v>
      </c>
      <c r="E1415" s="1310" t="s">
        <v>1601</v>
      </c>
      <c r="F1415" s="1310" t="s">
        <v>1646</v>
      </c>
      <c r="G1415" s="1310" t="s">
        <v>1635</v>
      </c>
      <c r="H1415" s="1310" t="s">
        <v>1617</v>
      </c>
      <c r="I1415" s="1310" t="s">
        <v>1528</v>
      </c>
      <c r="J1415" s="1310" t="s">
        <v>124</v>
      </c>
      <c r="K1415" s="1310" t="s">
        <v>265</v>
      </c>
      <c r="L1415" s="1310" t="s">
        <v>1647</v>
      </c>
      <c r="M1415" s="1310" t="s">
        <v>1499</v>
      </c>
      <c r="N1415" s="1310" t="s">
        <v>1607</v>
      </c>
      <c r="O1415" s="1310" t="s">
        <v>120</v>
      </c>
      <c r="P1415" s="1310" t="s">
        <v>1625</v>
      </c>
      <c r="Q1415" s="1310" t="s">
        <v>1651</v>
      </c>
      <c r="R1415" s="1310" t="s">
        <v>1498</v>
      </c>
      <c r="S1415" s="1310" t="s">
        <v>1660</v>
      </c>
      <c r="T1415" s="1310" t="s">
        <v>112</v>
      </c>
      <c r="U1415" s="1310" t="s">
        <v>1578</v>
      </c>
      <c r="V1415" s="1310" t="s">
        <v>1605</v>
      </c>
      <c r="W1415" s="1310" t="s">
        <v>1652</v>
      </c>
      <c r="X1415" s="1310" t="s">
        <v>1554</v>
      </c>
      <c r="Y1415" s="1310" t="s">
        <v>1509</v>
      </c>
      <c r="Z1415" s="1310" t="s">
        <v>110</v>
      </c>
      <c r="AA1415" s="1310" t="s">
        <v>1612</v>
      </c>
      <c r="AB1415" s="1310" t="s">
        <v>471</v>
      </c>
      <c r="AC1415" s="1310" t="s">
        <v>1637</v>
      </c>
      <c r="AD1415" s="1310" t="s">
        <v>1541</v>
      </c>
      <c r="AE1415" s="1310" t="s">
        <v>1554</v>
      </c>
      <c r="AF1415" s="1310" t="s">
        <v>1637</v>
      </c>
    </row>
    <row r="1416" spans="1:32" x14ac:dyDescent="0.3">
      <c r="A1416" s="1310" t="s">
        <v>268</v>
      </c>
      <c r="B1416" s="1310" t="s">
        <v>1601</v>
      </c>
      <c r="C1416" s="1310" t="s">
        <v>1641</v>
      </c>
      <c r="D1416" s="1310" t="s">
        <v>1573</v>
      </c>
      <c r="E1416" s="1310" t="s">
        <v>1631</v>
      </c>
      <c r="F1416" s="1310" t="s">
        <v>126</v>
      </c>
      <c r="G1416" s="1310" t="s">
        <v>1485</v>
      </c>
      <c r="H1416" s="1310" t="s">
        <v>1512</v>
      </c>
      <c r="I1416" s="1310" t="s">
        <v>1633</v>
      </c>
      <c r="J1416" s="1310" t="s">
        <v>1594</v>
      </c>
      <c r="K1416" s="1310" t="s">
        <v>1580</v>
      </c>
      <c r="L1416" s="1310" t="s">
        <v>1493</v>
      </c>
      <c r="M1416" s="1310" t="s">
        <v>1580</v>
      </c>
      <c r="N1416" s="1310" t="s">
        <v>1515</v>
      </c>
      <c r="O1416" s="1310" t="s">
        <v>1605</v>
      </c>
      <c r="P1416" s="1310" t="s">
        <v>120</v>
      </c>
      <c r="Q1416" s="1310" t="s">
        <v>128</v>
      </c>
      <c r="R1416" s="1310" t="s">
        <v>1458</v>
      </c>
      <c r="S1416" s="1310" t="s">
        <v>1030</v>
      </c>
      <c r="T1416" s="1310" t="s">
        <v>1586</v>
      </c>
      <c r="U1416" s="1310" t="s">
        <v>123</v>
      </c>
      <c r="V1416" s="1310" t="s">
        <v>1585</v>
      </c>
      <c r="W1416" s="1310" t="s">
        <v>1638</v>
      </c>
      <c r="X1416" s="1310" t="s">
        <v>6</v>
      </c>
      <c r="Y1416" s="1310" t="s">
        <v>1541</v>
      </c>
      <c r="Z1416" s="1310" t="s">
        <v>1486</v>
      </c>
      <c r="AA1416" s="1310" t="s">
        <v>1550</v>
      </c>
      <c r="AB1416" s="1310" t="s">
        <v>1604</v>
      </c>
      <c r="AC1416" s="1310" t="s">
        <v>1536</v>
      </c>
      <c r="AD1416" s="1310" t="s">
        <v>1535</v>
      </c>
      <c r="AE1416" s="1310" t="s">
        <v>126</v>
      </c>
      <c r="AF1416" s="1310" t="s">
        <v>121</v>
      </c>
    </row>
    <row r="1417" spans="1:32" x14ac:dyDescent="0.3">
      <c r="A1417" s="1310" t="s">
        <v>1610</v>
      </c>
      <c r="B1417" s="1310" t="s">
        <v>1583</v>
      </c>
      <c r="C1417" s="1310" t="s">
        <v>1560</v>
      </c>
      <c r="D1417" s="1310" t="s">
        <v>1541</v>
      </c>
      <c r="E1417" s="1310" t="s">
        <v>1446</v>
      </c>
      <c r="F1417" s="1310" t="s">
        <v>1574</v>
      </c>
      <c r="G1417" s="1310" t="s">
        <v>123</v>
      </c>
      <c r="H1417" s="1310" t="s">
        <v>1474</v>
      </c>
      <c r="I1417" s="1310" t="s">
        <v>1541</v>
      </c>
      <c r="J1417" s="1310" t="s">
        <v>1647</v>
      </c>
      <c r="K1417" s="1310" t="s">
        <v>263</v>
      </c>
      <c r="L1417" s="1310" t="s">
        <v>120</v>
      </c>
      <c r="M1417" s="1310" t="s">
        <v>126</v>
      </c>
      <c r="N1417" s="1310" t="s">
        <v>1507</v>
      </c>
      <c r="O1417" s="1310" t="s">
        <v>1540</v>
      </c>
      <c r="P1417" s="1310" t="s">
        <v>1446</v>
      </c>
      <c r="Q1417" s="1310" t="s">
        <v>1596</v>
      </c>
      <c r="R1417" s="1310" t="s">
        <v>1522</v>
      </c>
      <c r="S1417" s="1310" t="s">
        <v>1567</v>
      </c>
      <c r="T1417" s="1310" t="s">
        <v>115</v>
      </c>
      <c r="U1417" s="1310" t="s">
        <v>123</v>
      </c>
      <c r="V1417" s="1310" t="s">
        <v>1638</v>
      </c>
      <c r="W1417" s="1310" t="s">
        <v>1543</v>
      </c>
      <c r="X1417" s="1310" t="s">
        <v>1472</v>
      </c>
      <c r="Y1417" s="1310" t="s">
        <v>471</v>
      </c>
      <c r="Z1417" s="1310" t="s">
        <v>1549</v>
      </c>
      <c r="AA1417" s="1310" t="s">
        <v>128</v>
      </c>
      <c r="AB1417" s="1310" t="s">
        <v>1444</v>
      </c>
      <c r="AC1417" s="1310" t="s">
        <v>1576</v>
      </c>
      <c r="AD1417" s="1310" t="s">
        <v>1568</v>
      </c>
      <c r="AE1417" s="1310" t="s">
        <v>1557</v>
      </c>
      <c r="AF1417" s="1310" t="s">
        <v>1647</v>
      </c>
    </row>
    <row r="1418" spans="1:32" x14ac:dyDescent="0.3">
      <c r="A1418" s="1310" t="s">
        <v>1519</v>
      </c>
      <c r="B1418" s="1310" t="s">
        <v>1636</v>
      </c>
      <c r="C1418" s="1310" t="s">
        <v>1563</v>
      </c>
      <c r="D1418" s="1310" t="s">
        <v>1622</v>
      </c>
      <c r="E1418" s="1310" t="s">
        <v>120</v>
      </c>
      <c r="F1418" s="1310" t="s">
        <v>132</v>
      </c>
      <c r="G1418" s="1310" t="s">
        <v>1610</v>
      </c>
      <c r="H1418" s="1310" t="s">
        <v>1552</v>
      </c>
      <c r="I1418" s="1310" t="s">
        <v>1592</v>
      </c>
      <c r="J1418" s="1310" t="s">
        <v>1578</v>
      </c>
      <c r="K1418" s="1310" t="s">
        <v>1584</v>
      </c>
      <c r="L1418" s="1310" t="s">
        <v>1532</v>
      </c>
      <c r="M1418" s="1310" t="s">
        <v>1551</v>
      </c>
      <c r="N1418" s="1310" t="s">
        <v>1505</v>
      </c>
      <c r="O1418" s="1310" t="s">
        <v>1599</v>
      </c>
      <c r="P1418" s="1310" t="s">
        <v>1527</v>
      </c>
      <c r="Q1418" s="1310" t="s">
        <v>1654</v>
      </c>
      <c r="R1418" s="1310" t="s">
        <v>1563</v>
      </c>
      <c r="S1418" s="1310" t="s">
        <v>1576</v>
      </c>
      <c r="T1418" s="1310" t="s">
        <v>1604</v>
      </c>
      <c r="U1418" s="1310" t="s">
        <v>267</v>
      </c>
      <c r="V1418" s="1310" t="s">
        <v>121</v>
      </c>
      <c r="W1418" s="1310" t="s">
        <v>1642</v>
      </c>
      <c r="X1418" s="1310" t="s">
        <v>1463</v>
      </c>
      <c r="Y1418" s="1310" t="s">
        <v>1494</v>
      </c>
      <c r="Z1418" s="1310" t="s">
        <v>1526</v>
      </c>
      <c r="AA1418" s="1310" t="s">
        <v>1652</v>
      </c>
      <c r="AB1418" s="1310" t="s">
        <v>1458</v>
      </c>
      <c r="AC1418" s="1310" t="s">
        <v>1449</v>
      </c>
      <c r="AD1418" s="1310" t="s">
        <v>1544</v>
      </c>
      <c r="AE1418" s="1310" t="s">
        <v>1490</v>
      </c>
      <c r="AF1418" s="1310" t="s">
        <v>1551</v>
      </c>
    </row>
    <row r="1419" spans="1:32" x14ac:dyDescent="0.3">
      <c r="A1419" s="1310" t="s">
        <v>118</v>
      </c>
      <c r="B1419" s="1310" t="s">
        <v>1498</v>
      </c>
      <c r="C1419" s="1310" t="s">
        <v>263</v>
      </c>
      <c r="D1419" s="1310" t="s">
        <v>1591</v>
      </c>
      <c r="E1419" s="1310" t="s">
        <v>1638</v>
      </c>
      <c r="F1419" s="1310" t="s">
        <v>1660</v>
      </c>
      <c r="G1419" s="1310" t="s">
        <v>1524</v>
      </c>
      <c r="H1419" s="1310" t="s">
        <v>1536</v>
      </c>
      <c r="I1419" s="1310" t="s">
        <v>1455</v>
      </c>
      <c r="J1419" s="1310" t="s">
        <v>1611</v>
      </c>
      <c r="K1419" s="1310" t="s">
        <v>471</v>
      </c>
      <c r="L1419" s="1310" t="s">
        <v>1562</v>
      </c>
      <c r="M1419" s="1310" t="s">
        <v>1468</v>
      </c>
      <c r="N1419" s="1310" t="s">
        <v>117</v>
      </c>
      <c r="O1419" s="1310" t="s">
        <v>1468</v>
      </c>
      <c r="P1419" s="1310" t="s">
        <v>1606</v>
      </c>
      <c r="Q1419" s="1310" t="s">
        <v>131</v>
      </c>
      <c r="R1419" s="1310" t="s">
        <v>1485</v>
      </c>
      <c r="S1419" s="1310" t="s">
        <v>1551</v>
      </c>
      <c r="T1419" s="1310" t="s">
        <v>1451</v>
      </c>
      <c r="U1419" s="1310" t="s">
        <v>1523</v>
      </c>
      <c r="V1419" s="1310" t="s">
        <v>1590</v>
      </c>
      <c r="W1419" s="1310" t="s">
        <v>1637</v>
      </c>
      <c r="X1419" s="1310" t="s">
        <v>1554</v>
      </c>
      <c r="Y1419" s="1310" t="s">
        <v>1619</v>
      </c>
      <c r="Z1419" s="1310" t="s">
        <v>1557</v>
      </c>
      <c r="AA1419" s="1310" t="s">
        <v>465</v>
      </c>
      <c r="AB1419" s="1310" t="s">
        <v>1452</v>
      </c>
      <c r="AC1419" s="1310" t="s">
        <v>1493</v>
      </c>
      <c r="AD1419" s="1310" t="s">
        <v>1489</v>
      </c>
      <c r="AE1419" s="1310" t="s">
        <v>1610</v>
      </c>
      <c r="AF1419" s="1310" t="s">
        <v>1516</v>
      </c>
    </row>
    <row r="1420" spans="1:32" x14ac:dyDescent="0.3">
      <c r="A1420" s="1310" t="s">
        <v>1030</v>
      </c>
      <c r="B1420" s="1310" t="s">
        <v>1597</v>
      </c>
      <c r="C1420" s="1310" t="s">
        <v>1474</v>
      </c>
      <c r="D1420" s="1310" t="s">
        <v>1557</v>
      </c>
      <c r="E1420" s="1310" t="s">
        <v>1543</v>
      </c>
      <c r="F1420" s="1310" t="s">
        <v>1582</v>
      </c>
      <c r="G1420" s="1310" t="s">
        <v>1549</v>
      </c>
      <c r="H1420" s="1310" t="s">
        <v>1508</v>
      </c>
      <c r="I1420" s="1310" t="s">
        <v>1545</v>
      </c>
      <c r="J1420" s="1310" t="s">
        <v>1477</v>
      </c>
      <c r="K1420" s="1310" t="s">
        <v>1609</v>
      </c>
      <c r="L1420" s="1310" t="s">
        <v>1541</v>
      </c>
      <c r="M1420" s="1310" t="s">
        <v>1501</v>
      </c>
      <c r="N1420" s="1310" t="s">
        <v>1516</v>
      </c>
      <c r="O1420" s="1310" t="s">
        <v>1559</v>
      </c>
      <c r="P1420" s="1310" t="s">
        <v>1616</v>
      </c>
      <c r="Q1420" s="1310" t="s">
        <v>1602</v>
      </c>
      <c r="R1420" s="1310" t="s">
        <v>263</v>
      </c>
      <c r="S1420" s="1310" t="s">
        <v>116</v>
      </c>
      <c r="T1420" s="1310" t="s">
        <v>1460</v>
      </c>
      <c r="U1420" s="1310" t="s">
        <v>1580</v>
      </c>
      <c r="V1420" s="1310" t="s">
        <v>1590</v>
      </c>
      <c r="W1420" s="1310" t="s">
        <v>1533</v>
      </c>
      <c r="X1420" s="1310" t="s">
        <v>265</v>
      </c>
      <c r="Y1420" s="1310" t="s">
        <v>116</v>
      </c>
      <c r="Z1420" s="1310" t="s">
        <v>1657</v>
      </c>
      <c r="AA1420" s="1310" t="s">
        <v>1537</v>
      </c>
      <c r="AB1420" s="1310" t="s">
        <v>129</v>
      </c>
      <c r="AC1420" s="1310" t="s">
        <v>1658</v>
      </c>
      <c r="AD1420" s="1310" t="s">
        <v>1504</v>
      </c>
      <c r="AE1420" s="1310" t="s">
        <v>1493</v>
      </c>
      <c r="AF1420" s="1310" t="s">
        <v>128</v>
      </c>
    </row>
    <row r="1421" spans="1:32" x14ac:dyDescent="0.3">
      <c r="A1421" s="1310" t="s">
        <v>1559</v>
      </c>
      <c r="B1421" s="1310" t="s">
        <v>1542</v>
      </c>
      <c r="C1421" s="1310" t="s">
        <v>1618</v>
      </c>
      <c r="D1421" s="1310" t="s">
        <v>1592</v>
      </c>
      <c r="E1421" s="1310" t="s">
        <v>1476</v>
      </c>
      <c r="F1421" s="1310" t="s">
        <v>1614</v>
      </c>
      <c r="G1421" s="1310" t="s">
        <v>1523</v>
      </c>
      <c r="H1421" s="1310" t="s">
        <v>1486</v>
      </c>
      <c r="I1421" s="1310" t="s">
        <v>116</v>
      </c>
      <c r="J1421" s="1310" t="s">
        <v>1625</v>
      </c>
      <c r="K1421" s="1310" t="s">
        <v>1444</v>
      </c>
      <c r="L1421" s="1310" t="s">
        <v>1535</v>
      </c>
      <c r="M1421" s="1310" t="s">
        <v>114</v>
      </c>
      <c r="N1421" s="1310" t="s">
        <v>1620</v>
      </c>
      <c r="O1421" s="1310" t="s">
        <v>1624</v>
      </c>
      <c r="P1421" s="1310" t="s">
        <v>1586</v>
      </c>
      <c r="Q1421" s="1310" t="s">
        <v>1551</v>
      </c>
      <c r="R1421" s="1310" t="s">
        <v>1473</v>
      </c>
      <c r="S1421" s="1310" t="s">
        <v>1581</v>
      </c>
      <c r="T1421" s="1310" t="s">
        <v>1576</v>
      </c>
      <c r="U1421" s="1310" t="s">
        <v>1617</v>
      </c>
      <c r="V1421" s="1310" t="s">
        <v>1511</v>
      </c>
      <c r="W1421" s="1310" t="s">
        <v>1504</v>
      </c>
      <c r="X1421" s="1310" t="s">
        <v>1611</v>
      </c>
      <c r="Y1421" s="1310" t="s">
        <v>1623</v>
      </c>
      <c r="Z1421" s="1310" t="s">
        <v>1527</v>
      </c>
      <c r="AA1421" s="1310" t="s">
        <v>1505</v>
      </c>
      <c r="AB1421" s="1310" t="s">
        <v>128</v>
      </c>
      <c r="AC1421" s="1310" t="s">
        <v>1508</v>
      </c>
      <c r="AD1421" s="1310" t="s">
        <v>1557</v>
      </c>
      <c r="AE1421" s="1310" t="s">
        <v>1637</v>
      </c>
      <c r="AF1421" s="1310" t="s">
        <v>1523</v>
      </c>
    </row>
    <row r="1422" spans="1:32" x14ac:dyDescent="0.3">
      <c r="A1422" s="1310" t="s">
        <v>1593</v>
      </c>
      <c r="B1422" s="1310" t="s">
        <v>1619</v>
      </c>
      <c r="C1422" s="1310" t="s">
        <v>1516</v>
      </c>
      <c r="D1422" s="1310" t="s">
        <v>1533</v>
      </c>
      <c r="E1422" s="1310" t="s">
        <v>1470</v>
      </c>
      <c r="F1422" s="1310" t="s">
        <v>1605</v>
      </c>
      <c r="G1422" s="1310" t="s">
        <v>1584</v>
      </c>
      <c r="H1422" s="1310" t="s">
        <v>1027</v>
      </c>
      <c r="I1422" s="1310" t="s">
        <v>1629</v>
      </c>
      <c r="J1422" s="1310" t="s">
        <v>1529</v>
      </c>
      <c r="K1422" s="1310" t="s">
        <v>1448</v>
      </c>
      <c r="L1422" s="1310" t="s">
        <v>113</v>
      </c>
      <c r="M1422" s="1310" t="s">
        <v>1591</v>
      </c>
      <c r="N1422" s="1310" t="s">
        <v>1650</v>
      </c>
      <c r="O1422" s="1310" t="s">
        <v>1589</v>
      </c>
      <c r="P1422" s="1310" t="s">
        <v>113</v>
      </c>
      <c r="Q1422" s="1310" t="s">
        <v>110</v>
      </c>
      <c r="R1422" s="1310" t="s">
        <v>1609</v>
      </c>
      <c r="S1422" s="1310" t="s">
        <v>1635</v>
      </c>
      <c r="T1422" s="1310" t="s">
        <v>1625</v>
      </c>
      <c r="U1422" s="1310" t="s">
        <v>1454</v>
      </c>
      <c r="V1422" s="1310" t="s">
        <v>1549</v>
      </c>
      <c r="W1422" s="1310" t="s">
        <v>1467</v>
      </c>
      <c r="X1422" s="1310" t="s">
        <v>1523</v>
      </c>
      <c r="Y1422" s="1310" t="s">
        <v>1611</v>
      </c>
      <c r="Z1422" s="1310" t="s">
        <v>1624</v>
      </c>
      <c r="AA1422" s="1310" t="s">
        <v>1625</v>
      </c>
      <c r="AB1422" s="1310" t="s">
        <v>1445</v>
      </c>
      <c r="AC1422" s="1310" t="s">
        <v>1532</v>
      </c>
      <c r="AD1422" s="1310" t="s">
        <v>1483</v>
      </c>
      <c r="AE1422" s="1310" t="s">
        <v>1513</v>
      </c>
      <c r="AF1422" s="1310" t="s">
        <v>1498</v>
      </c>
    </row>
    <row r="1423" spans="1:32" x14ac:dyDescent="0.3">
      <c r="A1423" s="1310" t="s">
        <v>119</v>
      </c>
      <c r="B1423" s="1310" t="s">
        <v>1516</v>
      </c>
      <c r="C1423" s="1310" t="s">
        <v>1471</v>
      </c>
      <c r="D1423" s="1310" t="s">
        <v>1650</v>
      </c>
      <c r="E1423" s="1310" t="s">
        <v>1482</v>
      </c>
      <c r="F1423" s="1310" t="s">
        <v>1654</v>
      </c>
      <c r="G1423" s="1310" t="s">
        <v>1452</v>
      </c>
      <c r="H1423" s="1310" t="s">
        <v>1543</v>
      </c>
      <c r="I1423" s="1310" t="s">
        <v>1444</v>
      </c>
      <c r="J1423" s="1310" t="s">
        <v>1576</v>
      </c>
      <c r="K1423" s="1310" t="s">
        <v>1468</v>
      </c>
      <c r="L1423" s="1310" t="s">
        <v>1477</v>
      </c>
      <c r="M1423" s="1310" t="s">
        <v>1475</v>
      </c>
      <c r="N1423" s="1310" t="s">
        <v>1581</v>
      </c>
      <c r="O1423" s="1310" t="s">
        <v>1483</v>
      </c>
      <c r="P1423" s="1310" t="s">
        <v>1590</v>
      </c>
      <c r="Q1423" s="1310" t="s">
        <v>1451</v>
      </c>
      <c r="R1423" s="1310" t="s">
        <v>115</v>
      </c>
      <c r="S1423" s="1310" t="s">
        <v>1453</v>
      </c>
      <c r="T1423" s="1310" t="s">
        <v>1504</v>
      </c>
      <c r="U1423" s="1310" t="s">
        <v>127</v>
      </c>
      <c r="V1423" s="1310" t="s">
        <v>1504</v>
      </c>
      <c r="W1423" s="1310" t="s">
        <v>1539</v>
      </c>
      <c r="X1423" s="1310" t="s">
        <v>1501</v>
      </c>
      <c r="Y1423" s="1310" t="s">
        <v>1566</v>
      </c>
      <c r="Z1423" s="1310" t="s">
        <v>1659</v>
      </c>
      <c r="AA1423" s="1310" t="s">
        <v>1545</v>
      </c>
      <c r="AB1423" s="1310" t="s">
        <v>1557</v>
      </c>
      <c r="AC1423" s="1310" t="s">
        <v>1617</v>
      </c>
      <c r="AD1423" s="1310" t="s">
        <v>1611</v>
      </c>
      <c r="AE1423" s="1310" t="s">
        <v>1607</v>
      </c>
      <c r="AF1423" s="1310" t="s">
        <v>1540</v>
      </c>
    </row>
    <row r="1424" spans="1:32" x14ac:dyDescent="0.3">
      <c r="A1424" s="1310" t="s">
        <v>1623</v>
      </c>
      <c r="B1424" s="1310" t="s">
        <v>1534</v>
      </c>
      <c r="C1424" s="1310" t="s">
        <v>1456</v>
      </c>
      <c r="D1424" s="1310" t="s">
        <v>1657</v>
      </c>
      <c r="E1424" s="1310" t="s">
        <v>1465</v>
      </c>
      <c r="F1424" s="1310" t="s">
        <v>1642</v>
      </c>
      <c r="G1424" s="1310" t="s">
        <v>1458</v>
      </c>
      <c r="H1424" s="1310" t="s">
        <v>1597</v>
      </c>
      <c r="I1424" s="1310" t="s">
        <v>1648</v>
      </c>
      <c r="J1424" s="1310" t="s">
        <v>1457</v>
      </c>
      <c r="K1424" s="1310" t="s">
        <v>1495</v>
      </c>
      <c r="L1424" s="1310" t="s">
        <v>1614</v>
      </c>
      <c r="M1424" s="1310" t="s">
        <v>1531</v>
      </c>
      <c r="N1424" s="1310" t="s">
        <v>118</v>
      </c>
      <c r="O1424" s="1310" t="s">
        <v>1578</v>
      </c>
      <c r="P1424" s="1310" t="s">
        <v>1505</v>
      </c>
      <c r="Q1424" s="1310" t="s">
        <v>1574</v>
      </c>
      <c r="R1424" s="1310" t="s">
        <v>1450</v>
      </c>
      <c r="S1424" s="1310" t="s">
        <v>1564</v>
      </c>
      <c r="T1424" s="1310" t="s">
        <v>1490</v>
      </c>
      <c r="U1424" s="1310" t="s">
        <v>1628</v>
      </c>
      <c r="V1424" s="1310" t="s">
        <v>129</v>
      </c>
      <c r="W1424" s="1310" t="s">
        <v>1499</v>
      </c>
      <c r="X1424" s="1310" t="s">
        <v>1582</v>
      </c>
      <c r="Y1424" s="1310" t="s">
        <v>1490</v>
      </c>
      <c r="Z1424" s="1310" t="s">
        <v>1507</v>
      </c>
      <c r="AA1424" s="1310" t="s">
        <v>1526</v>
      </c>
      <c r="AB1424" s="1310" t="s">
        <v>1656</v>
      </c>
      <c r="AC1424" s="1310" t="s">
        <v>1486</v>
      </c>
      <c r="AD1424" s="1310" t="s">
        <v>1457</v>
      </c>
      <c r="AE1424" s="1310" t="s">
        <v>1601</v>
      </c>
      <c r="AF1424" s="1310" t="s">
        <v>1598</v>
      </c>
    </row>
    <row r="1425" spans="1:32" x14ac:dyDescent="0.3">
      <c r="A1425" s="1310" t="s">
        <v>1617</v>
      </c>
      <c r="B1425" s="1310" t="s">
        <v>1652</v>
      </c>
      <c r="C1425" s="1310" t="s">
        <v>1573</v>
      </c>
      <c r="D1425" s="1310" t="s">
        <v>1613</v>
      </c>
      <c r="E1425" s="1310" t="s">
        <v>1547</v>
      </c>
      <c r="F1425" s="1310" t="s">
        <v>1542</v>
      </c>
      <c r="G1425" s="1310" t="s">
        <v>1446</v>
      </c>
      <c r="H1425" s="1310" t="s">
        <v>1618</v>
      </c>
      <c r="I1425" s="1310" t="s">
        <v>1561</v>
      </c>
      <c r="J1425" s="1310" t="s">
        <v>120</v>
      </c>
      <c r="K1425" s="1310" t="s">
        <v>1633</v>
      </c>
      <c r="L1425" s="1310" t="s">
        <v>1522</v>
      </c>
      <c r="M1425" s="1310" t="s">
        <v>124</v>
      </c>
      <c r="N1425" s="1310" t="s">
        <v>1570</v>
      </c>
      <c r="O1425" s="1310" t="s">
        <v>1650</v>
      </c>
      <c r="P1425" s="1310" t="s">
        <v>1514</v>
      </c>
      <c r="Q1425" s="1310" t="s">
        <v>1548</v>
      </c>
      <c r="R1425" s="1310" t="s">
        <v>1600</v>
      </c>
      <c r="S1425" s="1310" t="s">
        <v>1030</v>
      </c>
      <c r="T1425" s="1310" t="s">
        <v>1548</v>
      </c>
      <c r="U1425" s="1310" t="s">
        <v>471</v>
      </c>
      <c r="V1425" s="1310" t="s">
        <v>1542</v>
      </c>
      <c r="W1425" s="1310" t="s">
        <v>1454</v>
      </c>
      <c r="X1425" s="1310" t="s">
        <v>1576</v>
      </c>
      <c r="Y1425" s="1310" t="s">
        <v>1645</v>
      </c>
      <c r="Z1425" s="1310" t="s">
        <v>1494</v>
      </c>
      <c r="AA1425" s="1310" t="s">
        <v>1591</v>
      </c>
      <c r="AB1425" s="1310" t="s">
        <v>1650</v>
      </c>
      <c r="AC1425" s="1310" t="s">
        <v>132</v>
      </c>
      <c r="AD1425" s="1310" t="s">
        <v>1516</v>
      </c>
      <c r="AE1425" s="1310" t="s">
        <v>1619</v>
      </c>
      <c r="AF1425" s="1310" t="s">
        <v>1621</v>
      </c>
    </row>
    <row r="1426" spans="1:32" x14ac:dyDescent="0.3">
      <c r="A1426" s="1310" t="s">
        <v>1529</v>
      </c>
      <c r="B1426" s="1310" t="s">
        <v>1505</v>
      </c>
      <c r="C1426" s="1310" t="s">
        <v>1570</v>
      </c>
      <c r="D1426" s="1310" t="s">
        <v>1451</v>
      </c>
      <c r="E1426" s="1310" t="s">
        <v>1534</v>
      </c>
      <c r="F1426" s="1310" t="s">
        <v>1456</v>
      </c>
      <c r="G1426" s="1310" t="s">
        <v>1601</v>
      </c>
      <c r="H1426" s="1310" t="s">
        <v>1564</v>
      </c>
      <c r="I1426" s="1310" t="s">
        <v>1650</v>
      </c>
      <c r="J1426" s="1310" t="s">
        <v>129</v>
      </c>
      <c r="K1426" s="1310" t="s">
        <v>1645</v>
      </c>
      <c r="L1426" s="1310" t="s">
        <v>1470</v>
      </c>
      <c r="M1426" s="1310" t="s">
        <v>128</v>
      </c>
      <c r="N1426" s="1310" t="s">
        <v>1568</v>
      </c>
      <c r="O1426" s="1310" t="s">
        <v>1605</v>
      </c>
      <c r="P1426" s="1310" t="s">
        <v>1572</v>
      </c>
      <c r="Q1426" s="1310" t="s">
        <v>1524</v>
      </c>
      <c r="R1426" s="1310" t="s">
        <v>1486</v>
      </c>
      <c r="S1426" s="1310" t="s">
        <v>1594</v>
      </c>
      <c r="T1426" s="1310" t="s">
        <v>1460</v>
      </c>
      <c r="U1426" s="1310" t="s">
        <v>1653</v>
      </c>
      <c r="V1426" s="1310" t="s">
        <v>1626</v>
      </c>
      <c r="W1426" s="1310" t="s">
        <v>1530</v>
      </c>
      <c r="X1426" s="1310" t="s">
        <v>1565</v>
      </c>
      <c r="Y1426" s="1310" t="s">
        <v>268</v>
      </c>
      <c r="Z1426" s="1310" t="s">
        <v>1546</v>
      </c>
      <c r="AA1426" s="1310" t="s">
        <v>1447</v>
      </c>
      <c r="AB1426" s="1310" t="s">
        <v>1569</v>
      </c>
      <c r="AC1426" s="1310" t="s">
        <v>1535</v>
      </c>
      <c r="AD1426" s="1310" t="s">
        <v>1658</v>
      </c>
      <c r="AE1426" s="1310" t="s">
        <v>1593</v>
      </c>
      <c r="AF1426" s="1310" t="s">
        <v>266</v>
      </c>
    </row>
    <row r="1427" spans="1:32" x14ac:dyDescent="0.3">
      <c r="A1427" s="1310" t="s">
        <v>1481</v>
      </c>
      <c r="B1427" s="1310" t="s">
        <v>1458</v>
      </c>
      <c r="C1427" s="1310" t="s">
        <v>1461</v>
      </c>
      <c r="D1427" s="1310" t="s">
        <v>1472</v>
      </c>
      <c r="E1427" s="1310" t="s">
        <v>1572</v>
      </c>
      <c r="F1427" s="1310" t="s">
        <v>1520</v>
      </c>
      <c r="G1427" s="1310" t="s">
        <v>1445</v>
      </c>
      <c r="H1427" s="1310" t="s">
        <v>1453</v>
      </c>
      <c r="I1427" s="1310" t="s">
        <v>1638</v>
      </c>
      <c r="J1427" s="1310" t="s">
        <v>1624</v>
      </c>
      <c r="K1427" s="1310" t="s">
        <v>1476</v>
      </c>
      <c r="L1427" s="1310" t="s">
        <v>1551</v>
      </c>
      <c r="M1427" s="1310" t="s">
        <v>1522</v>
      </c>
      <c r="N1427" s="1310" t="s">
        <v>6</v>
      </c>
      <c r="O1427" s="1310" t="s">
        <v>1520</v>
      </c>
      <c r="P1427" s="1310" t="s">
        <v>1534</v>
      </c>
      <c r="Q1427" s="1310" t="s">
        <v>1511</v>
      </c>
      <c r="R1427" s="1310" t="s">
        <v>124</v>
      </c>
      <c r="S1427" s="1310" t="s">
        <v>1635</v>
      </c>
      <c r="T1427" s="1310" t="s">
        <v>1448</v>
      </c>
      <c r="U1427" s="1310" t="s">
        <v>1644</v>
      </c>
      <c r="V1427" s="1310" t="s">
        <v>131</v>
      </c>
      <c r="W1427" s="1310" t="s">
        <v>1520</v>
      </c>
      <c r="X1427" s="1310" t="s">
        <v>1516</v>
      </c>
      <c r="Y1427" s="1310" t="s">
        <v>1455</v>
      </c>
      <c r="Z1427" s="1310" t="s">
        <v>1534</v>
      </c>
      <c r="AA1427" s="1310" t="s">
        <v>1510</v>
      </c>
      <c r="AB1427" s="1310" t="s">
        <v>124</v>
      </c>
      <c r="AC1427" s="1310" t="s">
        <v>1635</v>
      </c>
      <c r="AD1427" s="1310" t="s">
        <v>1489</v>
      </c>
      <c r="AE1427" s="1310" t="s">
        <v>1618</v>
      </c>
      <c r="AF1427" s="1310" t="s">
        <v>128</v>
      </c>
    </row>
    <row r="1428" spans="1:32" x14ac:dyDescent="0.3">
      <c r="A1428" s="1310" t="s">
        <v>1630</v>
      </c>
      <c r="B1428" s="1310" t="s">
        <v>1544</v>
      </c>
      <c r="C1428" s="1310" t="s">
        <v>1515</v>
      </c>
      <c r="D1428" s="1310" t="s">
        <v>1559</v>
      </c>
      <c r="E1428" s="1310" t="s">
        <v>1484</v>
      </c>
      <c r="F1428" s="1310" t="s">
        <v>1561</v>
      </c>
      <c r="G1428" s="1310" t="s">
        <v>1591</v>
      </c>
      <c r="H1428" s="1310" t="s">
        <v>1618</v>
      </c>
      <c r="I1428" s="1310" t="s">
        <v>125</v>
      </c>
      <c r="J1428" s="1310" t="s">
        <v>1474</v>
      </c>
      <c r="K1428" s="1310" t="s">
        <v>270</v>
      </c>
      <c r="L1428" s="1310" t="s">
        <v>1596</v>
      </c>
      <c r="M1428" s="1310" t="s">
        <v>1548</v>
      </c>
      <c r="N1428" s="1310" t="s">
        <v>1624</v>
      </c>
      <c r="O1428" s="1310" t="s">
        <v>1625</v>
      </c>
      <c r="P1428" s="1310" t="s">
        <v>1556</v>
      </c>
      <c r="Q1428" s="1310" t="s">
        <v>1455</v>
      </c>
      <c r="R1428" s="1310" t="s">
        <v>1635</v>
      </c>
      <c r="S1428" s="1310" t="s">
        <v>1549</v>
      </c>
      <c r="T1428" s="1310" t="s">
        <v>1576</v>
      </c>
      <c r="U1428" s="1310" t="s">
        <v>1459</v>
      </c>
      <c r="V1428" s="1310" t="s">
        <v>1538</v>
      </c>
      <c r="W1428" s="1310" t="s">
        <v>1536</v>
      </c>
      <c r="X1428" s="1310" t="s">
        <v>1490</v>
      </c>
      <c r="Y1428" s="1310" t="s">
        <v>1530</v>
      </c>
      <c r="Z1428" s="1310" t="s">
        <v>1632</v>
      </c>
      <c r="AA1428" s="1310" t="s">
        <v>1557</v>
      </c>
      <c r="AB1428" s="1310" t="s">
        <v>1562</v>
      </c>
      <c r="AC1428" s="1310" t="s">
        <v>1554</v>
      </c>
      <c r="AD1428" s="1310" t="s">
        <v>1468</v>
      </c>
      <c r="AE1428" s="1310" t="s">
        <v>1593</v>
      </c>
      <c r="AF1428" s="1310" t="s">
        <v>1505</v>
      </c>
    </row>
    <row r="1429" spans="1:32" x14ac:dyDescent="0.3">
      <c r="A1429" s="1310" t="s">
        <v>264</v>
      </c>
      <c r="B1429" s="1310" t="s">
        <v>263</v>
      </c>
      <c r="C1429" s="1310" t="s">
        <v>1599</v>
      </c>
      <c r="D1429" s="1310" t="s">
        <v>1592</v>
      </c>
      <c r="E1429" s="1310" t="s">
        <v>1595</v>
      </c>
      <c r="F1429" s="1310" t="s">
        <v>1475</v>
      </c>
      <c r="G1429" s="1310" t="s">
        <v>1527</v>
      </c>
      <c r="H1429" s="1310" t="s">
        <v>1600</v>
      </c>
      <c r="I1429" s="1310" t="s">
        <v>1475</v>
      </c>
      <c r="J1429" s="1310" t="s">
        <v>1460</v>
      </c>
      <c r="K1429" s="1310" t="s">
        <v>1513</v>
      </c>
      <c r="L1429" s="1310" t="s">
        <v>1449</v>
      </c>
      <c r="M1429" s="1310" t="s">
        <v>1633</v>
      </c>
      <c r="N1429" s="1310" t="s">
        <v>1451</v>
      </c>
      <c r="O1429" s="1310" t="s">
        <v>131</v>
      </c>
      <c r="P1429" s="1310" t="s">
        <v>1639</v>
      </c>
      <c r="Q1429" s="1310" t="s">
        <v>1595</v>
      </c>
      <c r="R1429" s="1310" t="s">
        <v>1467</v>
      </c>
      <c r="S1429" s="1310" t="s">
        <v>1483</v>
      </c>
      <c r="T1429" s="1310" t="s">
        <v>1463</v>
      </c>
      <c r="U1429" s="1310" t="s">
        <v>1027</v>
      </c>
      <c r="V1429" s="1310" t="s">
        <v>130</v>
      </c>
      <c r="W1429" s="1310" t="s">
        <v>1532</v>
      </c>
      <c r="X1429" s="1310" t="s">
        <v>1559</v>
      </c>
      <c r="Y1429" s="1310" t="s">
        <v>1552</v>
      </c>
      <c r="Z1429" s="1310" t="s">
        <v>1602</v>
      </c>
      <c r="AA1429" s="1310" t="s">
        <v>1486</v>
      </c>
      <c r="AB1429" s="1310" t="s">
        <v>1659</v>
      </c>
      <c r="AC1429" s="1310" t="s">
        <v>130</v>
      </c>
      <c r="AD1429" s="1310" t="s">
        <v>125</v>
      </c>
      <c r="AE1429" s="1310" t="s">
        <v>1558</v>
      </c>
      <c r="AF1429" s="1310" t="s">
        <v>1460</v>
      </c>
    </row>
    <row r="1430" spans="1:32" x14ac:dyDescent="0.3">
      <c r="A1430" s="1310" t="s">
        <v>1463</v>
      </c>
      <c r="B1430" s="1310" t="s">
        <v>1650</v>
      </c>
      <c r="C1430" s="1310" t="s">
        <v>1485</v>
      </c>
      <c r="D1430" s="1310" t="s">
        <v>119</v>
      </c>
      <c r="E1430" s="1310" t="s">
        <v>1474</v>
      </c>
      <c r="F1430" s="1310" t="s">
        <v>1530</v>
      </c>
      <c r="G1430" s="1310" t="s">
        <v>121</v>
      </c>
      <c r="H1430" s="1310" t="s">
        <v>112</v>
      </c>
      <c r="I1430" s="1310" t="s">
        <v>111</v>
      </c>
      <c r="J1430" s="1310" t="s">
        <v>1635</v>
      </c>
      <c r="K1430" s="1310" t="s">
        <v>1481</v>
      </c>
      <c r="L1430" s="1310" t="s">
        <v>1610</v>
      </c>
      <c r="M1430" s="1310" t="s">
        <v>1612</v>
      </c>
      <c r="N1430" s="1310" t="s">
        <v>1618</v>
      </c>
      <c r="O1430" s="1310" t="s">
        <v>1625</v>
      </c>
      <c r="P1430" s="1310" t="s">
        <v>1530</v>
      </c>
      <c r="Q1430" s="1310" t="s">
        <v>1449</v>
      </c>
      <c r="R1430" s="1310" t="s">
        <v>1533</v>
      </c>
      <c r="S1430" s="1310" t="s">
        <v>1524</v>
      </c>
      <c r="T1430" s="1310" t="s">
        <v>1469</v>
      </c>
      <c r="U1430" s="1310" t="s">
        <v>1564</v>
      </c>
      <c r="V1430" s="1310" t="s">
        <v>1508</v>
      </c>
      <c r="W1430" s="1310" t="s">
        <v>465</v>
      </c>
      <c r="X1430" s="1310" t="s">
        <v>1584</v>
      </c>
      <c r="Y1430" s="1310" t="s">
        <v>117</v>
      </c>
      <c r="Z1430" s="1310" t="s">
        <v>1568</v>
      </c>
      <c r="AA1430" s="1310" t="s">
        <v>1526</v>
      </c>
      <c r="AB1430" s="1310" t="s">
        <v>1572</v>
      </c>
      <c r="AC1430" s="1310" t="s">
        <v>1608</v>
      </c>
      <c r="AD1430" s="1310" t="s">
        <v>1534</v>
      </c>
      <c r="AE1430" s="1310" t="s">
        <v>1631</v>
      </c>
      <c r="AF1430" s="1310" t="s">
        <v>1629</v>
      </c>
    </row>
    <row r="1431" spans="1:32" x14ac:dyDescent="0.3">
      <c r="A1431" s="1310" t="s">
        <v>118</v>
      </c>
      <c r="B1431" s="1310" t="s">
        <v>1601</v>
      </c>
      <c r="C1431" s="1310" t="s">
        <v>1632</v>
      </c>
      <c r="D1431" s="1310" t="s">
        <v>1468</v>
      </c>
      <c r="E1431" s="1310" t="s">
        <v>1569</v>
      </c>
      <c r="F1431" s="1310" t="s">
        <v>1556</v>
      </c>
      <c r="G1431" s="1310" t="s">
        <v>1569</v>
      </c>
      <c r="H1431" s="1310" t="s">
        <v>1473</v>
      </c>
      <c r="I1431" s="1310" t="s">
        <v>1527</v>
      </c>
      <c r="J1431" s="1310" t="s">
        <v>1621</v>
      </c>
      <c r="K1431" s="1310" t="s">
        <v>1541</v>
      </c>
      <c r="L1431" s="1310" t="s">
        <v>112</v>
      </c>
      <c r="M1431" s="1310" t="s">
        <v>1545</v>
      </c>
      <c r="N1431" s="1310" t="s">
        <v>1553</v>
      </c>
      <c r="O1431" s="1310" t="s">
        <v>1491</v>
      </c>
      <c r="P1431" s="1310" t="s">
        <v>124</v>
      </c>
      <c r="Q1431" s="1310" t="s">
        <v>1473</v>
      </c>
      <c r="R1431" s="1310" t="s">
        <v>1522</v>
      </c>
      <c r="S1431" s="1310" t="s">
        <v>1524</v>
      </c>
      <c r="T1431" s="1310" t="s">
        <v>1501</v>
      </c>
      <c r="U1431" s="1310" t="s">
        <v>1542</v>
      </c>
      <c r="V1431" s="1310" t="s">
        <v>267</v>
      </c>
      <c r="W1431" s="1310" t="s">
        <v>1476</v>
      </c>
      <c r="X1431" s="1310" t="s">
        <v>1554</v>
      </c>
      <c r="Y1431" s="1310" t="s">
        <v>1648</v>
      </c>
      <c r="Z1431" s="1310" t="s">
        <v>1629</v>
      </c>
      <c r="AA1431" s="1310" t="s">
        <v>1460</v>
      </c>
      <c r="AB1431" s="1310" t="s">
        <v>1455</v>
      </c>
      <c r="AC1431" s="1310" t="s">
        <v>1588</v>
      </c>
      <c r="AD1431" s="1310" t="s">
        <v>1557</v>
      </c>
      <c r="AE1431" s="1310" t="s">
        <v>1583</v>
      </c>
      <c r="AF1431" s="1310" t="s">
        <v>1455</v>
      </c>
    </row>
    <row r="1432" spans="1:32" x14ac:dyDescent="0.3">
      <c r="A1432" s="1310" t="s">
        <v>1597</v>
      </c>
      <c r="B1432" s="1310" t="s">
        <v>1586</v>
      </c>
      <c r="C1432" s="1310" t="s">
        <v>1482</v>
      </c>
      <c r="D1432" s="1310" t="s">
        <v>1466</v>
      </c>
      <c r="E1432" s="1310" t="s">
        <v>1579</v>
      </c>
      <c r="F1432" s="1310" t="s">
        <v>131</v>
      </c>
      <c r="G1432" s="1310" t="s">
        <v>123</v>
      </c>
      <c r="H1432" s="1310" t="s">
        <v>1651</v>
      </c>
      <c r="I1432" s="1310" t="s">
        <v>1534</v>
      </c>
      <c r="J1432" s="1310" t="s">
        <v>1648</v>
      </c>
      <c r="K1432" s="1310" t="s">
        <v>1468</v>
      </c>
      <c r="L1432" s="1310" t="s">
        <v>1549</v>
      </c>
      <c r="M1432" s="1310" t="s">
        <v>1547</v>
      </c>
      <c r="N1432" s="1310" t="s">
        <v>1445</v>
      </c>
      <c r="O1432" s="1310" t="s">
        <v>1603</v>
      </c>
      <c r="P1432" s="1310" t="s">
        <v>1482</v>
      </c>
      <c r="Q1432" s="1310" t="s">
        <v>1626</v>
      </c>
      <c r="R1432" s="1310" t="s">
        <v>117</v>
      </c>
      <c r="S1432" s="1310" t="s">
        <v>1585</v>
      </c>
      <c r="T1432" s="1310" t="s">
        <v>1466</v>
      </c>
      <c r="U1432" s="1310" t="s">
        <v>1599</v>
      </c>
      <c r="V1432" s="1310" t="s">
        <v>1549</v>
      </c>
      <c r="W1432" s="1310" t="s">
        <v>128</v>
      </c>
      <c r="X1432" s="1310" t="s">
        <v>1613</v>
      </c>
      <c r="Y1432" s="1310" t="s">
        <v>1475</v>
      </c>
      <c r="Z1432" s="1310" t="s">
        <v>122</v>
      </c>
      <c r="AA1432" s="1310" t="s">
        <v>1591</v>
      </c>
      <c r="AB1432" s="1310" t="s">
        <v>1607</v>
      </c>
      <c r="AC1432" s="1310" t="s">
        <v>125</v>
      </c>
      <c r="AD1432" s="1310" t="s">
        <v>130</v>
      </c>
      <c r="AE1432" s="1310" t="s">
        <v>1601</v>
      </c>
      <c r="AF1432" s="1310" t="s">
        <v>1570</v>
      </c>
    </row>
    <row r="1433" spans="1:32" x14ac:dyDescent="0.3">
      <c r="A1433" s="1310" t="s">
        <v>1446</v>
      </c>
      <c r="B1433" s="1310" t="s">
        <v>1630</v>
      </c>
      <c r="C1433" s="1310" t="s">
        <v>119</v>
      </c>
      <c r="D1433" s="1310" t="s">
        <v>1629</v>
      </c>
      <c r="E1433" s="1310" t="s">
        <v>1619</v>
      </c>
      <c r="F1433" s="1310" t="s">
        <v>1633</v>
      </c>
      <c r="G1433" s="1310" t="s">
        <v>1635</v>
      </c>
      <c r="H1433" s="1310" t="s">
        <v>1444</v>
      </c>
      <c r="I1433" s="1310" t="s">
        <v>1521</v>
      </c>
      <c r="J1433" s="1310" t="s">
        <v>1449</v>
      </c>
      <c r="K1433" s="1310" t="s">
        <v>1505</v>
      </c>
      <c r="L1433" s="1310" t="s">
        <v>1618</v>
      </c>
      <c r="M1433" s="1310" t="s">
        <v>1451</v>
      </c>
      <c r="N1433" s="1310" t="s">
        <v>1486</v>
      </c>
      <c r="O1433" s="1310" t="s">
        <v>1586</v>
      </c>
      <c r="P1433" s="1310" t="s">
        <v>1481</v>
      </c>
      <c r="Q1433" s="1310" t="s">
        <v>128</v>
      </c>
      <c r="R1433" s="1310" t="s">
        <v>1511</v>
      </c>
      <c r="S1433" s="1310" t="s">
        <v>1486</v>
      </c>
      <c r="T1433" s="1310" t="s">
        <v>110</v>
      </c>
      <c r="U1433" s="1310" t="s">
        <v>1474</v>
      </c>
      <c r="V1433" s="1310" t="s">
        <v>129</v>
      </c>
      <c r="W1433" s="1310" t="s">
        <v>1630</v>
      </c>
      <c r="X1433" s="1310" t="s">
        <v>116</v>
      </c>
      <c r="Y1433" s="1310" t="s">
        <v>111</v>
      </c>
      <c r="Z1433" s="1310" t="s">
        <v>1549</v>
      </c>
      <c r="AA1433" s="1310" t="s">
        <v>1470</v>
      </c>
      <c r="AB1433" s="1310" t="s">
        <v>1658</v>
      </c>
      <c r="AC1433" s="1310" t="s">
        <v>1506</v>
      </c>
      <c r="AD1433" s="1310" t="s">
        <v>1568</v>
      </c>
      <c r="AE1433" s="1310" t="s">
        <v>131</v>
      </c>
      <c r="AF1433" s="1310" t="s">
        <v>1614</v>
      </c>
    </row>
    <row r="1434" spans="1:32" x14ac:dyDescent="0.3">
      <c r="A1434" s="1310" t="s">
        <v>132</v>
      </c>
      <c r="B1434" s="1310" t="s">
        <v>264</v>
      </c>
      <c r="C1434" s="1310" t="s">
        <v>1644</v>
      </c>
      <c r="D1434" s="1310" t="s">
        <v>1468</v>
      </c>
      <c r="E1434" s="1310" t="s">
        <v>1583</v>
      </c>
      <c r="F1434" s="1310" t="s">
        <v>132</v>
      </c>
      <c r="G1434" s="1310" t="s">
        <v>1545</v>
      </c>
      <c r="H1434" s="1310" t="s">
        <v>1464</v>
      </c>
      <c r="I1434" s="1310" t="s">
        <v>1646</v>
      </c>
      <c r="J1434" s="1310" t="s">
        <v>1479</v>
      </c>
      <c r="K1434" s="1310" t="s">
        <v>1597</v>
      </c>
      <c r="L1434" s="1310" t="s">
        <v>1463</v>
      </c>
      <c r="M1434" s="1310" t="s">
        <v>1618</v>
      </c>
      <c r="N1434" s="1310" t="s">
        <v>1584</v>
      </c>
      <c r="O1434" s="1310" t="s">
        <v>1573</v>
      </c>
      <c r="P1434" s="1310" t="s">
        <v>1462</v>
      </c>
      <c r="Q1434" s="1310" t="s">
        <v>1640</v>
      </c>
      <c r="R1434" s="1310" t="s">
        <v>1453</v>
      </c>
      <c r="S1434" s="1310" t="s">
        <v>1602</v>
      </c>
      <c r="T1434" s="1310" t="s">
        <v>1555</v>
      </c>
      <c r="U1434" s="1310" t="s">
        <v>1478</v>
      </c>
      <c r="V1434" s="1310" t="s">
        <v>1596</v>
      </c>
      <c r="W1434" s="1310" t="s">
        <v>130</v>
      </c>
      <c r="X1434" s="1310" t="s">
        <v>1559</v>
      </c>
      <c r="Y1434" s="1310" t="s">
        <v>120</v>
      </c>
      <c r="Z1434" s="1310" t="s">
        <v>118</v>
      </c>
      <c r="AA1434" s="1310" t="s">
        <v>1556</v>
      </c>
      <c r="AB1434" s="1310" t="s">
        <v>112</v>
      </c>
      <c r="AC1434" s="1310" t="s">
        <v>1494</v>
      </c>
      <c r="AD1434" s="1310" t="s">
        <v>111</v>
      </c>
      <c r="AE1434" s="1310" t="s">
        <v>1588</v>
      </c>
      <c r="AF1434" s="1310" t="s">
        <v>1517</v>
      </c>
    </row>
    <row r="1435" spans="1:32" x14ac:dyDescent="0.3">
      <c r="A1435" s="1310" t="s">
        <v>1520</v>
      </c>
      <c r="B1435" s="1310" t="s">
        <v>1580</v>
      </c>
      <c r="C1435" s="1310" t="s">
        <v>1657</v>
      </c>
      <c r="D1435" s="1310" t="s">
        <v>1517</v>
      </c>
      <c r="E1435" s="1310" t="s">
        <v>1461</v>
      </c>
      <c r="F1435" s="1310" t="s">
        <v>1479</v>
      </c>
      <c r="G1435" s="1310" t="s">
        <v>1645</v>
      </c>
      <c r="H1435" s="1310" t="s">
        <v>1640</v>
      </c>
      <c r="I1435" s="1310" t="s">
        <v>1633</v>
      </c>
      <c r="J1435" s="1310" t="s">
        <v>1470</v>
      </c>
      <c r="K1435" s="1310" t="s">
        <v>1448</v>
      </c>
      <c r="L1435" s="1310" t="s">
        <v>1636</v>
      </c>
      <c r="M1435" s="1310" t="s">
        <v>1596</v>
      </c>
      <c r="N1435" s="1310" t="s">
        <v>1634</v>
      </c>
      <c r="O1435" s="1310" t="s">
        <v>1561</v>
      </c>
      <c r="P1435" s="1310" t="s">
        <v>1488</v>
      </c>
      <c r="Q1435" s="1310" t="s">
        <v>1653</v>
      </c>
      <c r="R1435" s="1310" t="s">
        <v>1606</v>
      </c>
      <c r="S1435" s="1310" t="s">
        <v>1568</v>
      </c>
      <c r="T1435" s="1310" t="s">
        <v>1560</v>
      </c>
      <c r="U1435" s="1310" t="s">
        <v>1520</v>
      </c>
      <c r="V1435" s="1310" t="s">
        <v>267</v>
      </c>
      <c r="W1435" s="1310" t="s">
        <v>126</v>
      </c>
      <c r="X1435" s="1310" t="s">
        <v>1632</v>
      </c>
      <c r="Y1435" s="1310" t="s">
        <v>1520</v>
      </c>
      <c r="Z1435" s="1310" t="s">
        <v>116</v>
      </c>
      <c r="AA1435" s="1310" t="s">
        <v>112</v>
      </c>
      <c r="AB1435" s="1310" t="s">
        <v>1504</v>
      </c>
      <c r="AC1435" s="1310" t="s">
        <v>112</v>
      </c>
      <c r="AD1435" s="1310" t="s">
        <v>1481</v>
      </c>
      <c r="AE1435" s="1310" t="s">
        <v>1448</v>
      </c>
      <c r="AF1435" s="1310" t="s">
        <v>1619</v>
      </c>
    </row>
    <row r="1436" spans="1:32" x14ac:dyDescent="0.3">
      <c r="A1436" s="1310" t="s">
        <v>1617</v>
      </c>
      <c r="B1436" s="1310" t="s">
        <v>1455</v>
      </c>
      <c r="C1436" s="1310" t="s">
        <v>1597</v>
      </c>
      <c r="D1436" s="1310" t="s">
        <v>1557</v>
      </c>
      <c r="E1436" s="1310" t="s">
        <v>1452</v>
      </c>
      <c r="F1436" s="1310" t="s">
        <v>1621</v>
      </c>
      <c r="G1436" s="1310" t="s">
        <v>1541</v>
      </c>
      <c r="H1436" s="1310" t="s">
        <v>1444</v>
      </c>
      <c r="I1436" s="1310" t="s">
        <v>465</v>
      </c>
      <c r="J1436" s="1310" t="s">
        <v>114</v>
      </c>
      <c r="K1436" s="1310" t="s">
        <v>1488</v>
      </c>
      <c r="L1436" s="1310" t="s">
        <v>1455</v>
      </c>
      <c r="M1436" s="1310" t="s">
        <v>1635</v>
      </c>
      <c r="N1436" s="1310" t="s">
        <v>1549</v>
      </c>
      <c r="O1436" s="1310" t="s">
        <v>1644</v>
      </c>
      <c r="P1436" s="1310" t="s">
        <v>1632</v>
      </c>
      <c r="Q1436" s="1310" t="s">
        <v>1600</v>
      </c>
      <c r="R1436" s="1310" t="s">
        <v>1509</v>
      </c>
      <c r="S1436" s="1310" t="s">
        <v>1580</v>
      </c>
      <c r="T1436" s="1310" t="s">
        <v>1443</v>
      </c>
      <c r="U1436" s="1310" t="s">
        <v>122</v>
      </c>
      <c r="V1436" s="1310" t="s">
        <v>1571</v>
      </c>
      <c r="W1436" s="1310" t="s">
        <v>1562</v>
      </c>
      <c r="X1436" s="1310" t="s">
        <v>1452</v>
      </c>
      <c r="Y1436" s="1310" t="s">
        <v>1621</v>
      </c>
      <c r="Z1436" s="1310" t="s">
        <v>1541</v>
      </c>
      <c r="AA1436" s="1310" t="s">
        <v>1444</v>
      </c>
      <c r="AB1436" s="1310" t="s">
        <v>465</v>
      </c>
      <c r="AC1436" s="1310" t="s">
        <v>114</v>
      </c>
      <c r="AD1436" s="1310" t="s">
        <v>1488</v>
      </c>
      <c r="AE1436" s="1310" t="s">
        <v>1455</v>
      </c>
      <c r="AF1436" s="1310" t="s">
        <v>1635</v>
      </c>
    </row>
    <row r="1437" spans="1:32" x14ac:dyDescent="0.3">
      <c r="A1437" s="1310" t="s">
        <v>1549</v>
      </c>
      <c r="B1437" s="1310" t="s">
        <v>1644</v>
      </c>
      <c r="C1437" s="1310" t="s">
        <v>1632</v>
      </c>
      <c r="D1437" s="1310" t="s">
        <v>1600</v>
      </c>
      <c r="E1437" s="1310" t="s">
        <v>1509</v>
      </c>
      <c r="F1437" s="1310" t="s">
        <v>1554</v>
      </c>
      <c r="G1437" s="1310" t="s">
        <v>1452</v>
      </c>
      <c r="H1437" s="1310" t="s">
        <v>1622</v>
      </c>
      <c r="I1437" s="1310" t="s">
        <v>1474</v>
      </c>
      <c r="J1437" s="1310" t="s">
        <v>1636</v>
      </c>
      <c r="K1437" s="1310" t="s">
        <v>1480</v>
      </c>
      <c r="L1437" s="1310" t="s">
        <v>1638</v>
      </c>
      <c r="M1437" s="1310" t="s">
        <v>1617</v>
      </c>
      <c r="N1437" s="1310" t="s">
        <v>1503</v>
      </c>
      <c r="O1437" s="1310" t="s">
        <v>1580</v>
      </c>
      <c r="P1437" s="1310" t="s">
        <v>1525</v>
      </c>
      <c r="Q1437" s="1310" t="s">
        <v>1471</v>
      </c>
      <c r="R1437" s="1310" t="s">
        <v>1611</v>
      </c>
      <c r="S1437" s="1310" t="s">
        <v>1580</v>
      </c>
      <c r="T1437" s="1310" t="s">
        <v>1480</v>
      </c>
      <c r="U1437" s="1310" t="s">
        <v>465</v>
      </c>
      <c r="V1437" s="1310" t="s">
        <v>1572</v>
      </c>
      <c r="W1437" s="1310" t="s">
        <v>1615</v>
      </c>
      <c r="X1437" s="1310" t="s">
        <v>124</v>
      </c>
      <c r="Y1437" s="1310" t="s">
        <v>1531</v>
      </c>
      <c r="Z1437" s="1310" t="s">
        <v>1588</v>
      </c>
      <c r="AA1437" s="1310" t="s">
        <v>1557</v>
      </c>
      <c r="AB1437" s="1310" t="s">
        <v>1603</v>
      </c>
      <c r="AC1437" s="1310" t="s">
        <v>1568</v>
      </c>
      <c r="AD1437" s="1310" t="s">
        <v>1509</v>
      </c>
      <c r="AE1437" s="1310" t="s">
        <v>1647</v>
      </c>
      <c r="AF1437" s="1310" t="s">
        <v>1582</v>
      </c>
    </row>
    <row r="1438" spans="1:32" x14ac:dyDescent="0.3">
      <c r="A1438" s="1310" t="s">
        <v>1572</v>
      </c>
      <c r="B1438" s="1310" t="s">
        <v>1547</v>
      </c>
      <c r="C1438" s="1310" t="s">
        <v>1498</v>
      </c>
      <c r="D1438" s="1310" t="s">
        <v>1615</v>
      </c>
      <c r="E1438" s="1310" t="s">
        <v>1535</v>
      </c>
      <c r="F1438" s="1310" t="s">
        <v>1527</v>
      </c>
      <c r="G1438" s="1310" t="s">
        <v>1597</v>
      </c>
      <c r="H1438" s="1310" t="s">
        <v>1624</v>
      </c>
      <c r="I1438" s="1310" t="s">
        <v>1546</v>
      </c>
      <c r="J1438" s="1310" t="s">
        <v>266</v>
      </c>
      <c r="K1438" s="1310" t="s">
        <v>1652</v>
      </c>
      <c r="L1438" s="1310" t="s">
        <v>1561</v>
      </c>
      <c r="M1438" s="1310" t="s">
        <v>465</v>
      </c>
      <c r="N1438" s="1310" t="s">
        <v>1660</v>
      </c>
      <c r="O1438" s="1310" t="s">
        <v>1646</v>
      </c>
      <c r="P1438" s="1310" t="s">
        <v>1455</v>
      </c>
      <c r="Q1438" s="1310" t="s">
        <v>133</v>
      </c>
      <c r="R1438" s="1310" t="s">
        <v>1583</v>
      </c>
      <c r="S1438" s="1310" t="s">
        <v>1486</v>
      </c>
      <c r="T1438" s="1310" t="s">
        <v>1599</v>
      </c>
      <c r="U1438" s="1310" t="s">
        <v>268</v>
      </c>
      <c r="V1438" s="1310" t="s">
        <v>1473</v>
      </c>
      <c r="W1438" s="1310" t="s">
        <v>1505</v>
      </c>
      <c r="X1438" s="1310" t="s">
        <v>1631</v>
      </c>
      <c r="Y1438" s="1310" t="s">
        <v>1451</v>
      </c>
      <c r="Z1438" s="1310" t="s">
        <v>1449</v>
      </c>
      <c r="AA1438" s="1310" t="s">
        <v>1488</v>
      </c>
      <c r="AB1438" s="1310" t="s">
        <v>1452</v>
      </c>
      <c r="AC1438" s="1310" t="s">
        <v>262</v>
      </c>
      <c r="AD1438" s="1310" t="s">
        <v>1621</v>
      </c>
      <c r="AE1438" s="1310" t="s">
        <v>1647</v>
      </c>
      <c r="AF1438" s="1310" t="s">
        <v>1599</v>
      </c>
    </row>
    <row r="1439" spans="1:32" x14ac:dyDescent="0.3">
      <c r="A1439" s="1310" t="s">
        <v>123</v>
      </c>
      <c r="B1439" s="1310" t="s">
        <v>1464</v>
      </c>
      <c r="C1439" s="1310" t="s">
        <v>118</v>
      </c>
      <c r="D1439" s="1310" t="s">
        <v>1567</v>
      </c>
      <c r="E1439" s="1310" t="s">
        <v>1555</v>
      </c>
      <c r="F1439" s="1310" t="s">
        <v>1481</v>
      </c>
      <c r="G1439" s="1310" t="s">
        <v>1463</v>
      </c>
      <c r="H1439" s="1310" t="s">
        <v>1621</v>
      </c>
      <c r="I1439" s="1310" t="s">
        <v>1601</v>
      </c>
      <c r="J1439" s="1310" t="s">
        <v>1479</v>
      </c>
      <c r="K1439" s="1310" t="s">
        <v>264</v>
      </c>
      <c r="L1439" s="1310" t="s">
        <v>1569</v>
      </c>
      <c r="M1439" s="1310" t="s">
        <v>1493</v>
      </c>
      <c r="N1439" s="1310" t="s">
        <v>1456</v>
      </c>
      <c r="O1439" s="1310" t="s">
        <v>1450</v>
      </c>
      <c r="P1439" s="1310" t="s">
        <v>1509</v>
      </c>
      <c r="Q1439" s="1310" t="s">
        <v>1554</v>
      </c>
      <c r="R1439" s="1310" t="s">
        <v>1601</v>
      </c>
      <c r="S1439" s="1310" t="s">
        <v>1603</v>
      </c>
      <c r="T1439" s="1310" t="s">
        <v>1488</v>
      </c>
      <c r="U1439" s="1310" t="s">
        <v>1546</v>
      </c>
      <c r="V1439" s="1310" t="s">
        <v>1648</v>
      </c>
      <c r="W1439" s="1310" t="s">
        <v>1593</v>
      </c>
      <c r="X1439" s="1310" t="s">
        <v>1564</v>
      </c>
      <c r="Y1439" s="1310" t="s">
        <v>1572</v>
      </c>
      <c r="Z1439" s="1310" t="s">
        <v>1542</v>
      </c>
      <c r="AA1439" s="1310" t="s">
        <v>1465</v>
      </c>
      <c r="AB1439" s="1310" t="s">
        <v>1541</v>
      </c>
      <c r="AC1439" s="1310" t="s">
        <v>1456</v>
      </c>
      <c r="AD1439" s="1310" t="s">
        <v>1564</v>
      </c>
      <c r="AE1439" s="1310" t="s">
        <v>1492</v>
      </c>
      <c r="AF1439" s="1310" t="s">
        <v>1463</v>
      </c>
    </row>
    <row r="1440" spans="1:32" x14ac:dyDescent="0.3">
      <c r="A1440" s="1310" t="s">
        <v>1554</v>
      </c>
      <c r="B1440" s="1310" t="s">
        <v>128</v>
      </c>
      <c r="C1440" s="1310" t="s">
        <v>1469</v>
      </c>
      <c r="D1440" s="1310" t="s">
        <v>1630</v>
      </c>
      <c r="E1440" s="1310" t="s">
        <v>1549</v>
      </c>
      <c r="F1440" s="1310" t="s">
        <v>1598</v>
      </c>
      <c r="G1440" s="1310" t="s">
        <v>268</v>
      </c>
      <c r="H1440" s="1310" t="s">
        <v>1596</v>
      </c>
      <c r="I1440" s="1310" t="s">
        <v>128</v>
      </c>
      <c r="J1440" s="1310" t="s">
        <v>1586</v>
      </c>
      <c r="K1440" s="1310" t="s">
        <v>1509</v>
      </c>
      <c r="L1440" s="1310" t="s">
        <v>1514</v>
      </c>
      <c r="M1440" s="1310" t="s">
        <v>1615</v>
      </c>
      <c r="N1440" s="1310" t="s">
        <v>122</v>
      </c>
      <c r="O1440" s="1310" t="s">
        <v>1600</v>
      </c>
      <c r="P1440" s="1310" t="s">
        <v>263</v>
      </c>
      <c r="Q1440" s="1310" t="s">
        <v>1600</v>
      </c>
      <c r="R1440" s="1310" t="s">
        <v>1509</v>
      </c>
      <c r="S1440" s="1310" t="s">
        <v>1554</v>
      </c>
      <c r="T1440" s="1310" t="s">
        <v>1452</v>
      </c>
      <c r="U1440" s="1310" t="s">
        <v>1621</v>
      </c>
      <c r="V1440" s="1310" t="s">
        <v>1541</v>
      </c>
      <c r="W1440" s="1310" t="s">
        <v>1543</v>
      </c>
      <c r="X1440" s="1310" t="s">
        <v>1474</v>
      </c>
      <c r="Y1440" s="1310" t="s">
        <v>115</v>
      </c>
      <c r="Z1440" s="1310" t="s">
        <v>1460</v>
      </c>
      <c r="AA1440" s="1310" t="s">
        <v>1650</v>
      </c>
      <c r="AB1440" s="1310" t="s">
        <v>1495</v>
      </c>
      <c r="AC1440" s="1310" t="s">
        <v>114</v>
      </c>
      <c r="AD1440" s="1310" t="s">
        <v>1587</v>
      </c>
      <c r="AE1440" s="1310" t="s">
        <v>1530</v>
      </c>
      <c r="AF1440" s="1310" t="s">
        <v>1621</v>
      </c>
    </row>
    <row r="1441" spans="1:32" x14ac:dyDescent="0.3">
      <c r="A1441" s="1310" t="s">
        <v>1558</v>
      </c>
      <c r="B1441" s="1310" t="s">
        <v>1483</v>
      </c>
      <c r="C1441" s="1310" t="s">
        <v>1481</v>
      </c>
      <c r="D1441" s="1310" t="s">
        <v>1492</v>
      </c>
      <c r="E1441" s="1310" t="s">
        <v>1573</v>
      </c>
      <c r="F1441" s="1310" t="s">
        <v>1561</v>
      </c>
      <c r="G1441" s="1310" t="s">
        <v>6</v>
      </c>
      <c r="H1441" s="1310" t="s">
        <v>1532</v>
      </c>
      <c r="I1441" s="1310" t="s">
        <v>1641</v>
      </c>
      <c r="J1441" s="1310" t="s">
        <v>1645</v>
      </c>
      <c r="K1441" s="1310" t="s">
        <v>1630</v>
      </c>
      <c r="L1441" s="1310" t="s">
        <v>1449</v>
      </c>
      <c r="M1441" s="1310" t="s">
        <v>1609</v>
      </c>
      <c r="N1441" s="1310" t="s">
        <v>1549</v>
      </c>
      <c r="O1441" s="1310" t="s">
        <v>1646</v>
      </c>
      <c r="P1441" s="1310" t="s">
        <v>129</v>
      </c>
      <c r="Q1441" s="1310" t="s">
        <v>1468</v>
      </c>
      <c r="R1441" s="1310" t="s">
        <v>1617</v>
      </c>
      <c r="S1441" s="1310" t="s">
        <v>1550</v>
      </c>
      <c r="T1441" s="1310" t="s">
        <v>1636</v>
      </c>
      <c r="U1441" s="1310" t="s">
        <v>1629</v>
      </c>
      <c r="V1441" s="1310" t="s">
        <v>133</v>
      </c>
      <c r="W1441" s="1310" t="s">
        <v>1613</v>
      </c>
      <c r="X1441" s="1310" t="s">
        <v>1607</v>
      </c>
      <c r="Y1441" s="1310" t="s">
        <v>1496</v>
      </c>
      <c r="Z1441" s="1310" t="s">
        <v>1656</v>
      </c>
      <c r="AA1441" s="1310" t="s">
        <v>1473</v>
      </c>
      <c r="AB1441" s="1310" t="s">
        <v>1447</v>
      </c>
      <c r="AC1441" s="1310" t="s">
        <v>1562</v>
      </c>
      <c r="AD1441" s="1310" t="s">
        <v>1587</v>
      </c>
      <c r="AE1441" s="1310" t="s">
        <v>1562</v>
      </c>
      <c r="AF1441" s="1310" t="s">
        <v>1646</v>
      </c>
    </row>
    <row r="1442" spans="1:32" x14ac:dyDescent="0.3">
      <c r="A1442" s="1310" t="s">
        <v>1618</v>
      </c>
      <c r="B1442" s="1310" t="s">
        <v>1587</v>
      </c>
      <c r="C1442" s="1310" t="s">
        <v>1525</v>
      </c>
      <c r="D1442" s="1310" t="s">
        <v>1545</v>
      </c>
      <c r="E1442" s="1310" t="s">
        <v>1535</v>
      </c>
      <c r="F1442" s="1310" t="s">
        <v>267</v>
      </c>
      <c r="G1442" s="1310" t="s">
        <v>1580</v>
      </c>
      <c r="H1442" s="1310" t="s">
        <v>1562</v>
      </c>
      <c r="I1442" s="1310" t="s">
        <v>1592</v>
      </c>
      <c r="J1442" s="1310" t="s">
        <v>1479</v>
      </c>
      <c r="K1442" s="1310" t="s">
        <v>1606</v>
      </c>
      <c r="L1442" s="1310" t="s">
        <v>1585</v>
      </c>
      <c r="M1442" s="1310" t="s">
        <v>1574</v>
      </c>
      <c r="N1442" s="1310" t="s">
        <v>1549</v>
      </c>
      <c r="O1442" s="1310" t="s">
        <v>1490</v>
      </c>
      <c r="P1442" s="1310" t="s">
        <v>1627</v>
      </c>
      <c r="Q1442" s="1310" t="s">
        <v>1624</v>
      </c>
      <c r="R1442" s="1310" t="s">
        <v>1449</v>
      </c>
      <c r="S1442" s="1310" t="s">
        <v>1555</v>
      </c>
      <c r="T1442" s="1310" t="s">
        <v>1504</v>
      </c>
      <c r="U1442" s="1310" t="s">
        <v>119</v>
      </c>
      <c r="V1442" s="1310" t="s">
        <v>1635</v>
      </c>
      <c r="W1442" s="1310" t="s">
        <v>1549</v>
      </c>
      <c r="X1442" s="1310" t="s">
        <v>1644</v>
      </c>
      <c r="Y1442" s="1310" t="s">
        <v>1632</v>
      </c>
      <c r="Z1442" s="1310" t="s">
        <v>1600</v>
      </c>
      <c r="AA1442" s="1310" t="s">
        <v>1509</v>
      </c>
      <c r="AB1442" s="1310" t="s">
        <v>1554</v>
      </c>
      <c r="AC1442" s="1310" t="s">
        <v>1452</v>
      </c>
      <c r="AD1442" s="1310" t="s">
        <v>1621</v>
      </c>
      <c r="AE1442" s="1310" t="s">
        <v>1541</v>
      </c>
      <c r="AF1442" s="1310" t="s">
        <v>1444</v>
      </c>
    </row>
    <row r="1443" spans="1:32" x14ac:dyDescent="0.3">
      <c r="A1443" s="1310" t="s">
        <v>465</v>
      </c>
      <c r="B1443" s="1310" t="s">
        <v>114</v>
      </c>
      <c r="C1443" s="1310" t="s">
        <v>1488</v>
      </c>
      <c r="D1443" s="1310" t="s">
        <v>1455</v>
      </c>
      <c r="E1443" s="1310" t="s">
        <v>1635</v>
      </c>
      <c r="F1443" s="1310" t="s">
        <v>1549</v>
      </c>
      <c r="G1443" s="1310" t="s">
        <v>1541</v>
      </c>
      <c r="H1443" s="1310" t="s">
        <v>1611</v>
      </c>
      <c r="I1443" s="1310" t="s">
        <v>1636</v>
      </c>
      <c r="J1443" s="1310" t="s">
        <v>1634</v>
      </c>
      <c r="K1443" s="1310" t="s">
        <v>1615</v>
      </c>
      <c r="L1443" s="1310" t="s">
        <v>1557</v>
      </c>
      <c r="M1443" s="1310" t="s">
        <v>1578</v>
      </c>
      <c r="N1443" s="1310" t="s">
        <v>1643</v>
      </c>
      <c r="O1443" s="1310" t="s">
        <v>133</v>
      </c>
      <c r="P1443" s="1310" t="s">
        <v>1590</v>
      </c>
      <c r="Q1443" s="1310" t="s">
        <v>117</v>
      </c>
      <c r="R1443" s="1310" t="s">
        <v>1604</v>
      </c>
      <c r="S1443" s="1310" t="s">
        <v>1628</v>
      </c>
      <c r="T1443" s="1310" t="s">
        <v>124</v>
      </c>
      <c r="U1443" s="1310" t="s">
        <v>1539</v>
      </c>
      <c r="V1443" s="1310" t="s">
        <v>1549</v>
      </c>
      <c r="W1443" s="1310" t="s">
        <v>1579</v>
      </c>
      <c r="X1443" s="1310" t="s">
        <v>6</v>
      </c>
      <c r="Y1443" s="1310" t="s">
        <v>1659</v>
      </c>
      <c r="Z1443" s="1310" t="s">
        <v>1641</v>
      </c>
      <c r="AA1443" s="1310" t="s">
        <v>1573</v>
      </c>
      <c r="AB1443" s="1310" t="s">
        <v>133</v>
      </c>
      <c r="AC1443" s="1310" t="s">
        <v>1564</v>
      </c>
      <c r="AD1443" s="1310" t="s">
        <v>1518</v>
      </c>
      <c r="AE1443" s="1310" t="s">
        <v>1611</v>
      </c>
      <c r="AF1443" s="1310" t="s">
        <v>1460</v>
      </c>
    </row>
    <row r="1444" spans="1:32" x14ac:dyDescent="0.3">
      <c r="A1444" s="1310" t="s">
        <v>1656</v>
      </c>
      <c r="B1444" s="1310" t="s">
        <v>1562</v>
      </c>
      <c r="C1444" s="1310" t="s">
        <v>1030</v>
      </c>
      <c r="D1444" s="1310" t="s">
        <v>1452</v>
      </c>
      <c r="E1444" s="1310" t="s">
        <v>1639</v>
      </c>
      <c r="F1444" s="1310" t="s">
        <v>1544</v>
      </c>
      <c r="G1444" s="1310" t="s">
        <v>1577</v>
      </c>
      <c r="H1444" s="1310" t="s">
        <v>1494</v>
      </c>
      <c r="I1444" s="1310" t="s">
        <v>1607</v>
      </c>
      <c r="J1444" s="1310" t="s">
        <v>1542</v>
      </c>
      <c r="K1444" s="1310" t="s">
        <v>1503</v>
      </c>
      <c r="L1444" s="1310" t="s">
        <v>120</v>
      </c>
      <c r="M1444" s="1310" t="s">
        <v>1456</v>
      </c>
      <c r="N1444" s="1310" t="s">
        <v>1569</v>
      </c>
      <c r="O1444" s="1310" t="s">
        <v>133</v>
      </c>
      <c r="P1444" s="1310" t="s">
        <v>1517</v>
      </c>
      <c r="Q1444" s="1310" t="s">
        <v>115</v>
      </c>
      <c r="R1444" s="1310" t="s">
        <v>1604</v>
      </c>
      <c r="S1444" s="1310" t="s">
        <v>1559</v>
      </c>
      <c r="T1444" s="1310" t="s">
        <v>1564</v>
      </c>
      <c r="U1444" s="1310" t="s">
        <v>1456</v>
      </c>
      <c r="V1444" s="1310" t="s">
        <v>1604</v>
      </c>
      <c r="W1444" s="1310" t="s">
        <v>1521</v>
      </c>
      <c r="X1444" s="1310" t="s">
        <v>1449</v>
      </c>
      <c r="Y1444" s="1310" t="s">
        <v>1553</v>
      </c>
      <c r="Z1444" s="1310" t="s">
        <v>1566</v>
      </c>
      <c r="AA1444" s="1310" t="s">
        <v>125</v>
      </c>
      <c r="AB1444" s="1310" t="s">
        <v>1597</v>
      </c>
      <c r="AC1444" s="1310" t="s">
        <v>1534</v>
      </c>
      <c r="AD1444" s="1310" t="s">
        <v>1511</v>
      </c>
      <c r="AE1444" s="1310" t="s">
        <v>1599</v>
      </c>
      <c r="AF1444" s="1310" t="s">
        <v>1564</v>
      </c>
    </row>
    <row r="1445" spans="1:32" x14ac:dyDescent="0.3">
      <c r="A1445" s="1310" t="s">
        <v>1457</v>
      </c>
      <c r="B1445" s="1310" t="s">
        <v>1489</v>
      </c>
      <c r="C1445" s="1310" t="s">
        <v>115</v>
      </c>
      <c r="D1445" s="1310" t="s">
        <v>1519</v>
      </c>
      <c r="E1445" s="1310" t="s">
        <v>1624</v>
      </c>
      <c r="F1445" s="1310" t="s">
        <v>1474</v>
      </c>
      <c r="G1445" s="1310" t="s">
        <v>1479</v>
      </c>
      <c r="H1445" s="1310" t="s">
        <v>1606</v>
      </c>
      <c r="I1445" s="1310" t="s">
        <v>1027</v>
      </c>
      <c r="J1445" s="1310" t="s">
        <v>117</v>
      </c>
      <c r="K1445" s="1310" t="s">
        <v>1648</v>
      </c>
      <c r="L1445" s="1310" t="s">
        <v>1465</v>
      </c>
      <c r="M1445" s="1310" t="s">
        <v>1595</v>
      </c>
      <c r="N1445" s="1310" t="s">
        <v>1554</v>
      </c>
      <c r="O1445" s="1310" t="s">
        <v>1570</v>
      </c>
      <c r="P1445" s="1310" t="s">
        <v>1593</v>
      </c>
      <c r="Q1445" s="1310" t="s">
        <v>1483</v>
      </c>
      <c r="R1445" s="1310" t="s">
        <v>132</v>
      </c>
      <c r="S1445" s="1310" t="s">
        <v>1567</v>
      </c>
      <c r="T1445" s="1310" t="s">
        <v>121</v>
      </c>
      <c r="U1445" s="1310" t="s">
        <v>1448</v>
      </c>
      <c r="V1445" s="1310" t="s">
        <v>1466</v>
      </c>
      <c r="W1445" s="1310" t="s">
        <v>1490</v>
      </c>
      <c r="X1445" s="1310" t="s">
        <v>1643</v>
      </c>
      <c r="Y1445" s="1310" t="s">
        <v>1551</v>
      </c>
      <c r="Z1445" s="1310" t="s">
        <v>471</v>
      </c>
      <c r="AA1445" s="1310" t="s">
        <v>1520</v>
      </c>
      <c r="AB1445" s="1310" t="s">
        <v>1587</v>
      </c>
      <c r="AC1445" s="1310" t="s">
        <v>1517</v>
      </c>
      <c r="AD1445" s="1310" t="s">
        <v>1533</v>
      </c>
      <c r="AE1445" s="1310" t="s">
        <v>1622</v>
      </c>
      <c r="AF1445" s="1310" t="s">
        <v>1505</v>
      </c>
    </row>
    <row r="1446" spans="1:32" x14ac:dyDescent="0.3">
      <c r="A1446" s="1310" t="s">
        <v>1448</v>
      </c>
      <c r="B1446" s="1310" t="s">
        <v>1487</v>
      </c>
      <c r="C1446" s="1310" t="s">
        <v>1574</v>
      </c>
      <c r="D1446" s="1310" t="s">
        <v>1460</v>
      </c>
      <c r="E1446" s="1310" t="s">
        <v>1537</v>
      </c>
      <c r="F1446" s="1310" t="s">
        <v>1648</v>
      </c>
      <c r="G1446" s="1310" t="s">
        <v>1548</v>
      </c>
      <c r="H1446" s="1310" t="s">
        <v>1620</v>
      </c>
      <c r="I1446" s="1310" t="s">
        <v>115</v>
      </c>
      <c r="J1446" s="1310" t="s">
        <v>1599</v>
      </c>
      <c r="K1446" s="1310" t="s">
        <v>1567</v>
      </c>
      <c r="L1446" s="1310" t="s">
        <v>1601</v>
      </c>
      <c r="M1446" s="1310" t="s">
        <v>1646</v>
      </c>
      <c r="N1446" s="1310" t="s">
        <v>268</v>
      </c>
      <c r="O1446" s="1310" t="s">
        <v>1454</v>
      </c>
      <c r="P1446" s="1310" t="s">
        <v>1521</v>
      </c>
      <c r="Q1446" s="1310" t="s">
        <v>1473</v>
      </c>
      <c r="R1446" s="1310" t="s">
        <v>1588</v>
      </c>
      <c r="S1446" s="1310" t="s">
        <v>1466</v>
      </c>
      <c r="T1446" s="1310" t="s">
        <v>1529</v>
      </c>
      <c r="U1446" s="1310" t="s">
        <v>1556</v>
      </c>
      <c r="V1446" s="1310" t="s">
        <v>1482</v>
      </c>
      <c r="W1446" s="1310" t="s">
        <v>1617</v>
      </c>
      <c r="X1446" s="1310" t="s">
        <v>1559</v>
      </c>
      <c r="Y1446" s="1310" t="s">
        <v>1462</v>
      </c>
      <c r="Z1446" s="1310" t="s">
        <v>125</v>
      </c>
      <c r="AA1446" s="1310" t="s">
        <v>1601</v>
      </c>
      <c r="AB1446" s="1310" t="s">
        <v>1498</v>
      </c>
      <c r="AC1446" s="1310" t="s">
        <v>1646</v>
      </c>
      <c r="AD1446" s="1310" t="s">
        <v>1473</v>
      </c>
      <c r="AE1446" s="1310" t="s">
        <v>1654</v>
      </c>
      <c r="AF1446" s="1310" t="s">
        <v>1565</v>
      </c>
    </row>
    <row r="1447" spans="1:32" x14ac:dyDescent="0.3">
      <c r="A1447" s="1310" t="s">
        <v>1530</v>
      </c>
      <c r="B1447" s="1310" t="s">
        <v>1611</v>
      </c>
      <c r="C1447" s="1310" t="s">
        <v>1637</v>
      </c>
      <c r="D1447" s="1310" t="s">
        <v>1526</v>
      </c>
      <c r="E1447" s="1310" t="s">
        <v>1572</v>
      </c>
      <c r="F1447" s="1310" t="s">
        <v>1511</v>
      </c>
      <c r="G1447" s="1310" t="s">
        <v>1496</v>
      </c>
      <c r="H1447" s="1310" t="s">
        <v>1487</v>
      </c>
      <c r="I1447" s="1310" t="s">
        <v>1540</v>
      </c>
      <c r="J1447" s="1310" t="s">
        <v>1653</v>
      </c>
      <c r="K1447" s="1310" t="s">
        <v>1594</v>
      </c>
      <c r="L1447" s="1310" t="s">
        <v>1478</v>
      </c>
      <c r="M1447" s="1310" t="s">
        <v>1632</v>
      </c>
      <c r="N1447" s="1310" t="s">
        <v>1477</v>
      </c>
      <c r="O1447" s="1310" t="s">
        <v>1473</v>
      </c>
      <c r="P1447" s="1310" t="s">
        <v>1508</v>
      </c>
      <c r="Q1447" s="1310" t="s">
        <v>113</v>
      </c>
      <c r="R1447" s="1310" t="s">
        <v>1640</v>
      </c>
      <c r="S1447" s="1310" t="s">
        <v>1493</v>
      </c>
      <c r="T1447" s="1310" t="s">
        <v>1493</v>
      </c>
      <c r="U1447" s="1310" t="s">
        <v>1640</v>
      </c>
      <c r="V1447" s="1310" t="s">
        <v>1652</v>
      </c>
      <c r="W1447" s="1310" t="s">
        <v>128</v>
      </c>
      <c r="X1447" s="1310" t="s">
        <v>1598</v>
      </c>
      <c r="Y1447" s="1310" t="s">
        <v>1624</v>
      </c>
      <c r="Z1447" s="1310" t="s">
        <v>1573</v>
      </c>
      <c r="AA1447" s="1310" t="s">
        <v>1476</v>
      </c>
      <c r="AB1447" s="1310" t="s">
        <v>1598</v>
      </c>
      <c r="AC1447" s="1310" t="s">
        <v>131</v>
      </c>
      <c r="AD1447" s="1310" t="s">
        <v>1486</v>
      </c>
      <c r="AE1447" s="1310" t="s">
        <v>1518</v>
      </c>
      <c r="AF1447" s="1310" t="s">
        <v>1452</v>
      </c>
    </row>
    <row r="1448" spans="1:32" x14ac:dyDescent="0.3">
      <c r="A1448" s="1310" t="s">
        <v>1526</v>
      </c>
      <c r="B1448" s="1310" t="s">
        <v>1569</v>
      </c>
      <c r="C1448" s="1310" t="s">
        <v>1533</v>
      </c>
      <c r="D1448" s="1310" t="s">
        <v>1558</v>
      </c>
      <c r="E1448" s="1310" t="s">
        <v>114</v>
      </c>
      <c r="F1448" s="1310" t="s">
        <v>1524</v>
      </c>
      <c r="G1448" s="1310" t="s">
        <v>1655</v>
      </c>
      <c r="H1448" s="1310" t="s">
        <v>1508</v>
      </c>
      <c r="I1448" s="1310" t="s">
        <v>1527</v>
      </c>
      <c r="J1448" s="1310" t="s">
        <v>1459</v>
      </c>
      <c r="K1448" s="1310" t="s">
        <v>1449</v>
      </c>
      <c r="L1448" s="1310" t="s">
        <v>1512</v>
      </c>
      <c r="M1448" s="1310" t="s">
        <v>1637</v>
      </c>
      <c r="N1448" s="1310" t="s">
        <v>269</v>
      </c>
      <c r="O1448" s="1310" t="s">
        <v>1616</v>
      </c>
      <c r="P1448" s="1310" t="s">
        <v>1543</v>
      </c>
      <c r="Q1448" s="1310" t="s">
        <v>1498</v>
      </c>
      <c r="R1448" s="1310" t="s">
        <v>1631</v>
      </c>
      <c r="S1448" s="1310" t="s">
        <v>1447</v>
      </c>
      <c r="T1448" s="1310" t="s">
        <v>120</v>
      </c>
      <c r="U1448" s="1310" t="s">
        <v>1494</v>
      </c>
      <c r="V1448" s="1310" t="s">
        <v>121</v>
      </c>
      <c r="W1448" s="1310" t="s">
        <v>1499</v>
      </c>
      <c r="X1448" s="1310" t="s">
        <v>1457</v>
      </c>
      <c r="Y1448" s="1310" t="s">
        <v>1488</v>
      </c>
      <c r="Z1448" s="1310" t="s">
        <v>1482</v>
      </c>
      <c r="AA1448" s="1310" t="s">
        <v>1578</v>
      </c>
      <c r="AB1448" s="1310" t="s">
        <v>1554</v>
      </c>
      <c r="AC1448" s="1310" t="s">
        <v>1606</v>
      </c>
      <c r="AD1448" s="1310" t="s">
        <v>1455</v>
      </c>
      <c r="AE1448" s="1310" t="s">
        <v>133</v>
      </c>
      <c r="AF1448" s="1310" t="s">
        <v>1598</v>
      </c>
    </row>
    <row r="1449" spans="1:32" x14ac:dyDescent="0.3">
      <c r="A1449" s="1310" t="s">
        <v>1515</v>
      </c>
      <c r="B1449" s="1310" t="s">
        <v>1648</v>
      </c>
      <c r="C1449" s="1310" t="s">
        <v>1519</v>
      </c>
      <c r="D1449" s="1310" t="s">
        <v>1554</v>
      </c>
      <c r="E1449" s="1310" t="s">
        <v>1637</v>
      </c>
      <c r="F1449" s="1310" t="s">
        <v>264</v>
      </c>
      <c r="G1449" s="1310" t="s">
        <v>1587</v>
      </c>
      <c r="H1449" s="1310" t="s">
        <v>118</v>
      </c>
      <c r="I1449" s="1310" t="s">
        <v>268</v>
      </c>
      <c r="J1449" s="1310" t="s">
        <v>1596</v>
      </c>
      <c r="K1449" s="1310" t="s">
        <v>1520</v>
      </c>
      <c r="L1449" s="1310" t="s">
        <v>1478</v>
      </c>
      <c r="M1449" s="1310" t="s">
        <v>1027</v>
      </c>
      <c r="N1449" s="1310" t="s">
        <v>1655</v>
      </c>
      <c r="O1449" s="1310" t="s">
        <v>1599</v>
      </c>
      <c r="P1449" s="1310" t="s">
        <v>1502</v>
      </c>
      <c r="Q1449" s="1310" t="s">
        <v>1490</v>
      </c>
      <c r="R1449" s="1310" t="s">
        <v>1462</v>
      </c>
      <c r="S1449" s="1310" t="s">
        <v>1452</v>
      </c>
      <c r="T1449" s="1310" t="s">
        <v>1446</v>
      </c>
      <c r="U1449" s="1310" t="s">
        <v>1472</v>
      </c>
      <c r="V1449" s="1310" t="s">
        <v>267</v>
      </c>
      <c r="W1449" s="1310" t="s">
        <v>1558</v>
      </c>
      <c r="X1449" s="1310" t="s">
        <v>1651</v>
      </c>
      <c r="Y1449" s="1310" t="s">
        <v>1618</v>
      </c>
      <c r="Z1449" s="1310" t="s">
        <v>1027</v>
      </c>
      <c r="AA1449" s="1310" t="s">
        <v>1477</v>
      </c>
      <c r="AB1449" s="1310" t="s">
        <v>1447</v>
      </c>
      <c r="AC1449" s="1310" t="s">
        <v>1474</v>
      </c>
      <c r="AD1449" s="1310" t="s">
        <v>1606</v>
      </c>
      <c r="AE1449" s="1310" t="s">
        <v>1575</v>
      </c>
      <c r="AF1449" s="1310" t="s">
        <v>1570</v>
      </c>
    </row>
    <row r="1450" spans="1:32" x14ac:dyDescent="0.3">
      <c r="A1450" s="1310" t="s">
        <v>1471</v>
      </c>
      <c r="B1450" s="1310" t="s">
        <v>1479</v>
      </c>
      <c r="C1450" s="1310" t="s">
        <v>1627</v>
      </c>
      <c r="D1450" s="1310" t="s">
        <v>1596</v>
      </c>
      <c r="E1450" s="1310" t="s">
        <v>132</v>
      </c>
      <c r="F1450" s="1310" t="s">
        <v>1453</v>
      </c>
      <c r="G1450" s="1310" t="s">
        <v>1637</v>
      </c>
      <c r="H1450" s="1310" t="s">
        <v>1576</v>
      </c>
      <c r="I1450" s="1310" t="s">
        <v>122</v>
      </c>
      <c r="J1450" s="1310" t="s">
        <v>1470</v>
      </c>
      <c r="K1450" s="1310" t="s">
        <v>1584</v>
      </c>
      <c r="L1450" s="1310" t="s">
        <v>1624</v>
      </c>
      <c r="M1450" s="1310" t="s">
        <v>131</v>
      </c>
      <c r="N1450" s="1310" t="s">
        <v>1492</v>
      </c>
      <c r="O1450" s="1310" t="s">
        <v>1637</v>
      </c>
      <c r="P1450" s="1310" t="s">
        <v>1649</v>
      </c>
      <c r="Q1450" s="1310" t="s">
        <v>1552</v>
      </c>
      <c r="R1450" s="1310" t="s">
        <v>1640</v>
      </c>
      <c r="S1450" s="1310" t="s">
        <v>1509</v>
      </c>
      <c r="T1450" s="1310" t="s">
        <v>1508</v>
      </c>
      <c r="U1450" s="1310" t="s">
        <v>113</v>
      </c>
      <c r="V1450" s="1310" t="s">
        <v>465</v>
      </c>
      <c r="W1450" s="1310" t="s">
        <v>1476</v>
      </c>
      <c r="X1450" s="1310" t="s">
        <v>465</v>
      </c>
      <c r="Y1450" s="1310" t="s">
        <v>1462</v>
      </c>
      <c r="Z1450" s="1310" t="s">
        <v>116</v>
      </c>
      <c r="AA1450" s="1310" t="s">
        <v>126</v>
      </c>
      <c r="AB1450" s="1310" t="s">
        <v>1545</v>
      </c>
      <c r="AC1450" s="1310" t="s">
        <v>1553</v>
      </c>
      <c r="AD1450" s="1310" t="s">
        <v>1631</v>
      </c>
      <c r="AE1450" s="1310" t="s">
        <v>1451</v>
      </c>
      <c r="AF1450" s="1310" t="s">
        <v>264</v>
      </c>
    </row>
    <row r="1451" spans="1:32" x14ac:dyDescent="0.3">
      <c r="A1451" s="1310" t="s">
        <v>1490</v>
      </c>
      <c r="B1451" s="1310" t="s">
        <v>1475</v>
      </c>
      <c r="C1451" s="1310" t="s">
        <v>133</v>
      </c>
      <c r="D1451" s="1310" t="s">
        <v>1647</v>
      </c>
      <c r="E1451" s="1310" t="s">
        <v>1645</v>
      </c>
      <c r="F1451" s="1310" t="s">
        <v>1653</v>
      </c>
      <c r="G1451" s="1310" t="s">
        <v>125</v>
      </c>
      <c r="H1451" s="1310" t="s">
        <v>125</v>
      </c>
      <c r="I1451" s="1310" t="s">
        <v>1454</v>
      </c>
      <c r="J1451" s="1310" t="s">
        <v>1451</v>
      </c>
      <c r="K1451" s="1310" t="s">
        <v>1572</v>
      </c>
      <c r="L1451" s="1310" t="s">
        <v>1559</v>
      </c>
      <c r="M1451" s="1310" t="s">
        <v>1543</v>
      </c>
      <c r="N1451" s="1310" t="s">
        <v>1602</v>
      </c>
      <c r="O1451" s="1310" t="s">
        <v>1624</v>
      </c>
      <c r="P1451" s="1310" t="s">
        <v>1478</v>
      </c>
      <c r="Q1451" s="1310" t="s">
        <v>1610</v>
      </c>
      <c r="R1451" s="1310" t="s">
        <v>1613</v>
      </c>
      <c r="S1451" s="1310" t="s">
        <v>1565</v>
      </c>
      <c r="T1451" s="1310" t="s">
        <v>1551</v>
      </c>
      <c r="U1451" s="1310" t="s">
        <v>1639</v>
      </c>
      <c r="V1451" s="1310" t="s">
        <v>1486</v>
      </c>
      <c r="W1451" s="1310" t="s">
        <v>1569</v>
      </c>
      <c r="X1451" s="1310" t="s">
        <v>1543</v>
      </c>
      <c r="Y1451" s="1310" t="s">
        <v>121</v>
      </c>
      <c r="Z1451" s="1310" t="s">
        <v>1483</v>
      </c>
      <c r="AA1451" s="1310" t="s">
        <v>1515</v>
      </c>
      <c r="AB1451" s="1310" t="s">
        <v>114</v>
      </c>
      <c r="AC1451" s="1310" t="s">
        <v>122</v>
      </c>
      <c r="AD1451" s="1310" t="s">
        <v>1027</v>
      </c>
      <c r="AE1451" s="1310" t="s">
        <v>1578</v>
      </c>
      <c r="AF1451" s="1310" t="s">
        <v>1446</v>
      </c>
    </row>
    <row r="1452" spans="1:32" x14ac:dyDescent="0.3">
      <c r="A1452" s="1310" t="s">
        <v>1596</v>
      </c>
      <c r="B1452" s="1310" t="s">
        <v>1448</v>
      </c>
      <c r="C1452" s="1310" t="s">
        <v>263</v>
      </c>
      <c r="D1452" s="1310" t="s">
        <v>1506</v>
      </c>
      <c r="E1452" s="1310" t="s">
        <v>1595</v>
      </c>
      <c r="F1452" s="1310" t="s">
        <v>1471</v>
      </c>
      <c r="G1452" s="1310" t="s">
        <v>1474</v>
      </c>
      <c r="H1452" s="1310" t="s">
        <v>1465</v>
      </c>
      <c r="I1452" s="1310" t="s">
        <v>1613</v>
      </c>
      <c r="J1452" s="1310" t="s">
        <v>1526</v>
      </c>
      <c r="K1452" s="1310" t="s">
        <v>124</v>
      </c>
      <c r="L1452" s="1310" t="s">
        <v>1594</v>
      </c>
      <c r="M1452" s="1310" t="s">
        <v>113</v>
      </c>
      <c r="N1452" s="1310" t="s">
        <v>1503</v>
      </c>
      <c r="O1452" s="1310" t="s">
        <v>1489</v>
      </c>
      <c r="P1452" s="1310" t="s">
        <v>1549</v>
      </c>
      <c r="Q1452" s="1310" t="s">
        <v>1463</v>
      </c>
      <c r="R1452" s="1310" t="s">
        <v>1582</v>
      </c>
      <c r="S1452" s="1310" t="s">
        <v>1579</v>
      </c>
      <c r="T1452" s="1310" t="s">
        <v>1472</v>
      </c>
      <c r="U1452" s="1310" t="s">
        <v>1584</v>
      </c>
      <c r="V1452" s="1310" t="s">
        <v>1576</v>
      </c>
      <c r="W1452" s="1310" t="s">
        <v>1632</v>
      </c>
      <c r="X1452" s="1310" t="s">
        <v>1633</v>
      </c>
      <c r="Y1452" s="1310" t="s">
        <v>1647</v>
      </c>
      <c r="Z1452" s="1310" t="s">
        <v>1447</v>
      </c>
      <c r="AA1452" s="1310" t="s">
        <v>1591</v>
      </c>
      <c r="AB1452" s="1310" t="s">
        <v>1650</v>
      </c>
      <c r="AC1452" s="1310" t="s">
        <v>1565</v>
      </c>
      <c r="AD1452" s="1310" t="s">
        <v>267</v>
      </c>
      <c r="AE1452" s="1310" t="s">
        <v>1526</v>
      </c>
      <c r="AF1452" s="1310" t="s">
        <v>1606</v>
      </c>
    </row>
    <row r="1453" spans="1:32" x14ac:dyDescent="0.3">
      <c r="A1453" s="1310" t="s">
        <v>1543</v>
      </c>
      <c r="B1453" s="1310" t="s">
        <v>1548</v>
      </c>
      <c r="C1453" s="1310" t="s">
        <v>1517</v>
      </c>
      <c r="D1453" s="1310" t="s">
        <v>1471</v>
      </c>
      <c r="E1453" s="1310" t="s">
        <v>1617</v>
      </c>
      <c r="F1453" s="1310" t="s">
        <v>263</v>
      </c>
      <c r="G1453" s="1310" t="s">
        <v>1579</v>
      </c>
      <c r="H1453" s="1310" t="s">
        <v>116</v>
      </c>
      <c r="I1453" s="1310" t="s">
        <v>1640</v>
      </c>
      <c r="J1453" s="1310" t="s">
        <v>1570</v>
      </c>
      <c r="K1453" s="1310" t="s">
        <v>1454</v>
      </c>
      <c r="L1453" s="1310" t="s">
        <v>1516</v>
      </c>
      <c r="M1453" s="1310" t="s">
        <v>1030</v>
      </c>
      <c r="N1453" s="1310" t="s">
        <v>1572</v>
      </c>
      <c r="O1453" s="1310" t="s">
        <v>1030</v>
      </c>
      <c r="P1453" s="1310" t="s">
        <v>1657</v>
      </c>
      <c r="Q1453" s="1310" t="s">
        <v>1486</v>
      </c>
      <c r="R1453" s="1310" t="s">
        <v>1590</v>
      </c>
      <c r="S1453" s="1310" t="s">
        <v>1493</v>
      </c>
      <c r="T1453" s="1310" t="s">
        <v>1444</v>
      </c>
      <c r="U1453" s="1310" t="s">
        <v>1533</v>
      </c>
      <c r="V1453" s="1310" t="s">
        <v>1566</v>
      </c>
      <c r="W1453" s="1310" t="s">
        <v>1479</v>
      </c>
      <c r="X1453" s="1310" t="s">
        <v>1573</v>
      </c>
      <c r="Y1453" s="1310" t="s">
        <v>1483</v>
      </c>
      <c r="Z1453" s="1310" t="s">
        <v>131</v>
      </c>
      <c r="AA1453" s="1310" t="s">
        <v>266</v>
      </c>
      <c r="AB1453" s="1310" t="s">
        <v>124</v>
      </c>
      <c r="AC1453" s="1310" t="s">
        <v>1473</v>
      </c>
      <c r="AD1453" s="1310" t="s">
        <v>1537</v>
      </c>
      <c r="AE1453" s="1310" t="s">
        <v>1456</v>
      </c>
      <c r="AF1453" s="1310" t="s">
        <v>1589</v>
      </c>
    </row>
    <row r="1454" spans="1:32" x14ac:dyDescent="0.3">
      <c r="A1454" s="1310" t="s">
        <v>1463</v>
      </c>
      <c r="B1454" s="1310" t="s">
        <v>113</v>
      </c>
      <c r="C1454" s="1310" t="s">
        <v>1656</v>
      </c>
      <c r="D1454" s="1310" t="s">
        <v>1481</v>
      </c>
      <c r="E1454" s="1310" t="s">
        <v>113</v>
      </c>
      <c r="F1454" s="1310" t="s">
        <v>1477</v>
      </c>
      <c r="G1454" s="1310" t="s">
        <v>1651</v>
      </c>
      <c r="H1454" s="1310" t="s">
        <v>1550</v>
      </c>
      <c r="I1454" s="1310" t="s">
        <v>1514</v>
      </c>
      <c r="J1454" s="1310" t="s">
        <v>124</v>
      </c>
      <c r="K1454" s="1310" t="s">
        <v>1567</v>
      </c>
      <c r="L1454" s="1310" t="s">
        <v>1462</v>
      </c>
      <c r="M1454" s="1310" t="s">
        <v>1618</v>
      </c>
      <c r="N1454" s="1310" t="s">
        <v>1509</v>
      </c>
      <c r="O1454" s="1310" t="s">
        <v>1536</v>
      </c>
      <c r="P1454" s="1310" t="s">
        <v>1497</v>
      </c>
      <c r="Q1454" s="1310" t="s">
        <v>1548</v>
      </c>
      <c r="R1454" s="1310" t="s">
        <v>1525</v>
      </c>
      <c r="S1454" s="1310" t="s">
        <v>1533</v>
      </c>
      <c r="T1454" s="1310" t="s">
        <v>1514</v>
      </c>
      <c r="U1454" s="1310" t="s">
        <v>1594</v>
      </c>
      <c r="V1454" s="1310" t="s">
        <v>1444</v>
      </c>
      <c r="W1454" s="1310" t="s">
        <v>1502</v>
      </c>
      <c r="X1454" s="1310" t="s">
        <v>1527</v>
      </c>
      <c r="Y1454" s="1310" t="s">
        <v>1461</v>
      </c>
      <c r="Z1454" s="1310" t="s">
        <v>1472</v>
      </c>
      <c r="AA1454" s="1310" t="s">
        <v>1615</v>
      </c>
      <c r="AB1454" s="1310" t="s">
        <v>1559</v>
      </c>
      <c r="AC1454" s="1310" t="s">
        <v>1597</v>
      </c>
      <c r="AD1454" s="1310" t="s">
        <v>1647</v>
      </c>
      <c r="AE1454" s="1310" t="s">
        <v>1565</v>
      </c>
      <c r="AF1454" s="1310" t="s">
        <v>1448</v>
      </c>
    </row>
    <row r="1455" spans="1:32" x14ac:dyDescent="0.3">
      <c r="A1455" s="1310" t="s">
        <v>1659</v>
      </c>
      <c r="B1455" s="1310" t="s">
        <v>1483</v>
      </c>
      <c r="C1455" s="1310" t="s">
        <v>1529</v>
      </c>
      <c r="D1455" s="1310" t="s">
        <v>1504</v>
      </c>
      <c r="E1455" s="1310" t="s">
        <v>1569</v>
      </c>
      <c r="F1455" s="1310" t="s">
        <v>1500</v>
      </c>
      <c r="G1455" s="1310" t="s">
        <v>1597</v>
      </c>
      <c r="H1455" s="1310" t="s">
        <v>1592</v>
      </c>
      <c r="I1455" s="1310" t="s">
        <v>1602</v>
      </c>
      <c r="J1455" s="1310" t="s">
        <v>1449</v>
      </c>
      <c r="K1455" s="1310" t="s">
        <v>266</v>
      </c>
      <c r="L1455" s="1310" t="s">
        <v>1539</v>
      </c>
      <c r="M1455" s="1310" t="s">
        <v>129</v>
      </c>
      <c r="N1455" s="1310" t="s">
        <v>1464</v>
      </c>
      <c r="O1455" s="1310" t="s">
        <v>1620</v>
      </c>
      <c r="P1455" s="1310" t="s">
        <v>1445</v>
      </c>
      <c r="Q1455" s="1310" t="s">
        <v>1500</v>
      </c>
      <c r="R1455" s="1310" t="s">
        <v>1529</v>
      </c>
      <c r="S1455" s="1310" t="s">
        <v>122</v>
      </c>
      <c r="T1455" s="1310" t="s">
        <v>1504</v>
      </c>
      <c r="U1455" s="1310" t="s">
        <v>1476</v>
      </c>
      <c r="V1455" s="1310" t="s">
        <v>1483</v>
      </c>
      <c r="W1455" s="1310" t="s">
        <v>1606</v>
      </c>
      <c r="X1455" s="1310" t="s">
        <v>1599</v>
      </c>
      <c r="Y1455" s="1310" t="s">
        <v>1582</v>
      </c>
      <c r="Z1455" s="1310" t="s">
        <v>1614</v>
      </c>
      <c r="AA1455" s="1310" t="s">
        <v>1487</v>
      </c>
      <c r="AB1455" s="1310" t="s">
        <v>118</v>
      </c>
      <c r="AC1455" s="1310" t="s">
        <v>1574</v>
      </c>
      <c r="AD1455" s="1310" t="s">
        <v>1567</v>
      </c>
      <c r="AE1455" s="1310" t="s">
        <v>1612</v>
      </c>
      <c r="AF1455" s="1310" t="s">
        <v>1497</v>
      </c>
    </row>
    <row r="1456" spans="1:32" x14ac:dyDescent="0.3">
      <c r="A1456" s="1310" t="s">
        <v>1640</v>
      </c>
      <c r="B1456" s="1310" t="s">
        <v>268</v>
      </c>
      <c r="C1456" s="1310" t="s">
        <v>112</v>
      </c>
      <c r="D1456" s="1310" t="s">
        <v>1509</v>
      </c>
      <c r="E1456" s="1310" t="s">
        <v>1600</v>
      </c>
      <c r="F1456" s="1310" t="s">
        <v>1642</v>
      </c>
      <c r="G1456" s="1310" t="s">
        <v>1520</v>
      </c>
      <c r="H1456" s="1310" t="s">
        <v>1459</v>
      </c>
      <c r="I1456" s="1310" t="s">
        <v>1555</v>
      </c>
      <c r="J1456" s="1310" t="s">
        <v>1457</v>
      </c>
      <c r="K1456" s="1310" t="s">
        <v>1504</v>
      </c>
      <c r="L1456" s="1310" t="s">
        <v>1604</v>
      </c>
      <c r="M1456" s="1310" t="s">
        <v>1607</v>
      </c>
      <c r="N1456" s="1310" t="s">
        <v>1564</v>
      </c>
      <c r="O1456" s="1310" t="s">
        <v>1514</v>
      </c>
      <c r="P1456" s="1310" t="s">
        <v>1561</v>
      </c>
      <c r="Q1456" s="1310" t="s">
        <v>263</v>
      </c>
      <c r="R1456" s="1310" t="s">
        <v>124</v>
      </c>
      <c r="S1456" s="1310" t="s">
        <v>1569</v>
      </c>
      <c r="T1456" s="1310" t="s">
        <v>1462</v>
      </c>
      <c r="U1456" s="1310" t="s">
        <v>267</v>
      </c>
      <c r="V1456" s="1310" t="s">
        <v>1605</v>
      </c>
      <c r="W1456" s="1310" t="s">
        <v>1569</v>
      </c>
      <c r="X1456" s="1310" t="s">
        <v>1447</v>
      </c>
      <c r="Y1456" s="1310" t="s">
        <v>1456</v>
      </c>
      <c r="Z1456" s="1310" t="s">
        <v>1589</v>
      </c>
      <c r="AA1456" s="1310" t="s">
        <v>1622</v>
      </c>
      <c r="AB1456" s="1310" t="s">
        <v>1535</v>
      </c>
      <c r="AC1456" s="1310" t="s">
        <v>1568</v>
      </c>
      <c r="AD1456" s="1310" t="s">
        <v>1542</v>
      </c>
      <c r="AE1456" s="1310" t="s">
        <v>1653</v>
      </c>
      <c r="AF1456" s="1310" t="s">
        <v>1583</v>
      </c>
    </row>
    <row r="1457" spans="1:32" x14ac:dyDescent="0.3">
      <c r="A1457" s="1310" t="s">
        <v>1506</v>
      </c>
      <c r="B1457" s="1310" t="s">
        <v>1614</v>
      </c>
      <c r="C1457" s="1310" t="s">
        <v>1646</v>
      </c>
      <c r="D1457" s="1310" t="s">
        <v>1500</v>
      </c>
      <c r="E1457" s="1310" t="s">
        <v>1511</v>
      </c>
      <c r="F1457" s="1310" t="s">
        <v>1598</v>
      </c>
      <c r="G1457" s="1310" t="s">
        <v>1613</v>
      </c>
      <c r="H1457" s="1310" t="s">
        <v>112</v>
      </c>
      <c r="I1457" s="1310" t="s">
        <v>1525</v>
      </c>
      <c r="J1457" s="1310" t="s">
        <v>1450</v>
      </c>
      <c r="K1457" s="1310" t="s">
        <v>1560</v>
      </c>
      <c r="L1457" s="1310" t="s">
        <v>1635</v>
      </c>
      <c r="M1457" s="1310" t="s">
        <v>1633</v>
      </c>
      <c r="N1457" s="1310" t="s">
        <v>1549</v>
      </c>
      <c r="O1457" s="1310" t="s">
        <v>471</v>
      </c>
      <c r="P1457" s="1310" t="s">
        <v>1479</v>
      </c>
      <c r="Q1457" s="1310" t="s">
        <v>1511</v>
      </c>
      <c r="R1457" s="1310" t="s">
        <v>1459</v>
      </c>
      <c r="S1457" s="1310" t="s">
        <v>123</v>
      </c>
      <c r="T1457" s="1310" t="s">
        <v>1648</v>
      </c>
      <c r="U1457" s="1310" t="s">
        <v>1638</v>
      </c>
      <c r="V1457" s="1310" t="s">
        <v>1535</v>
      </c>
      <c r="W1457" s="1310" t="s">
        <v>1514</v>
      </c>
      <c r="X1457" s="1310" t="s">
        <v>1542</v>
      </c>
      <c r="Y1457" s="1310" t="s">
        <v>1631</v>
      </c>
      <c r="Z1457" s="1310" t="s">
        <v>1638</v>
      </c>
      <c r="AA1457" s="1310" t="s">
        <v>1586</v>
      </c>
      <c r="AB1457" s="1310" t="s">
        <v>1605</v>
      </c>
      <c r="AC1457" s="1310" t="s">
        <v>1516</v>
      </c>
      <c r="AD1457" s="1310" t="s">
        <v>126</v>
      </c>
      <c r="AE1457" s="1310" t="s">
        <v>1584</v>
      </c>
      <c r="AF1457" s="1310" t="s">
        <v>1495</v>
      </c>
    </row>
    <row r="1458" spans="1:32" x14ac:dyDescent="0.3">
      <c r="A1458" s="1310" t="s">
        <v>1640</v>
      </c>
      <c r="B1458" s="1310" t="s">
        <v>1535</v>
      </c>
      <c r="C1458" s="1310" t="s">
        <v>1485</v>
      </c>
      <c r="D1458" s="1310" t="s">
        <v>1660</v>
      </c>
      <c r="E1458" s="1310" t="s">
        <v>1546</v>
      </c>
      <c r="F1458" s="1310" t="s">
        <v>1532</v>
      </c>
      <c r="G1458" s="1310" t="s">
        <v>1649</v>
      </c>
      <c r="H1458" s="1310" t="s">
        <v>1495</v>
      </c>
      <c r="I1458" s="1310" t="s">
        <v>1491</v>
      </c>
      <c r="J1458" s="1310" t="s">
        <v>1579</v>
      </c>
      <c r="K1458" s="1310" t="s">
        <v>1509</v>
      </c>
      <c r="L1458" s="1310" t="s">
        <v>114</v>
      </c>
      <c r="M1458" s="1310" t="s">
        <v>1632</v>
      </c>
      <c r="N1458" s="1310" t="s">
        <v>128</v>
      </c>
      <c r="O1458" s="1310" t="s">
        <v>1560</v>
      </c>
      <c r="P1458" s="1310" t="s">
        <v>1458</v>
      </c>
      <c r="Q1458" s="1310" t="s">
        <v>1589</v>
      </c>
      <c r="R1458" s="1310" t="s">
        <v>1559</v>
      </c>
      <c r="S1458" s="1310" t="s">
        <v>1444</v>
      </c>
      <c r="T1458" s="1310" t="s">
        <v>1502</v>
      </c>
      <c r="U1458" s="1310" t="s">
        <v>1630</v>
      </c>
      <c r="V1458" s="1310" t="s">
        <v>1642</v>
      </c>
      <c r="W1458" s="1310" t="s">
        <v>1452</v>
      </c>
      <c r="X1458" s="1310" t="s">
        <v>1539</v>
      </c>
      <c r="Y1458" s="1310" t="s">
        <v>120</v>
      </c>
      <c r="Z1458" s="1310" t="s">
        <v>1535</v>
      </c>
      <c r="AA1458" s="1310" t="s">
        <v>1598</v>
      </c>
      <c r="AB1458" s="1310" t="s">
        <v>1601</v>
      </c>
      <c r="AC1458" s="1310" t="s">
        <v>269</v>
      </c>
      <c r="AD1458" s="1310" t="s">
        <v>113</v>
      </c>
      <c r="AE1458" s="1310" t="s">
        <v>1577</v>
      </c>
      <c r="AF1458" s="1310" t="s">
        <v>1506</v>
      </c>
    </row>
    <row r="1459" spans="1:32" x14ac:dyDescent="0.3">
      <c r="A1459" s="1310" t="s">
        <v>117</v>
      </c>
      <c r="B1459" s="1310" t="s">
        <v>267</v>
      </c>
      <c r="C1459" s="1310" t="s">
        <v>1625</v>
      </c>
      <c r="D1459" s="1310" t="s">
        <v>1504</v>
      </c>
      <c r="E1459" s="1310" t="s">
        <v>1571</v>
      </c>
      <c r="F1459" s="1310" t="s">
        <v>1500</v>
      </c>
      <c r="G1459" s="1310" t="s">
        <v>1588</v>
      </c>
      <c r="H1459" s="1310" t="s">
        <v>1554</v>
      </c>
      <c r="I1459" s="1310" t="s">
        <v>1566</v>
      </c>
      <c r="J1459" s="1310" t="s">
        <v>1517</v>
      </c>
      <c r="K1459" s="1310" t="s">
        <v>1644</v>
      </c>
      <c r="L1459" s="1310" t="s">
        <v>131</v>
      </c>
      <c r="M1459" s="1310" t="s">
        <v>1520</v>
      </c>
      <c r="N1459" s="1310" t="s">
        <v>1466</v>
      </c>
      <c r="O1459" s="1310" t="s">
        <v>1532</v>
      </c>
      <c r="P1459" s="1310" t="s">
        <v>1584</v>
      </c>
      <c r="Q1459" s="1310" t="s">
        <v>1507</v>
      </c>
      <c r="R1459" s="1310" t="s">
        <v>124</v>
      </c>
      <c r="S1459" s="1310" t="s">
        <v>1535</v>
      </c>
      <c r="T1459" s="1310" t="s">
        <v>1591</v>
      </c>
      <c r="U1459" s="1310" t="s">
        <v>1618</v>
      </c>
      <c r="V1459" s="1310" t="s">
        <v>125</v>
      </c>
      <c r="W1459" s="1310" t="s">
        <v>1480</v>
      </c>
      <c r="X1459" s="1310" t="s">
        <v>1455</v>
      </c>
      <c r="Y1459" s="1310" t="s">
        <v>1453</v>
      </c>
      <c r="Z1459" s="1310" t="s">
        <v>270</v>
      </c>
      <c r="AA1459" s="1310" t="s">
        <v>1594</v>
      </c>
      <c r="AB1459" s="1310" t="s">
        <v>113</v>
      </c>
      <c r="AC1459" s="1310" t="s">
        <v>125</v>
      </c>
      <c r="AD1459" s="1310" t="s">
        <v>1482</v>
      </c>
      <c r="AE1459" s="1310" t="s">
        <v>1502</v>
      </c>
      <c r="AF1459" s="1310" t="s">
        <v>1630</v>
      </c>
    </row>
    <row r="1460" spans="1:32" x14ac:dyDescent="0.3">
      <c r="A1460" s="1310" t="s">
        <v>130</v>
      </c>
      <c r="B1460" s="1310" t="s">
        <v>1488</v>
      </c>
      <c r="C1460" s="1310" t="s">
        <v>1455</v>
      </c>
      <c r="D1460" s="1310" t="s">
        <v>1635</v>
      </c>
      <c r="E1460" s="1310" t="s">
        <v>1549</v>
      </c>
      <c r="F1460" s="1310" t="s">
        <v>1586</v>
      </c>
      <c r="G1460" s="1310" t="s">
        <v>1619</v>
      </c>
      <c r="H1460" s="1310" t="s">
        <v>1589</v>
      </c>
      <c r="I1460" s="1310" t="s">
        <v>1616</v>
      </c>
      <c r="J1460" s="1310" t="s">
        <v>1532</v>
      </c>
      <c r="K1460" s="1310" t="s">
        <v>1448</v>
      </c>
      <c r="L1460" s="1310" t="s">
        <v>1598</v>
      </c>
      <c r="M1460" s="1310" t="s">
        <v>1498</v>
      </c>
      <c r="N1460" s="1310" t="s">
        <v>1549</v>
      </c>
      <c r="O1460" s="1310" t="s">
        <v>1599</v>
      </c>
      <c r="P1460" s="1310" t="s">
        <v>1535</v>
      </c>
      <c r="Q1460" s="1310" t="s">
        <v>1630</v>
      </c>
      <c r="R1460" s="1310" t="s">
        <v>1483</v>
      </c>
      <c r="S1460" s="1310" t="s">
        <v>1527</v>
      </c>
      <c r="T1460" s="1310" t="s">
        <v>1539</v>
      </c>
      <c r="U1460" s="1310" t="s">
        <v>1514</v>
      </c>
      <c r="V1460" s="1310" t="s">
        <v>1550</v>
      </c>
      <c r="W1460" s="1310" t="s">
        <v>1515</v>
      </c>
      <c r="X1460" s="1310" t="s">
        <v>1607</v>
      </c>
      <c r="Y1460" s="1310" t="s">
        <v>1479</v>
      </c>
      <c r="Z1460" s="1310" t="s">
        <v>1657</v>
      </c>
      <c r="AA1460" s="1310" t="s">
        <v>1452</v>
      </c>
      <c r="AB1460" s="1310" t="s">
        <v>1546</v>
      </c>
      <c r="AC1460" s="1310" t="s">
        <v>1505</v>
      </c>
      <c r="AD1460" s="1310" t="s">
        <v>1476</v>
      </c>
      <c r="AE1460" s="1310" t="s">
        <v>1576</v>
      </c>
      <c r="AF1460" s="1310" t="s">
        <v>1599</v>
      </c>
    </row>
    <row r="1461" spans="1:32" x14ac:dyDescent="0.3">
      <c r="A1461" s="1310" t="s">
        <v>1573</v>
      </c>
      <c r="B1461" s="1310" t="s">
        <v>1579</v>
      </c>
      <c r="C1461" s="1310" t="s">
        <v>1463</v>
      </c>
      <c r="D1461" s="1310" t="s">
        <v>1598</v>
      </c>
      <c r="E1461" s="1310" t="s">
        <v>1495</v>
      </c>
      <c r="F1461" s="1310" t="s">
        <v>1658</v>
      </c>
      <c r="G1461" s="1310" t="s">
        <v>1554</v>
      </c>
      <c r="H1461" s="1310" t="s">
        <v>1640</v>
      </c>
      <c r="I1461" s="1310" t="s">
        <v>1554</v>
      </c>
      <c r="J1461" s="1310" t="s">
        <v>1582</v>
      </c>
      <c r="K1461" s="1310" t="s">
        <v>1634</v>
      </c>
      <c r="L1461" s="1310" t="s">
        <v>1449</v>
      </c>
      <c r="M1461" s="1310" t="s">
        <v>133</v>
      </c>
      <c r="N1461" s="1310" t="s">
        <v>1587</v>
      </c>
      <c r="O1461" s="1310" t="s">
        <v>268</v>
      </c>
      <c r="P1461" s="1310" t="s">
        <v>1471</v>
      </c>
      <c r="Q1461" s="1310" t="s">
        <v>1574</v>
      </c>
      <c r="R1461" s="1310" t="s">
        <v>1570</v>
      </c>
      <c r="S1461" s="1310" t="s">
        <v>1459</v>
      </c>
      <c r="T1461" s="1310" t="s">
        <v>465</v>
      </c>
      <c r="U1461" s="1310" t="s">
        <v>1513</v>
      </c>
      <c r="V1461" s="1310" t="s">
        <v>1465</v>
      </c>
      <c r="W1461" s="1310" t="s">
        <v>1646</v>
      </c>
      <c r="X1461" s="1310" t="s">
        <v>121</v>
      </c>
      <c r="Y1461" s="1310" t="s">
        <v>117</v>
      </c>
      <c r="Z1461" s="1310" t="s">
        <v>1547</v>
      </c>
      <c r="AA1461" s="1310" t="s">
        <v>111</v>
      </c>
      <c r="AB1461" s="1310" t="s">
        <v>1635</v>
      </c>
      <c r="AC1461" s="1310" t="s">
        <v>1481</v>
      </c>
      <c r="AD1461" s="1310" t="s">
        <v>1581</v>
      </c>
      <c r="AE1461" s="1310" t="s">
        <v>1612</v>
      </c>
      <c r="AF1461" s="1310" t="s">
        <v>1600</v>
      </c>
    </row>
    <row r="1462" spans="1:32" x14ac:dyDescent="0.3">
      <c r="A1462" s="1310" t="s">
        <v>1482</v>
      </c>
      <c r="B1462" s="1310" t="s">
        <v>1461</v>
      </c>
      <c r="C1462" s="1310" t="s">
        <v>1475</v>
      </c>
      <c r="D1462" s="1310" t="s">
        <v>1539</v>
      </c>
      <c r="E1462" s="1310" t="s">
        <v>1564</v>
      </c>
      <c r="F1462" s="1310" t="s">
        <v>1520</v>
      </c>
      <c r="G1462" s="1310" t="s">
        <v>1629</v>
      </c>
      <c r="H1462" s="1310" t="s">
        <v>1504</v>
      </c>
      <c r="I1462" s="1310" t="s">
        <v>1465</v>
      </c>
      <c r="J1462" s="1310" t="s">
        <v>1618</v>
      </c>
      <c r="K1462" s="1310" t="s">
        <v>1629</v>
      </c>
      <c r="L1462" s="1310" t="s">
        <v>1446</v>
      </c>
      <c r="M1462" s="1310" t="s">
        <v>1492</v>
      </c>
      <c r="N1462" s="1310" t="s">
        <v>1590</v>
      </c>
      <c r="O1462" s="1310" t="s">
        <v>1557</v>
      </c>
      <c r="P1462" s="1310" t="s">
        <v>1460</v>
      </c>
      <c r="Q1462" s="1310" t="s">
        <v>1617</v>
      </c>
      <c r="R1462" s="1310" t="s">
        <v>120</v>
      </c>
      <c r="S1462" s="1310" t="s">
        <v>115</v>
      </c>
      <c r="T1462" s="1310" t="s">
        <v>1445</v>
      </c>
      <c r="U1462" s="1310" t="s">
        <v>1557</v>
      </c>
      <c r="V1462" s="1310" t="s">
        <v>1457</v>
      </c>
      <c r="W1462" s="1310" t="s">
        <v>1551</v>
      </c>
      <c r="X1462" s="1310" t="s">
        <v>1640</v>
      </c>
      <c r="Y1462" s="1310" t="s">
        <v>1655</v>
      </c>
      <c r="Z1462" s="1310" t="s">
        <v>1618</v>
      </c>
      <c r="AA1462" s="1310" t="s">
        <v>1515</v>
      </c>
      <c r="AB1462" s="1310" t="s">
        <v>1565</v>
      </c>
      <c r="AC1462" s="1310" t="s">
        <v>1455</v>
      </c>
      <c r="AD1462" s="1310" t="s">
        <v>1635</v>
      </c>
      <c r="AE1462" s="1310" t="s">
        <v>1549</v>
      </c>
      <c r="AF1462" s="1310" t="s">
        <v>1659</v>
      </c>
    </row>
    <row r="1463" spans="1:32" x14ac:dyDescent="0.3">
      <c r="A1463" s="1310" t="s">
        <v>1525</v>
      </c>
      <c r="B1463" s="1310" t="s">
        <v>1467</v>
      </c>
      <c r="C1463" s="1310" t="s">
        <v>1628</v>
      </c>
      <c r="D1463" s="1310" t="s">
        <v>1652</v>
      </c>
      <c r="E1463" s="1310" t="s">
        <v>1546</v>
      </c>
      <c r="F1463" s="1310" t="s">
        <v>1597</v>
      </c>
      <c r="G1463" s="1310" t="s">
        <v>1473</v>
      </c>
      <c r="H1463" s="1310" t="s">
        <v>1652</v>
      </c>
      <c r="I1463" s="1310" t="s">
        <v>1453</v>
      </c>
      <c r="J1463" s="1310" t="s">
        <v>1483</v>
      </c>
      <c r="K1463" s="1310" t="s">
        <v>1524</v>
      </c>
      <c r="L1463" s="1310" t="s">
        <v>1444</v>
      </c>
      <c r="M1463" s="1310" t="s">
        <v>1461</v>
      </c>
      <c r="N1463" s="1310" t="s">
        <v>1630</v>
      </c>
      <c r="O1463" s="1310" t="s">
        <v>116</v>
      </c>
      <c r="P1463" s="1310" t="s">
        <v>1618</v>
      </c>
      <c r="Q1463" s="1310" t="s">
        <v>1500</v>
      </c>
      <c r="R1463" s="1310" t="s">
        <v>1579</v>
      </c>
      <c r="S1463" s="1310" t="s">
        <v>1027</v>
      </c>
      <c r="T1463" s="1310" t="s">
        <v>1555</v>
      </c>
      <c r="U1463" s="1310" t="s">
        <v>267</v>
      </c>
      <c r="V1463" s="1310" t="s">
        <v>1635</v>
      </c>
      <c r="W1463" s="1310" t="s">
        <v>1444</v>
      </c>
      <c r="X1463" s="1310" t="s">
        <v>1445</v>
      </c>
      <c r="Y1463" s="1310" t="s">
        <v>1456</v>
      </c>
      <c r="Z1463" s="1310" t="s">
        <v>1482</v>
      </c>
      <c r="AA1463" s="1310" t="s">
        <v>1579</v>
      </c>
      <c r="AB1463" s="1310" t="s">
        <v>1493</v>
      </c>
      <c r="AC1463" s="1310" t="s">
        <v>1649</v>
      </c>
      <c r="AD1463" s="1310" t="s">
        <v>1576</v>
      </c>
      <c r="AE1463" s="1310" t="s">
        <v>1585</v>
      </c>
      <c r="AF1463" s="1310" t="s">
        <v>1464</v>
      </c>
    </row>
    <row r="1464" spans="1:32" x14ac:dyDescent="0.3">
      <c r="A1464" s="1310" t="s">
        <v>1529</v>
      </c>
      <c r="B1464" s="1310" t="s">
        <v>1585</v>
      </c>
      <c r="C1464" s="1310" t="s">
        <v>1646</v>
      </c>
      <c r="D1464" s="1310" t="s">
        <v>1624</v>
      </c>
      <c r="E1464" s="1310" t="s">
        <v>1462</v>
      </c>
      <c r="F1464" s="1310" t="s">
        <v>1623</v>
      </c>
      <c r="G1464" s="1310" t="s">
        <v>1655</v>
      </c>
      <c r="H1464" s="1310" t="s">
        <v>1480</v>
      </c>
      <c r="I1464" s="1310" t="s">
        <v>1567</v>
      </c>
      <c r="J1464" s="1310" t="s">
        <v>1634</v>
      </c>
      <c r="K1464" s="1310" t="s">
        <v>1561</v>
      </c>
      <c r="L1464" s="1310" t="s">
        <v>1481</v>
      </c>
      <c r="M1464" s="1310" t="s">
        <v>1561</v>
      </c>
      <c r="N1464" s="1310" t="s">
        <v>1613</v>
      </c>
      <c r="O1464" s="1310" t="s">
        <v>1485</v>
      </c>
      <c r="P1464" s="1310" t="s">
        <v>1561</v>
      </c>
      <c r="Q1464" s="1310" t="s">
        <v>1618</v>
      </c>
      <c r="R1464" s="1310" t="s">
        <v>1486</v>
      </c>
      <c r="S1464" s="1310" t="s">
        <v>1625</v>
      </c>
      <c r="T1464" s="1310" t="s">
        <v>1641</v>
      </c>
      <c r="U1464" s="1310" t="s">
        <v>1447</v>
      </c>
      <c r="V1464" s="1310" t="s">
        <v>1570</v>
      </c>
      <c r="W1464" s="1310" t="s">
        <v>1585</v>
      </c>
      <c r="X1464" s="1310" t="s">
        <v>111</v>
      </c>
      <c r="Y1464" s="1310" t="s">
        <v>1615</v>
      </c>
      <c r="Z1464" s="1310" t="s">
        <v>1656</v>
      </c>
      <c r="AA1464" s="1310" t="s">
        <v>1648</v>
      </c>
      <c r="AB1464" s="1310" t="s">
        <v>1660</v>
      </c>
      <c r="AC1464" s="1310" t="s">
        <v>123</v>
      </c>
      <c r="AD1464" s="1310" t="s">
        <v>1553</v>
      </c>
      <c r="AE1464" s="1310" t="s">
        <v>1534</v>
      </c>
      <c r="AF1464" s="1310" t="s">
        <v>1584</v>
      </c>
    </row>
    <row r="1465" spans="1:32" x14ac:dyDescent="0.3">
      <c r="A1465" s="1310" t="s">
        <v>1539</v>
      </c>
      <c r="B1465" s="1310" t="s">
        <v>1617</v>
      </c>
      <c r="C1465" s="1310" t="s">
        <v>1560</v>
      </c>
      <c r="D1465" s="1310" t="s">
        <v>1582</v>
      </c>
      <c r="E1465" s="1310" t="s">
        <v>1646</v>
      </c>
      <c r="F1465" s="1310" t="s">
        <v>1584</v>
      </c>
      <c r="G1465" s="1310" t="s">
        <v>1476</v>
      </c>
      <c r="H1465" s="1310" t="s">
        <v>1549</v>
      </c>
      <c r="I1465" s="1310" t="s">
        <v>1486</v>
      </c>
      <c r="J1465" s="1310" t="s">
        <v>1529</v>
      </c>
      <c r="K1465" s="1310" t="s">
        <v>1506</v>
      </c>
      <c r="L1465" s="1310" t="s">
        <v>1561</v>
      </c>
      <c r="M1465" s="1310" t="s">
        <v>6</v>
      </c>
      <c r="N1465" s="1310" t="s">
        <v>266</v>
      </c>
      <c r="O1465" s="1310" t="s">
        <v>113</v>
      </c>
      <c r="P1465" s="1310" t="s">
        <v>471</v>
      </c>
      <c r="Q1465" s="1310" t="s">
        <v>1648</v>
      </c>
      <c r="R1465" s="1310" t="s">
        <v>1443</v>
      </c>
      <c r="S1465" s="1310" t="s">
        <v>1450</v>
      </c>
      <c r="T1465" s="1310" t="s">
        <v>1602</v>
      </c>
      <c r="U1465" s="1310" t="s">
        <v>1479</v>
      </c>
      <c r="V1465" s="1310" t="s">
        <v>1638</v>
      </c>
      <c r="W1465" s="1310" t="s">
        <v>1572</v>
      </c>
      <c r="X1465" s="1310" t="s">
        <v>1575</v>
      </c>
      <c r="Y1465" s="1310" t="s">
        <v>1612</v>
      </c>
      <c r="Z1465" s="1310" t="s">
        <v>1637</v>
      </c>
      <c r="AA1465" s="1310" t="s">
        <v>1648</v>
      </c>
      <c r="AB1465" s="1310" t="s">
        <v>1577</v>
      </c>
      <c r="AC1465" s="1310" t="s">
        <v>1518</v>
      </c>
      <c r="AD1465" s="1310" t="s">
        <v>1604</v>
      </c>
      <c r="AE1465" s="1310" t="s">
        <v>1480</v>
      </c>
      <c r="AF1465" s="1310" t="s">
        <v>111</v>
      </c>
    </row>
    <row r="1466" spans="1:32" x14ac:dyDescent="0.3">
      <c r="A1466" s="1310" t="s">
        <v>1647</v>
      </c>
      <c r="B1466" s="1310" t="s">
        <v>1595</v>
      </c>
      <c r="C1466" s="1310" t="s">
        <v>1577</v>
      </c>
      <c r="D1466" s="1310" t="s">
        <v>1569</v>
      </c>
      <c r="E1466" s="1310" t="s">
        <v>1550</v>
      </c>
      <c r="F1466" s="1310" t="s">
        <v>1573</v>
      </c>
      <c r="G1466" s="1310" t="s">
        <v>1528</v>
      </c>
      <c r="H1466" s="1310" t="s">
        <v>266</v>
      </c>
      <c r="I1466" s="1310" t="s">
        <v>1650</v>
      </c>
      <c r="J1466" s="1310" t="s">
        <v>1463</v>
      </c>
      <c r="K1466" s="1310" t="s">
        <v>1526</v>
      </c>
      <c r="L1466" s="1310" t="s">
        <v>1500</v>
      </c>
      <c r="M1466" s="1310" t="s">
        <v>267</v>
      </c>
      <c r="N1466" s="1310" t="s">
        <v>1590</v>
      </c>
      <c r="O1466" s="1310" t="s">
        <v>1453</v>
      </c>
      <c r="P1466" s="1310" t="s">
        <v>1543</v>
      </c>
      <c r="Q1466" s="1310" t="s">
        <v>1576</v>
      </c>
      <c r="R1466" s="1310" t="s">
        <v>1464</v>
      </c>
      <c r="S1466" s="1310" t="s">
        <v>1496</v>
      </c>
      <c r="T1466" s="1310" t="s">
        <v>1557</v>
      </c>
      <c r="U1466" s="1310" t="s">
        <v>1509</v>
      </c>
      <c r="V1466" s="1310" t="s">
        <v>1554</v>
      </c>
      <c r="W1466" s="1310" t="s">
        <v>1452</v>
      </c>
      <c r="X1466" s="1310" t="s">
        <v>1621</v>
      </c>
      <c r="Y1466" s="1310" t="s">
        <v>1541</v>
      </c>
      <c r="Z1466" s="1310" t="s">
        <v>1444</v>
      </c>
      <c r="AA1466" s="1310" t="s">
        <v>465</v>
      </c>
      <c r="AB1466" s="1310" t="s">
        <v>114</v>
      </c>
      <c r="AC1466" s="1310" t="s">
        <v>1488</v>
      </c>
      <c r="AD1466" s="1310" t="s">
        <v>1455</v>
      </c>
      <c r="AE1466" s="1310" t="s">
        <v>1635</v>
      </c>
      <c r="AF1466" s="1310" t="s">
        <v>1549</v>
      </c>
    </row>
    <row r="1467" spans="1:32" x14ac:dyDescent="0.3">
      <c r="A1467" s="1310" t="s">
        <v>1644</v>
      </c>
      <c r="B1467" s="1310" t="s">
        <v>1632</v>
      </c>
      <c r="C1467" s="1310" t="s">
        <v>1575</v>
      </c>
      <c r="D1467" s="1310" t="s">
        <v>1443</v>
      </c>
      <c r="E1467" s="1310" t="s">
        <v>1617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tabColor rgb="FFFFC000"/>
  </sheetPr>
  <dimension ref="A1:S419"/>
  <sheetViews>
    <sheetView workbookViewId="0">
      <pane xSplit="2" ySplit="3" topLeftCell="C30" activePane="bottomRight" state="frozen"/>
      <selection activeCell="V2" sqref="V2:Z4"/>
      <selection pane="topRight" activeCell="V2" sqref="V2:Z4"/>
      <selection pane="bottomLeft" activeCell="V2" sqref="V2:Z4"/>
      <selection pane="bottomRight"/>
    </sheetView>
  </sheetViews>
  <sheetFormatPr defaultRowHeight="14.4" x14ac:dyDescent="0.3"/>
  <cols>
    <col min="1" max="1" width="8.6640625" style="657" customWidth="1"/>
    <col min="2" max="2" width="10.6640625" style="974" customWidth="1"/>
    <col min="3" max="3" width="20.6640625" style="975" customWidth="1"/>
    <col min="4" max="19" width="20.6640625" customWidth="1"/>
    <col min="20" max="24" width="50.6640625" customWidth="1"/>
  </cols>
  <sheetData>
    <row r="1" spans="1:4" s="687" customFormat="1" x14ac:dyDescent="0.3">
      <c r="A1" s="688" t="s">
        <v>613</v>
      </c>
      <c r="C1" s="689">
        <f>Taal01!$C$1</f>
        <v>1</v>
      </c>
    </row>
    <row r="2" spans="1:4" s="687" customFormat="1" x14ac:dyDescent="0.3">
      <c r="A2" s="688" t="s">
        <v>614</v>
      </c>
      <c r="C2" s="689">
        <f>$C$1+2</f>
        <v>3</v>
      </c>
    </row>
    <row r="3" spans="1:4" s="659" customFormat="1" x14ac:dyDescent="0.3">
      <c r="A3" s="658" t="s">
        <v>546</v>
      </c>
      <c r="B3" s="979" t="s">
        <v>605</v>
      </c>
      <c r="C3" s="659" t="s">
        <v>547</v>
      </c>
      <c r="D3" s="659" t="s">
        <v>412</v>
      </c>
    </row>
    <row r="4" spans="1:4" s="661" customFormat="1" x14ac:dyDescent="0.3">
      <c r="A4" s="660"/>
      <c r="B4" s="980"/>
      <c r="C4" s="976"/>
    </row>
    <row r="5" spans="1:4" s="662" customFormat="1" x14ac:dyDescent="0.3">
      <c r="A5" s="665" t="s">
        <v>951</v>
      </c>
      <c r="B5" s="981"/>
      <c r="C5" s="977"/>
    </row>
    <row r="6" spans="1:4" s="661" customFormat="1" x14ac:dyDescent="0.3">
      <c r="A6" s="664" t="str">
        <f>"02-B-001"</f>
        <v>02-B-001</v>
      </c>
      <c r="B6" s="982" t="str">
        <f t="shared" ref="B6:B45" ca="1" si="0">INDIRECT(CHAR(64+$C$2)&amp;ROW())</f>
        <v>Groep A</v>
      </c>
      <c r="C6" s="978" t="s">
        <v>9</v>
      </c>
      <c r="D6" s="677" t="s">
        <v>586</v>
      </c>
    </row>
    <row r="7" spans="1:4" s="675" customFormat="1" x14ac:dyDescent="0.3">
      <c r="A7" s="663" t="str">
        <f>LEFT(A6,5)&amp;RIGHT("000"&amp;RIGHT(A6,3)*1+1,3)</f>
        <v>02-B-002</v>
      </c>
      <c r="B7" s="983" t="str">
        <f t="shared" ca="1" si="0"/>
        <v>Turkije</v>
      </c>
      <c r="C7" s="662" t="s">
        <v>962</v>
      </c>
      <c r="D7" s="662" t="s">
        <v>900</v>
      </c>
    </row>
    <row r="8" spans="1:4" s="661" customFormat="1" x14ac:dyDescent="0.3">
      <c r="A8" s="664" t="str">
        <f t="shared" ref="A8:A23" si="1">LEFT(A7,5)&amp;RIGHT("000"&amp;RIGHT(A7,3)*1+1,3)</f>
        <v>02-B-003</v>
      </c>
      <c r="B8" s="965" t="str">
        <f t="shared" ca="1" si="0"/>
        <v>Italië</v>
      </c>
      <c r="C8" s="661" t="s">
        <v>915</v>
      </c>
      <c r="D8" s="661" t="s">
        <v>901</v>
      </c>
    </row>
    <row r="9" spans="1:4" s="662" customFormat="1" x14ac:dyDescent="0.3">
      <c r="A9" s="663" t="str">
        <f t="shared" si="1"/>
        <v>02-B-004</v>
      </c>
      <c r="B9" s="983" t="str">
        <f t="shared" ca="1" si="0"/>
        <v>Wales</v>
      </c>
      <c r="C9" s="662" t="s">
        <v>902</v>
      </c>
      <c r="D9" s="662" t="s">
        <v>902</v>
      </c>
    </row>
    <row r="10" spans="1:4" s="661" customFormat="1" x14ac:dyDescent="0.3">
      <c r="A10" s="664" t="str">
        <f t="shared" si="1"/>
        <v>02-B-005</v>
      </c>
      <c r="B10" s="965" t="str">
        <f t="shared" ca="1" si="0"/>
        <v>Zwitserland</v>
      </c>
      <c r="C10" s="661" t="s">
        <v>916</v>
      </c>
      <c r="D10" s="661" t="s">
        <v>596</v>
      </c>
    </row>
    <row r="11" spans="1:4" s="662" customFormat="1" x14ac:dyDescent="0.3">
      <c r="A11" s="663" t="str">
        <f t="shared" si="1"/>
        <v>02-B-006</v>
      </c>
      <c r="B11" s="962" t="str">
        <f t="shared" ca="1" si="0"/>
        <v>Groep B</v>
      </c>
      <c r="C11" s="950" t="s">
        <v>14</v>
      </c>
      <c r="D11" s="675" t="s">
        <v>588</v>
      </c>
    </row>
    <row r="12" spans="1:4" s="677" customFormat="1" x14ac:dyDescent="0.3">
      <c r="A12" s="676" t="str">
        <f t="shared" si="1"/>
        <v>02-B-007</v>
      </c>
      <c r="B12" s="965" t="str">
        <f t="shared" ca="1" si="0"/>
        <v>Denemarken</v>
      </c>
      <c r="C12" s="976" t="s">
        <v>917</v>
      </c>
      <c r="D12" s="661" t="s">
        <v>592</v>
      </c>
    </row>
    <row r="13" spans="1:4" s="662" customFormat="1" x14ac:dyDescent="0.3">
      <c r="A13" s="663" t="str">
        <f t="shared" si="1"/>
        <v>02-B-008</v>
      </c>
      <c r="B13" s="983" t="str">
        <f t="shared" ca="1" si="0"/>
        <v>Finland</v>
      </c>
      <c r="C13" s="977" t="s">
        <v>903</v>
      </c>
      <c r="D13" s="662" t="s">
        <v>903</v>
      </c>
    </row>
    <row r="14" spans="1:4" s="661" customFormat="1" x14ac:dyDescent="0.3">
      <c r="A14" s="664" t="str">
        <f t="shared" si="1"/>
        <v>02-B-009</v>
      </c>
      <c r="B14" s="965" t="str">
        <f t="shared" ca="1" si="0"/>
        <v>België</v>
      </c>
      <c r="C14" s="976" t="s">
        <v>470</v>
      </c>
      <c r="D14" s="661" t="s">
        <v>601</v>
      </c>
    </row>
    <row r="15" spans="1:4" s="662" customFormat="1" x14ac:dyDescent="0.3">
      <c r="A15" s="663" t="str">
        <f t="shared" si="1"/>
        <v>02-B-010</v>
      </c>
      <c r="B15" s="983" t="str">
        <f t="shared" ca="1" si="0"/>
        <v>Rusland</v>
      </c>
      <c r="C15" s="977" t="s">
        <v>90</v>
      </c>
      <c r="D15" s="662" t="s">
        <v>587</v>
      </c>
    </row>
    <row r="16" spans="1:4" s="661" customFormat="1" x14ac:dyDescent="0.3">
      <c r="A16" s="664" t="str">
        <f t="shared" si="1"/>
        <v>02-B-011</v>
      </c>
      <c r="B16" s="982" t="str">
        <f t="shared" ca="1" si="0"/>
        <v>Groep C</v>
      </c>
      <c r="C16" s="978" t="s">
        <v>22</v>
      </c>
      <c r="D16" s="677" t="s">
        <v>590</v>
      </c>
    </row>
    <row r="17" spans="1:4" s="675" customFormat="1" x14ac:dyDescent="0.3">
      <c r="A17" s="674" t="str">
        <f t="shared" si="1"/>
        <v>02-B-012</v>
      </c>
      <c r="B17" s="983" t="str">
        <f t="shared" ca="1" si="0"/>
        <v>Nederland</v>
      </c>
      <c r="C17" s="977" t="s">
        <v>918</v>
      </c>
      <c r="D17" s="662" t="s">
        <v>904</v>
      </c>
    </row>
    <row r="18" spans="1:4" s="661" customFormat="1" x14ac:dyDescent="0.3">
      <c r="A18" s="664" t="str">
        <f t="shared" si="1"/>
        <v>02-B-013</v>
      </c>
      <c r="B18" s="965" t="str">
        <f t="shared" ca="1" si="0"/>
        <v>Oekraïne</v>
      </c>
      <c r="C18" s="976" t="s">
        <v>919</v>
      </c>
      <c r="D18" s="661" t="s">
        <v>905</v>
      </c>
    </row>
    <row r="19" spans="1:4" s="662" customFormat="1" x14ac:dyDescent="0.3">
      <c r="A19" s="663" t="str">
        <f t="shared" si="1"/>
        <v>02-B-014</v>
      </c>
      <c r="B19" s="983" t="str">
        <f t="shared" ca="1" si="0"/>
        <v>Oostenrijk</v>
      </c>
      <c r="C19" s="977" t="s">
        <v>920</v>
      </c>
      <c r="D19" s="662" t="s">
        <v>906</v>
      </c>
    </row>
    <row r="20" spans="1:4" s="661" customFormat="1" x14ac:dyDescent="0.3">
      <c r="A20" s="664" t="str">
        <f t="shared" si="1"/>
        <v>02-B-015</v>
      </c>
      <c r="B20" s="965" t="str">
        <f t="shared" ca="1" si="0"/>
        <v>N.-Macedonië</v>
      </c>
      <c r="C20" s="976" t="s">
        <v>961</v>
      </c>
      <c r="D20" s="661" t="s">
        <v>959</v>
      </c>
    </row>
    <row r="21" spans="1:4" s="662" customFormat="1" x14ac:dyDescent="0.3">
      <c r="A21" s="663" t="str">
        <f t="shared" si="1"/>
        <v>02-B-016</v>
      </c>
      <c r="B21" s="962" t="str">
        <f t="shared" ca="1" si="0"/>
        <v>Groep D</v>
      </c>
      <c r="C21" s="950" t="s">
        <v>23</v>
      </c>
      <c r="D21" s="675" t="s">
        <v>593</v>
      </c>
    </row>
    <row r="22" spans="1:4" s="677" customFormat="1" x14ac:dyDescent="0.3">
      <c r="A22" s="676" t="str">
        <f t="shared" si="1"/>
        <v>02-B-017</v>
      </c>
      <c r="B22" s="965" t="str">
        <f t="shared" ca="1" si="0"/>
        <v>Engeland</v>
      </c>
      <c r="C22" s="976" t="s">
        <v>921</v>
      </c>
      <c r="D22" s="661" t="s">
        <v>602</v>
      </c>
    </row>
    <row r="23" spans="1:4" s="662" customFormat="1" x14ac:dyDescent="0.3">
      <c r="A23" s="663" t="str">
        <f t="shared" si="1"/>
        <v>02-B-018</v>
      </c>
      <c r="B23" s="983" t="str">
        <f t="shared" ca="1" si="0"/>
        <v>Kroatië</v>
      </c>
      <c r="C23" s="977" t="s">
        <v>922</v>
      </c>
      <c r="D23" s="662" t="s">
        <v>594</v>
      </c>
    </row>
    <row r="24" spans="1:4" s="661" customFormat="1" x14ac:dyDescent="0.3">
      <c r="A24" s="664" t="str">
        <f>LEFT(A23,5)&amp;RIGHT("000"&amp;RIGHT(A23,3)*1+1,3)</f>
        <v>02-B-019</v>
      </c>
      <c r="B24" s="965" t="str">
        <f t="shared" ca="1" si="0"/>
        <v>Schotland</v>
      </c>
      <c r="C24" s="976" t="s">
        <v>1374</v>
      </c>
      <c r="D24" s="661" t="s">
        <v>1377</v>
      </c>
    </row>
    <row r="25" spans="1:4" s="662" customFormat="1" x14ac:dyDescent="0.3">
      <c r="A25" s="663" t="str">
        <f t="shared" ref="A25:A41" si="2">LEFT(A24,5)&amp;RIGHT("000"&amp;RIGHT(A24,3)*1+1,3)</f>
        <v>02-B-020</v>
      </c>
      <c r="B25" s="983" t="str">
        <f t="shared" ca="1" si="0"/>
        <v>Tsjechië</v>
      </c>
      <c r="C25" s="977" t="s">
        <v>923</v>
      </c>
      <c r="D25" s="662" t="s">
        <v>960</v>
      </c>
    </row>
    <row r="26" spans="1:4" s="661" customFormat="1" x14ac:dyDescent="0.3">
      <c r="A26" s="664" t="str">
        <f t="shared" si="2"/>
        <v>02-B-021</v>
      </c>
      <c r="B26" s="982" t="str">
        <f t="shared" ca="1" si="0"/>
        <v>Groep E</v>
      </c>
      <c r="C26" s="978" t="s">
        <v>106</v>
      </c>
      <c r="D26" s="677" t="s">
        <v>595</v>
      </c>
    </row>
    <row r="27" spans="1:4" s="675" customFormat="1" x14ac:dyDescent="0.3">
      <c r="A27" s="674" t="str">
        <f t="shared" si="2"/>
        <v>02-B-022</v>
      </c>
      <c r="B27" s="983" t="str">
        <f t="shared" ca="1" si="0"/>
        <v>Spanje</v>
      </c>
      <c r="C27" s="977" t="s">
        <v>924</v>
      </c>
      <c r="D27" s="662" t="s">
        <v>589</v>
      </c>
    </row>
    <row r="28" spans="1:4" s="661" customFormat="1" x14ac:dyDescent="0.3">
      <c r="A28" s="664" t="str">
        <f t="shared" si="2"/>
        <v>02-B-023</v>
      </c>
      <c r="B28" s="965" t="str">
        <f t="shared" ca="1" si="0"/>
        <v>Zweden</v>
      </c>
      <c r="C28" s="976" t="s">
        <v>925</v>
      </c>
      <c r="D28" s="661" t="s">
        <v>599</v>
      </c>
    </row>
    <row r="29" spans="1:4" s="662" customFormat="1" x14ac:dyDescent="0.3">
      <c r="A29" s="663" t="str">
        <f t="shared" si="2"/>
        <v>02-B-024</v>
      </c>
      <c r="B29" s="983" t="str">
        <f t="shared" ca="1" si="0"/>
        <v>Polen</v>
      </c>
      <c r="C29" s="977" t="s">
        <v>926</v>
      </c>
      <c r="D29" s="662" t="s">
        <v>604</v>
      </c>
    </row>
    <row r="30" spans="1:4" s="661" customFormat="1" x14ac:dyDescent="0.3">
      <c r="A30" s="664" t="str">
        <f t="shared" si="2"/>
        <v>02-B-025</v>
      </c>
      <c r="B30" s="965" t="str">
        <f t="shared" ca="1" si="0"/>
        <v>Slowakije</v>
      </c>
      <c r="C30" s="976" t="s">
        <v>1375</v>
      </c>
      <c r="D30" s="661" t="s">
        <v>1378</v>
      </c>
    </row>
    <row r="31" spans="1:4" s="662" customFormat="1" x14ac:dyDescent="0.3">
      <c r="A31" s="663" t="str">
        <f t="shared" si="2"/>
        <v>02-B-026</v>
      </c>
      <c r="B31" s="962" t="str">
        <f t="shared" ca="1" si="0"/>
        <v>Groep F</v>
      </c>
      <c r="C31" s="950" t="s">
        <v>107</v>
      </c>
      <c r="D31" s="675" t="s">
        <v>597</v>
      </c>
    </row>
    <row r="32" spans="1:4" s="677" customFormat="1" x14ac:dyDescent="0.3">
      <c r="A32" s="676" t="str">
        <f t="shared" si="2"/>
        <v>02-B-027</v>
      </c>
      <c r="B32" s="965" t="str">
        <f t="shared" ca="1" si="0"/>
        <v>Hongarije</v>
      </c>
      <c r="C32" s="976" t="s">
        <v>1376</v>
      </c>
      <c r="D32" s="661" t="s">
        <v>1379</v>
      </c>
    </row>
    <row r="33" spans="1:8" s="662" customFormat="1" x14ac:dyDescent="0.3">
      <c r="A33" s="663" t="str">
        <f t="shared" si="2"/>
        <v>02-B-028</v>
      </c>
      <c r="B33" s="983" t="str">
        <f t="shared" ca="1" si="0"/>
        <v>Portugal</v>
      </c>
      <c r="C33" s="977" t="s">
        <v>473</v>
      </c>
      <c r="D33" s="662" t="s">
        <v>473</v>
      </c>
    </row>
    <row r="34" spans="1:8" s="661" customFormat="1" x14ac:dyDescent="0.3">
      <c r="A34" s="664" t="str">
        <f t="shared" si="2"/>
        <v>02-B-029</v>
      </c>
      <c r="B34" s="965" t="str">
        <f t="shared" ca="1" si="0"/>
        <v>Frankrijk</v>
      </c>
      <c r="C34" s="976" t="s">
        <v>472</v>
      </c>
      <c r="D34" s="661" t="s">
        <v>591</v>
      </c>
    </row>
    <row r="35" spans="1:8" s="662" customFormat="1" x14ac:dyDescent="0.3">
      <c r="A35" s="663" t="str">
        <f t="shared" si="2"/>
        <v>02-B-030</v>
      </c>
      <c r="B35" s="983" t="str">
        <f t="shared" ca="1" si="0"/>
        <v>Duitsland</v>
      </c>
      <c r="C35" s="977" t="s">
        <v>1</v>
      </c>
      <c r="D35" s="662" t="s">
        <v>598</v>
      </c>
    </row>
    <row r="36" spans="1:8" s="661" customFormat="1" x14ac:dyDescent="0.3">
      <c r="A36" s="664" t="str">
        <f t="shared" si="2"/>
        <v>02-B-031</v>
      </c>
      <c r="B36" s="982" t="str">
        <f t="shared" ca="1" si="0"/>
        <v>Groep G</v>
      </c>
      <c r="C36" s="978" t="s">
        <v>108</v>
      </c>
      <c r="D36" s="677" t="s">
        <v>600</v>
      </c>
    </row>
    <row r="37" spans="1:8" s="675" customFormat="1" x14ac:dyDescent="0.3">
      <c r="A37" s="674" t="str">
        <f t="shared" si="2"/>
        <v>02-B-032</v>
      </c>
      <c r="B37" s="983" t="str">
        <f t="shared" ca="1" si="0"/>
        <v>Land G1</v>
      </c>
      <c r="C37" s="662" t="s">
        <v>844</v>
      </c>
      <c r="D37" s="662" t="s">
        <v>907</v>
      </c>
    </row>
    <row r="38" spans="1:8" s="661" customFormat="1" x14ac:dyDescent="0.3">
      <c r="A38" s="664" t="str">
        <f t="shared" si="2"/>
        <v>02-B-033</v>
      </c>
      <c r="B38" s="965" t="str">
        <f t="shared" ca="1" si="0"/>
        <v>Land G2</v>
      </c>
      <c r="C38" s="661" t="s">
        <v>845</v>
      </c>
      <c r="D38" s="661" t="s">
        <v>908</v>
      </c>
    </row>
    <row r="39" spans="1:8" s="662" customFormat="1" x14ac:dyDescent="0.3">
      <c r="A39" s="663" t="str">
        <f t="shared" si="2"/>
        <v>02-B-034</v>
      </c>
      <c r="B39" s="983" t="str">
        <f t="shared" ca="1" si="0"/>
        <v>Land G3</v>
      </c>
      <c r="C39" s="662" t="s">
        <v>846</v>
      </c>
      <c r="D39" s="662" t="s">
        <v>909</v>
      </c>
    </row>
    <row r="40" spans="1:8" s="661" customFormat="1" x14ac:dyDescent="0.3">
      <c r="A40" s="664" t="str">
        <f t="shared" si="2"/>
        <v>02-B-035</v>
      </c>
      <c r="B40" s="965" t="str">
        <f t="shared" ca="1" si="0"/>
        <v>Land G4</v>
      </c>
      <c r="C40" s="661" t="s">
        <v>847</v>
      </c>
      <c r="D40" s="661" t="s">
        <v>910</v>
      </c>
    </row>
    <row r="41" spans="1:8" s="662" customFormat="1" x14ac:dyDescent="0.3">
      <c r="A41" s="663" t="str">
        <f t="shared" si="2"/>
        <v>02-B-036</v>
      </c>
      <c r="B41" s="962" t="str">
        <f t="shared" ca="1" si="0"/>
        <v>Groep H</v>
      </c>
      <c r="C41" s="950" t="s">
        <v>109</v>
      </c>
      <c r="D41" s="675" t="s">
        <v>603</v>
      </c>
    </row>
    <row r="42" spans="1:8" s="711" customFormat="1" x14ac:dyDescent="0.3">
      <c r="A42" s="664" t="str">
        <f>LEFT(A41,5)&amp;RIGHT("000"&amp;RIGHT(A41,3)*1+1,3)</f>
        <v>02-B-037</v>
      </c>
      <c r="B42" s="965" t="str">
        <f t="shared" ca="1" si="0"/>
        <v>Land H1</v>
      </c>
      <c r="C42" s="711" t="s">
        <v>848</v>
      </c>
      <c r="D42" s="711" t="s">
        <v>914</v>
      </c>
      <c r="E42" s="951"/>
      <c r="F42" s="951"/>
      <c r="G42" s="951"/>
      <c r="H42" s="951"/>
    </row>
    <row r="43" spans="1:8" s="747" customFormat="1" x14ac:dyDescent="0.3">
      <c r="A43" s="663" t="str">
        <f t="shared" ref="A43:A89" si="3">LEFT(A42,5)&amp;RIGHT("000"&amp;RIGHT(A42,3)*1+1,3)</f>
        <v>02-B-038</v>
      </c>
      <c r="B43" s="983" t="str">
        <f t="shared" ca="1" si="0"/>
        <v>Land H2</v>
      </c>
      <c r="C43" s="747" t="s">
        <v>849</v>
      </c>
      <c r="D43" s="747" t="s">
        <v>911</v>
      </c>
      <c r="E43" s="1015"/>
      <c r="F43" s="1015"/>
      <c r="G43" s="1015"/>
      <c r="H43" s="1015"/>
    </row>
    <row r="44" spans="1:8" s="711" customFormat="1" x14ac:dyDescent="0.3">
      <c r="A44" s="664" t="str">
        <f t="shared" si="3"/>
        <v>02-B-039</v>
      </c>
      <c r="B44" s="965" t="str">
        <f t="shared" ca="1" si="0"/>
        <v>Land H3</v>
      </c>
      <c r="C44" s="711" t="s">
        <v>850</v>
      </c>
      <c r="D44" s="711" t="s">
        <v>912</v>
      </c>
      <c r="E44" s="951"/>
      <c r="F44" s="951"/>
      <c r="G44" s="951"/>
      <c r="H44" s="951"/>
    </row>
    <row r="45" spans="1:8" s="667" customFormat="1" x14ac:dyDescent="0.3">
      <c r="A45" s="681" t="str">
        <f t="shared" si="3"/>
        <v>02-B-040</v>
      </c>
      <c r="B45" s="964" t="str">
        <f t="shared" ca="1" si="0"/>
        <v>Land H4</v>
      </c>
      <c r="C45" s="667" t="s">
        <v>851</v>
      </c>
      <c r="D45" s="667" t="s">
        <v>913</v>
      </c>
      <c r="E45" s="713"/>
      <c r="F45" s="713"/>
      <c r="G45" s="713"/>
      <c r="H45" s="713"/>
    </row>
    <row r="46" spans="1:8" s="673" customFormat="1" x14ac:dyDescent="0.3">
      <c r="A46" s="671" t="str">
        <f t="shared" si="3"/>
        <v>02-B-041</v>
      </c>
      <c r="B46" s="984"/>
    </row>
    <row r="47" spans="1:8" s="670" customFormat="1" x14ac:dyDescent="0.3">
      <c r="A47" s="668" t="str">
        <f t="shared" si="3"/>
        <v>02-B-042</v>
      </c>
      <c r="B47" s="967"/>
      <c r="C47" s="954" t="s">
        <v>952</v>
      </c>
    </row>
    <row r="48" spans="1:8" s="666" customFormat="1" x14ac:dyDescent="0.3">
      <c r="A48" s="682" t="str">
        <f t="shared" si="3"/>
        <v>02-B-043</v>
      </c>
      <c r="B48" s="963" t="str">
        <f ca="1">INDIRECT(CHAR(64+$C$2)&amp;ROW())</f>
        <v>B3B1F4D1B2F3F1A2D2C1C4C2C3E3F2B4D3E4E1D4A1A3E2A4G1G2G3G4H1H2H3H4</v>
      </c>
      <c r="C48" s="712" t="s">
        <v>1380</v>
      </c>
      <c r="D48" s="666" t="s">
        <v>1381</v>
      </c>
    </row>
    <row r="49" spans="1:4" s="670" customFormat="1" x14ac:dyDescent="0.3">
      <c r="A49" s="668" t="str">
        <f t="shared" si="3"/>
        <v>02-B-044</v>
      </c>
      <c r="B49" s="967"/>
      <c r="C49" s="954"/>
    </row>
    <row r="50" spans="1:4" s="673" customFormat="1" x14ac:dyDescent="0.3">
      <c r="A50" s="671" t="str">
        <f t="shared" si="3"/>
        <v>02-B-045</v>
      </c>
      <c r="B50" s="966"/>
      <c r="C50" s="953"/>
    </row>
    <row r="51" spans="1:4" s="667" customFormat="1" x14ac:dyDescent="0.3">
      <c r="A51" s="681" t="str">
        <f t="shared" si="3"/>
        <v>02-B-046</v>
      </c>
      <c r="B51" s="983" t="str">
        <f t="shared" ref="B51:B82" ca="1" si="4">INDIRECT(CHAR(64+$C$2)&amp;ROW())</f>
        <v>Belgische elftal</v>
      </c>
      <c r="C51" s="713" t="s">
        <v>1087</v>
      </c>
      <c r="D51" s="667" t="s">
        <v>1390</v>
      </c>
    </row>
    <row r="52" spans="1:4" s="666" customFormat="1" x14ac:dyDescent="0.3">
      <c r="A52" s="682" t="str">
        <f t="shared" si="3"/>
        <v>02-B-047</v>
      </c>
      <c r="B52" s="965" t="str">
        <f t="shared" ca="1" si="4"/>
        <v>Deense elftal</v>
      </c>
      <c r="C52" s="712" t="s">
        <v>1088</v>
      </c>
      <c r="D52" s="666" t="s">
        <v>1107</v>
      </c>
    </row>
    <row r="53" spans="1:4" s="667" customFormat="1" x14ac:dyDescent="0.3">
      <c r="A53" s="681" t="str">
        <f t="shared" si="3"/>
        <v>02-B-048</v>
      </c>
      <c r="B53" s="983" t="str">
        <f t="shared" ca="1" si="4"/>
        <v>Duitse elftal</v>
      </c>
      <c r="C53" s="713" t="s">
        <v>1089</v>
      </c>
      <c r="D53" s="667" t="s">
        <v>1108</v>
      </c>
    </row>
    <row r="54" spans="1:4" s="666" customFormat="1" x14ac:dyDescent="0.3">
      <c r="A54" s="682" t="str">
        <f t="shared" si="3"/>
        <v>02-B-049</v>
      </c>
      <c r="B54" s="965" t="str">
        <f t="shared" ca="1" si="4"/>
        <v>Engelse elftal</v>
      </c>
      <c r="C54" s="712" t="s">
        <v>1090</v>
      </c>
      <c r="D54" s="666" t="s">
        <v>1109</v>
      </c>
    </row>
    <row r="55" spans="1:4" s="667" customFormat="1" x14ac:dyDescent="0.3">
      <c r="A55" s="681" t="str">
        <f t="shared" si="3"/>
        <v>02-B-050</v>
      </c>
      <c r="B55" s="983" t="str">
        <f t="shared" ca="1" si="4"/>
        <v>Finse elftal</v>
      </c>
      <c r="C55" s="713" t="s">
        <v>1091</v>
      </c>
      <c r="D55" s="667" t="s">
        <v>1110</v>
      </c>
    </row>
    <row r="56" spans="1:4" s="666" customFormat="1" x14ac:dyDescent="0.3">
      <c r="A56" s="682" t="str">
        <f t="shared" si="3"/>
        <v>02-B-051</v>
      </c>
      <c r="B56" s="965" t="str">
        <f t="shared" ca="1" si="4"/>
        <v>Franse elftal</v>
      </c>
      <c r="C56" s="712" t="s">
        <v>1092</v>
      </c>
      <c r="D56" s="666" t="s">
        <v>1111</v>
      </c>
    </row>
    <row r="57" spans="1:4" s="667" customFormat="1" x14ac:dyDescent="0.3">
      <c r="A57" s="681" t="str">
        <f t="shared" si="3"/>
        <v>02-B-052</v>
      </c>
      <c r="B57" s="983" t="str">
        <f t="shared" ca="1" si="4"/>
        <v>Hongaarse elftal</v>
      </c>
      <c r="C57" s="713" t="s">
        <v>1389</v>
      </c>
      <c r="D57" s="667" t="s">
        <v>1397</v>
      </c>
    </row>
    <row r="58" spans="1:4" s="666" customFormat="1" x14ac:dyDescent="0.3">
      <c r="A58" s="682" t="str">
        <f t="shared" si="3"/>
        <v>02-B-053</v>
      </c>
      <c r="B58" s="965" t="str">
        <f t="shared" ca="1" si="4"/>
        <v>Italiaanse elftal</v>
      </c>
      <c r="C58" s="712" t="s">
        <v>1093</v>
      </c>
      <c r="D58" s="666" t="s">
        <v>1112</v>
      </c>
    </row>
    <row r="59" spans="1:4" s="667" customFormat="1" x14ac:dyDescent="0.3">
      <c r="A59" s="681" t="str">
        <f t="shared" si="3"/>
        <v>02-B-054</v>
      </c>
      <c r="B59" s="983" t="str">
        <f t="shared" ca="1" si="4"/>
        <v>Kroatische elftal</v>
      </c>
      <c r="C59" s="713" t="s">
        <v>1094</v>
      </c>
      <c r="D59" s="667" t="s">
        <v>1391</v>
      </c>
    </row>
    <row r="60" spans="1:4" s="666" customFormat="1" x14ac:dyDescent="0.3">
      <c r="A60" s="682" t="str">
        <f t="shared" si="3"/>
        <v>02-B-055</v>
      </c>
      <c r="B60" s="965" t="str">
        <f t="shared" ca="1" si="4"/>
        <v>Nederlandse elftal</v>
      </c>
      <c r="C60" s="712" t="s">
        <v>1095</v>
      </c>
      <c r="D60" s="666" t="s">
        <v>1113</v>
      </c>
    </row>
    <row r="61" spans="1:4" s="667" customFormat="1" x14ac:dyDescent="0.3">
      <c r="A61" s="681" t="str">
        <f t="shared" si="3"/>
        <v>02-B-056</v>
      </c>
      <c r="B61" s="983" t="str">
        <f t="shared" ca="1" si="4"/>
        <v>N. Macedonische elftal</v>
      </c>
      <c r="C61" s="713" t="s">
        <v>1386</v>
      </c>
      <c r="D61" s="667" t="s">
        <v>1394</v>
      </c>
    </row>
    <row r="62" spans="1:4" s="666" customFormat="1" x14ac:dyDescent="0.3">
      <c r="A62" s="682" t="str">
        <f t="shared" si="3"/>
        <v>02-B-057</v>
      </c>
      <c r="B62" s="965" t="str">
        <f t="shared" ca="1" si="4"/>
        <v>Oekraïense elftal</v>
      </c>
      <c r="C62" s="712" t="s">
        <v>1096</v>
      </c>
      <c r="D62" s="666" t="s">
        <v>1392</v>
      </c>
    </row>
    <row r="63" spans="1:4" s="667" customFormat="1" x14ac:dyDescent="0.3">
      <c r="A63" s="681" t="str">
        <f t="shared" si="3"/>
        <v>02-B-058</v>
      </c>
      <c r="B63" s="983" t="str">
        <f t="shared" ca="1" si="4"/>
        <v>Oostenrijkse elftal</v>
      </c>
      <c r="C63" s="713" t="s">
        <v>1097</v>
      </c>
      <c r="D63" s="667" t="s">
        <v>1393</v>
      </c>
    </row>
    <row r="64" spans="1:4" s="666" customFormat="1" x14ac:dyDescent="0.3">
      <c r="A64" s="682" t="str">
        <f t="shared" si="3"/>
        <v>02-B-059</v>
      </c>
      <c r="B64" s="965" t="str">
        <f t="shared" ca="1" si="4"/>
        <v>Poolse elftal</v>
      </c>
      <c r="C64" s="712" t="s">
        <v>1098</v>
      </c>
      <c r="D64" s="666" t="s">
        <v>1398</v>
      </c>
    </row>
    <row r="65" spans="1:4" s="667" customFormat="1" x14ac:dyDescent="0.3">
      <c r="A65" s="681" t="str">
        <f t="shared" si="3"/>
        <v>02-B-060</v>
      </c>
      <c r="B65" s="983" t="str">
        <f t="shared" ca="1" si="4"/>
        <v>Portugese elftal</v>
      </c>
      <c r="C65" s="713" t="s">
        <v>1106</v>
      </c>
      <c r="D65" s="667" t="s">
        <v>1399</v>
      </c>
    </row>
    <row r="66" spans="1:4" s="666" customFormat="1" x14ac:dyDescent="0.3">
      <c r="A66" s="682" t="str">
        <f t="shared" si="3"/>
        <v>02-B-061</v>
      </c>
      <c r="B66" s="965" t="str">
        <f t="shared" ca="1" si="4"/>
        <v>Russische elftal</v>
      </c>
      <c r="C66" s="712" t="s">
        <v>1099</v>
      </c>
      <c r="D66" s="666" t="s">
        <v>1114</v>
      </c>
    </row>
    <row r="67" spans="1:4" s="667" customFormat="1" x14ac:dyDescent="0.3">
      <c r="A67" s="681" t="str">
        <f t="shared" si="3"/>
        <v>02-B-062</v>
      </c>
      <c r="B67" s="983" t="str">
        <f t="shared" ca="1" si="4"/>
        <v>Schotse elftal</v>
      </c>
      <c r="C67" s="713" t="s">
        <v>1387</v>
      </c>
      <c r="D67" s="667" t="s">
        <v>1395</v>
      </c>
    </row>
    <row r="68" spans="1:4" s="666" customFormat="1" x14ac:dyDescent="0.3">
      <c r="A68" s="682" t="str">
        <f t="shared" si="3"/>
        <v>02-B-063</v>
      </c>
      <c r="B68" s="965" t="str">
        <f t="shared" ca="1" si="4"/>
        <v>Slowaakse elftal</v>
      </c>
      <c r="C68" s="712" t="s">
        <v>1388</v>
      </c>
      <c r="D68" s="666" t="s">
        <v>1396</v>
      </c>
    </row>
    <row r="69" spans="1:4" s="667" customFormat="1" x14ac:dyDescent="0.3">
      <c r="A69" s="681" t="str">
        <f t="shared" si="3"/>
        <v>02-B-064</v>
      </c>
      <c r="B69" s="983" t="str">
        <f t="shared" ca="1" si="4"/>
        <v>Spaanse elftal</v>
      </c>
      <c r="C69" s="713" t="s">
        <v>1100</v>
      </c>
      <c r="D69" s="667" t="s">
        <v>1400</v>
      </c>
    </row>
    <row r="70" spans="1:4" s="666" customFormat="1" x14ac:dyDescent="0.3">
      <c r="A70" s="682" t="str">
        <f t="shared" si="3"/>
        <v>02-B-065</v>
      </c>
      <c r="B70" s="965" t="str">
        <f t="shared" ca="1" si="4"/>
        <v>Tsjechische elftal</v>
      </c>
      <c r="C70" s="712" t="s">
        <v>1101</v>
      </c>
      <c r="D70" s="666" t="s">
        <v>1401</v>
      </c>
    </row>
    <row r="71" spans="1:4" s="667" customFormat="1" x14ac:dyDescent="0.3">
      <c r="A71" s="681" t="str">
        <f t="shared" si="3"/>
        <v>02-B-066</v>
      </c>
      <c r="B71" s="983" t="str">
        <f t="shared" ca="1" si="4"/>
        <v>Turkse elftal</v>
      </c>
      <c r="C71" s="713" t="s">
        <v>1102</v>
      </c>
      <c r="D71" s="667" t="s">
        <v>1402</v>
      </c>
    </row>
    <row r="72" spans="1:4" s="666" customFormat="1" x14ac:dyDescent="0.3">
      <c r="A72" s="682" t="str">
        <f t="shared" si="3"/>
        <v>02-B-067</v>
      </c>
      <c r="B72" s="965" t="str">
        <f t="shared" ca="1" si="4"/>
        <v>Welshe elftal</v>
      </c>
      <c r="C72" s="712" t="s">
        <v>1103</v>
      </c>
      <c r="D72" s="666" t="s">
        <v>1403</v>
      </c>
    </row>
    <row r="73" spans="1:4" s="667" customFormat="1" x14ac:dyDescent="0.3">
      <c r="A73" s="681" t="str">
        <f t="shared" si="3"/>
        <v>02-B-068</v>
      </c>
      <c r="B73" s="983" t="str">
        <f t="shared" ca="1" si="4"/>
        <v>Zweedse elftal</v>
      </c>
      <c r="C73" s="713" t="s">
        <v>1104</v>
      </c>
      <c r="D73" s="667" t="s">
        <v>1115</v>
      </c>
    </row>
    <row r="74" spans="1:4" s="666" customFormat="1" x14ac:dyDescent="0.3">
      <c r="A74" s="682" t="str">
        <f t="shared" si="3"/>
        <v>02-B-069</v>
      </c>
      <c r="B74" s="965" t="str">
        <f t="shared" ca="1" si="4"/>
        <v>Zwitserse elftal</v>
      </c>
      <c r="C74" s="712" t="s">
        <v>1105</v>
      </c>
      <c r="D74" s="666" t="s">
        <v>1116</v>
      </c>
    </row>
    <row r="75" spans="1:4" s="667" customFormat="1" x14ac:dyDescent="0.3">
      <c r="A75" s="681" t="str">
        <f t="shared" si="3"/>
        <v>02-B-070</v>
      </c>
      <c r="B75" s="983" t="str">
        <f t="shared" ca="1" si="4"/>
        <v>Land G1</v>
      </c>
      <c r="C75" s="713" t="s">
        <v>844</v>
      </c>
      <c r="D75" s="662" t="s">
        <v>907</v>
      </c>
    </row>
    <row r="76" spans="1:4" s="666" customFormat="1" x14ac:dyDescent="0.3">
      <c r="A76" s="682" t="str">
        <f t="shared" si="3"/>
        <v>02-B-071</v>
      </c>
      <c r="B76" s="965" t="str">
        <f t="shared" ca="1" si="4"/>
        <v>Land G2</v>
      </c>
      <c r="C76" s="712" t="s">
        <v>845</v>
      </c>
      <c r="D76" s="661" t="s">
        <v>908</v>
      </c>
    </row>
    <row r="77" spans="1:4" s="667" customFormat="1" x14ac:dyDescent="0.3">
      <c r="A77" s="681" t="str">
        <f>LEFT(A76,5)&amp;RIGHT("000"&amp;RIGHT(A76,3)*1+1,3)</f>
        <v>02-B-072</v>
      </c>
      <c r="B77" s="983" t="str">
        <f t="shared" ca="1" si="4"/>
        <v>Land G3</v>
      </c>
      <c r="C77" s="713" t="s">
        <v>846</v>
      </c>
      <c r="D77" s="662" t="s">
        <v>909</v>
      </c>
    </row>
    <row r="78" spans="1:4" s="666" customFormat="1" x14ac:dyDescent="0.3">
      <c r="A78" s="682" t="str">
        <f t="shared" si="3"/>
        <v>02-B-073</v>
      </c>
      <c r="B78" s="965" t="str">
        <f t="shared" ca="1" si="4"/>
        <v>Lang G4</v>
      </c>
      <c r="C78" s="712" t="s">
        <v>948</v>
      </c>
      <c r="D78" s="661" t="s">
        <v>910</v>
      </c>
    </row>
    <row r="79" spans="1:4" s="667" customFormat="1" x14ac:dyDescent="0.3">
      <c r="A79" s="681" t="str">
        <f t="shared" si="3"/>
        <v>02-B-074</v>
      </c>
      <c r="B79" s="983" t="str">
        <f t="shared" ca="1" si="4"/>
        <v>Land H1</v>
      </c>
      <c r="C79" s="713" t="s">
        <v>848</v>
      </c>
      <c r="D79" s="667" t="s">
        <v>914</v>
      </c>
    </row>
    <row r="80" spans="1:4" s="666" customFormat="1" x14ac:dyDescent="0.3">
      <c r="A80" s="682" t="str">
        <f t="shared" si="3"/>
        <v>02-B-075</v>
      </c>
      <c r="B80" s="965" t="str">
        <f t="shared" ca="1" si="4"/>
        <v>Land H2</v>
      </c>
      <c r="C80" s="712" t="s">
        <v>849</v>
      </c>
      <c r="D80" s="666" t="s">
        <v>911</v>
      </c>
    </row>
    <row r="81" spans="1:19" s="667" customFormat="1" x14ac:dyDescent="0.3">
      <c r="A81" s="681" t="str">
        <f t="shared" si="3"/>
        <v>02-B-076</v>
      </c>
      <c r="B81" s="983" t="str">
        <f t="shared" ca="1" si="4"/>
        <v>Land H3</v>
      </c>
      <c r="C81" s="713" t="s">
        <v>850</v>
      </c>
      <c r="D81" s="667" t="s">
        <v>912</v>
      </c>
    </row>
    <row r="82" spans="1:19" s="666" customFormat="1" x14ac:dyDescent="0.3">
      <c r="A82" s="682" t="str">
        <f t="shared" si="3"/>
        <v>02-B-077</v>
      </c>
      <c r="B82" s="965" t="str">
        <f t="shared" ca="1" si="4"/>
        <v>Land H4</v>
      </c>
      <c r="C82" s="712" t="s">
        <v>851</v>
      </c>
      <c r="D82" s="666" t="s">
        <v>913</v>
      </c>
    </row>
    <row r="83" spans="1:19" s="670" customFormat="1" x14ac:dyDescent="0.3">
      <c r="A83" s="668" t="str">
        <f t="shared" si="3"/>
        <v>02-B-078</v>
      </c>
      <c r="B83" s="738"/>
      <c r="C83" s="669"/>
    </row>
    <row r="84" spans="1:19" s="673" customFormat="1" x14ac:dyDescent="0.3">
      <c r="A84" s="671" t="str">
        <f t="shared" si="3"/>
        <v>02-B-079</v>
      </c>
      <c r="B84" s="737"/>
      <c r="C84" s="672"/>
    </row>
    <row r="85" spans="1:19" s="670" customFormat="1" x14ac:dyDescent="0.3">
      <c r="A85" s="668" t="str">
        <f t="shared" si="3"/>
        <v>02-B-080</v>
      </c>
      <c r="B85" s="738"/>
      <c r="C85" s="669"/>
    </row>
    <row r="86" spans="1:19" s="673" customFormat="1" x14ac:dyDescent="0.3">
      <c r="A86" s="671" t="str">
        <f t="shared" si="3"/>
        <v>02-B-081</v>
      </c>
      <c r="B86" s="737"/>
      <c r="C86" s="672"/>
    </row>
    <row r="87" spans="1:19" s="670" customFormat="1" x14ac:dyDescent="0.3">
      <c r="A87" s="668" t="str">
        <f t="shared" si="3"/>
        <v>02-B-082</v>
      </c>
      <c r="B87" s="738"/>
      <c r="C87" s="669"/>
    </row>
    <row r="88" spans="1:19" s="673" customFormat="1" x14ac:dyDescent="0.3">
      <c r="A88" s="671" t="str">
        <f t="shared" si="3"/>
        <v>02-B-083</v>
      </c>
      <c r="B88" s="737"/>
      <c r="C88" s="672"/>
    </row>
    <row r="89" spans="1:19" s="670" customFormat="1" x14ac:dyDescent="0.3">
      <c r="A89" s="668" t="str">
        <f t="shared" si="3"/>
        <v>02-B-084</v>
      </c>
      <c r="B89" s="738"/>
      <c r="C89" s="669"/>
      <c r="N89" s="670" t="s">
        <v>1032</v>
      </c>
    </row>
    <row r="90" spans="1:19" s="796" customFormat="1" ht="15" customHeight="1" x14ac:dyDescent="0.3">
      <c r="A90" s="1046" t="s">
        <v>1009</v>
      </c>
      <c r="B90" s="1047"/>
      <c r="C90" s="1047"/>
      <c r="D90" s="1048"/>
      <c r="E90" s="1059" t="s">
        <v>1012</v>
      </c>
      <c r="F90" s="1060"/>
      <c r="G90" s="1039" t="s">
        <v>1015</v>
      </c>
      <c r="H90" s="1044" t="s">
        <v>1016</v>
      </c>
      <c r="I90" s="1039" t="s">
        <v>1013</v>
      </c>
      <c r="J90" s="1044" t="s">
        <v>1014</v>
      </c>
      <c r="K90" s="1039" t="s">
        <v>1017</v>
      </c>
      <c r="L90" s="1044" t="s">
        <v>1018</v>
      </c>
      <c r="M90" s="1039" t="s">
        <v>1019</v>
      </c>
      <c r="N90" s="1044" t="s">
        <v>1020</v>
      </c>
      <c r="O90" s="1039" t="s">
        <v>1021</v>
      </c>
      <c r="P90" s="1044" t="s">
        <v>1022</v>
      </c>
      <c r="Q90" s="1039" t="s">
        <v>1023</v>
      </c>
      <c r="R90" s="1044" t="s">
        <v>1024</v>
      </c>
      <c r="S90" s="1039" t="s">
        <v>1033</v>
      </c>
    </row>
    <row r="91" spans="1:19" s="796" customFormat="1" ht="15" customHeight="1" x14ac:dyDescent="0.3">
      <c r="A91" s="1049"/>
      <c r="B91" s="1050"/>
      <c r="C91" s="1050"/>
      <c r="D91" s="1051"/>
      <c r="E91" s="1063"/>
      <c r="F91" s="1064"/>
      <c r="G91" s="1040"/>
      <c r="H91" s="1045"/>
      <c r="I91" s="1040"/>
      <c r="J91" s="1045"/>
      <c r="K91" s="1040"/>
      <c r="L91" s="1045"/>
      <c r="M91" s="1040"/>
      <c r="N91" s="1045"/>
      <c r="O91" s="1040"/>
      <c r="P91" s="1045"/>
      <c r="Q91" s="1040"/>
      <c r="R91" s="1045"/>
      <c r="S91" s="1040"/>
    </row>
    <row r="92" spans="1:19" s="796" customFormat="1" ht="15" customHeight="1" x14ac:dyDescent="0.3">
      <c r="A92" s="1049"/>
      <c r="B92" s="1050"/>
      <c r="C92" s="1050"/>
      <c r="D92" s="1051"/>
      <c r="E92" s="1059" t="s">
        <v>1008</v>
      </c>
      <c r="F92" s="1060"/>
      <c r="G92" s="1041" t="str">
        <f ca="1">G100&amp;G101&amp;G102&amp;G103&amp;G104&amp;G105&amp;G106&amp;G107&amp;G108&amp;G109&amp;G110&amp;G111&amp;G112&amp;G113&amp;G114&amp;G115&amp;G116&amp;G117&amp;G118&amp;G119&amp;G120&amp;G121&amp;G122&amp;G123&amp;G124&amp;G125&amp;G126&amp;G127&amp;G128&amp;G129&amp;G130&amp;G131</f>
        <v>F4D1F3F1A2D2E3F2D3E4E1D4A1A3E2A4</v>
      </c>
      <c r="H92" s="1032" t="str">
        <f t="shared" ref="H92:S92" ca="1" si="5">H100&amp;H101&amp;H102&amp;H103&amp;H104&amp;H105&amp;H106&amp;H107&amp;H108&amp;H109&amp;H110&amp;H111&amp;H112&amp;H113&amp;H114&amp;H115&amp;H116&amp;H117&amp;H118&amp;H119&amp;H120&amp;H121&amp;H122&amp;H123&amp;H124&amp;H125&amp;H126&amp;H127&amp;H128&amp;H129&amp;H130&amp;H131</f>
        <v>F4D1F3F1D2E3F2D3E4E1D4E2</v>
      </c>
      <c r="I92" s="1041" t="str">
        <f t="shared" ca="1" si="5"/>
        <v>B3B1B2A2C1C4C2C3B4A1A3A4</v>
      </c>
      <c r="J92" s="1032" t="str">
        <f t="shared" ca="1" si="5"/>
        <v>B3B1D1B2A2D2C1C4C2C3B4D3D4A1A3A4</v>
      </c>
      <c r="K92" s="1041" t="str">
        <f t="shared" ca="1" si="5"/>
        <v>B3B1F4B2F3F1A2C1C4C2C3F2B4A1A3A4</v>
      </c>
      <c r="L92" s="1032" t="str">
        <f t="shared" ca="1" si="5"/>
        <v>D1D2E3D3E4E1D4E2</v>
      </c>
      <c r="M92" s="1041" t="str">
        <f t="shared" ca="1" si="5"/>
        <v>B3B1F4D1B2F3F1A2D2E3F2B4D3E4E1D4A1A3E2A4</v>
      </c>
      <c r="N92" s="1032" t="str">
        <f t="shared" ca="1" si="5"/>
        <v>A2C1C4C2C3A1A3A4</v>
      </c>
      <c r="O92" s="1041" t="str">
        <f t="shared" ca="1" si="5"/>
        <v>F4D1F3F1D2C1C4C2C3E3F2D3E4E1D4E2</v>
      </c>
      <c r="P92" s="1032" t="str">
        <f t="shared" ca="1" si="5"/>
        <v>B3B1B2A2B4A1A3A4</v>
      </c>
      <c r="Q92" s="1041" t="str">
        <f t="shared" ca="1" si="5"/>
        <v>B3B1D1B2A2D2C1C4C2C3E3B4D3E4E1D4A1A3E2A4</v>
      </c>
      <c r="R92" s="1032" t="str">
        <f t="shared" ca="1" si="5"/>
        <v>F4D1F3F1D2F2D3D4</v>
      </c>
      <c r="S92" s="1041" t="str">
        <f t="shared" ca="1" si="5"/>
        <v>B3B1F4D1B2F3F1A2D2C1C4C2C3E3F2B4D3E4E1D4A1A3E2A4</v>
      </c>
    </row>
    <row r="93" spans="1:19" s="796" customFormat="1" ht="15" customHeight="1" x14ac:dyDescent="0.3">
      <c r="A93" s="1049"/>
      <c r="B93" s="1050"/>
      <c r="C93" s="1050"/>
      <c r="D93" s="1051"/>
      <c r="E93" s="1061"/>
      <c r="F93" s="1062"/>
      <c r="G93" s="1042"/>
      <c r="H93" s="1033"/>
      <c r="I93" s="1042"/>
      <c r="J93" s="1033"/>
      <c r="K93" s="1042"/>
      <c r="L93" s="1033"/>
      <c r="M93" s="1042"/>
      <c r="N93" s="1033"/>
      <c r="O93" s="1042"/>
      <c r="P93" s="1033"/>
      <c r="Q93" s="1042"/>
      <c r="R93" s="1033"/>
      <c r="S93" s="1042"/>
    </row>
    <row r="94" spans="1:19" s="796" customFormat="1" ht="15" customHeight="1" x14ac:dyDescent="0.3">
      <c r="A94" s="1049"/>
      <c r="B94" s="1050"/>
      <c r="C94" s="1050"/>
      <c r="D94" s="1051"/>
      <c r="E94" s="1061"/>
      <c r="F94" s="1062"/>
      <c r="G94" s="1042"/>
      <c r="H94" s="1033"/>
      <c r="I94" s="1042"/>
      <c r="J94" s="1033"/>
      <c r="K94" s="1042"/>
      <c r="L94" s="1033"/>
      <c r="M94" s="1042"/>
      <c r="N94" s="1033"/>
      <c r="O94" s="1042"/>
      <c r="P94" s="1033"/>
      <c r="Q94" s="1042"/>
      <c r="R94" s="1033"/>
      <c r="S94" s="1042"/>
    </row>
    <row r="95" spans="1:19" s="796" customFormat="1" ht="15" customHeight="1" x14ac:dyDescent="0.3">
      <c r="A95" s="1049"/>
      <c r="B95" s="1050"/>
      <c r="C95" s="1050"/>
      <c r="D95" s="1051"/>
      <c r="E95" s="1061"/>
      <c r="F95" s="1062"/>
      <c r="G95" s="1042"/>
      <c r="H95" s="1033"/>
      <c r="I95" s="1042"/>
      <c r="J95" s="1033"/>
      <c r="K95" s="1042"/>
      <c r="L95" s="1033"/>
      <c r="M95" s="1042"/>
      <c r="N95" s="1033"/>
      <c r="O95" s="1042"/>
      <c r="P95" s="1033"/>
      <c r="Q95" s="1042"/>
      <c r="R95" s="1033"/>
      <c r="S95" s="1042"/>
    </row>
    <row r="96" spans="1:19" s="796" customFormat="1" ht="15" customHeight="1" x14ac:dyDescent="0.3">
      <c r="A96" s="1049"/>
      <c r="B96" s="1050"/>
      <c r="C96" s="1050"/>
      <c r="D96" s="1051"/>
      <c r="E96" s="1061"/>
      <c r="F96" s="1062"/>
      <c r="G96" s="1042"/>
      <c r="H96" s="1033"/>
      <c r="I96" s="1042"/>
      <c r="J96" s="1033"/>
      <c r="K96" s="1042"/>
      <c r="L96" s="1033"/>
      <c r="M96" s="1042"/>
      <c r="N96" s="1033"/>
      <c r="O96" s="1042"/>
      <c r="P96" s="1033"/>
      <c r="Q96" s="1042"/>
      <c r="R96" s="1033"/>
      <c r="S96" s="1042"/>
    </row>
    <row r="97" spans="1:19" s="796" customFormat="1" ht="15" customHeight="1" x14ac:dyDescent="0.3">
      <c r="A97" s="1052"/>
      <c r="B97" s="1053"/>
      <c r="C97" s="1053"/>
      <c r="D97" s="1054"/>
      <c r="E97" s="1063"/>
      <c r="F97" s="1064"/>
      <c r="G97" s="1043"/>
      <c r="H97" s="1034"/>
      <c r="I97" s="1043"/>
      <c r="J97" s="1034"/>
      <c r="K97" s="1043"/>
      <c r="L97" s="1034"/>
      <c r="M97" s="1043"/>
      <c r="N97" s="1034"/>
      <c r="O97" s="1043"/>
      <c r="P97" s="1034"/>
      <c r="Q97" s="1043"/>
      <c r="R97" s="1034"/>
      <c r="S97" s="1043"/>
    </row>
    <row r="98" spans="1:19" s="796" customFormat="1" ht="15" customHeight="1" x14ac:dyDescent="0.3">
      <c r="A98" s="797"/>
      <c r="B98" s="798"/>
      <c r="C98" s="1055" t="s">
        <v>1005</v>
      </c>
      <c r="D98" s="1056"/>
      <c r="E98" s="1035" t="s">
        <v>314</v>
      </c>
      <c r="F98" s="1037" t="s">
        <v>1006</v>
      </c>
      <c r="G98" s="1035" t="s">
        <v>1011</v>
      </c>
      <c r="H98" s="1037" t="s">
        <v>1010</v>
      </c>
      <c r="I98" s="1035" t="s">
        <v>1007</v>
      </c>
      <c r="J98" s="1037" t="s">
        <v>72</v>
      </c>
      <c r="K98" s="1035" t="s">
        <v>1025</v>
      </c>
      <c r="L98" s="1037" t="s">
        <v>6</v>
      </c>
      <c r="M98" s="1035" t="s">
        <v>1026</v>
      </c>
      <c r="N98" s="1037" t="s">
        <v>1027</v>
      </c>
      <c r="O98" s="1035" t="s">
        <v>1028</v>
      </c>
      <c r="P98" s="1037" t="s">
        <v>465</v>
      </c>
      <c r="Q98" s="1035" t="s">
        <v>1029</v>
      </c>
      <c r="R98" s="1037" t="s">
        <v>1030</v>
      </c>
      <c r="S98" s="1035" t="s">
        <v>1031</v>
      </c>
    </row>
    <row r="99" spans="1:19" s="796" customFormat="1" ht="15" customHeight="1" x14ac:dyDescent="0.3">
      <c r="A99" s="799"/>
      <c r="B99" s="800"/>
      <c r="C99" s="1057"/>
      <c r="D99" s="1058"/>
      <c r="E99" s="1036"/>
      <c r="F99" s="1038"/>
      <c r="G99" s="1036"/>
      <c r="H99" s="1038"/>
      <c r="I99" s="1036"/>
      <c r="J99" s="1038"/>
      <c r="K99" s="1036"/>
      <c r="L99" s="1038"/>
      <c r="M99" s="1036"/>
      <c r="N99" s="1038"/>
      <c r="O99" s="1036"/>
      <c r="P99" s="1038"/>
      <c r="Q99" s="1036"/>
      <c r="R99" s="1038"/>
      <c r="S99" s="1036"/>
    </row>
    <row r="100" spans="1:19" s="796" customFormat="1" x14ac:dyDescent="0.3">
      <c r="A100" s="784" t="s">
        <v>4</v>
      </c>
      <c r="B100" s="785">
        <v>7</v>
      </c>
      <c r="C100" s="786" t="str">
        <f ca="1">IF(ISBLANK(INDIRECT(A100&amp;B100)),"",INDIRECT(A100&amp;B100))</f>
        <v>Turkije</v>
      </c>
      <c r="D100" s="787" t="str">
        <f ca="1">IF(C100="","",Voorblad!$X$67)</f>
        <v>A1</v>
      </c>
      <c r="E100" s="801">
        <v>2</v>
      </c>
      <c r="F100" s="802" t="str">
        <f ca="1">RIGHT(LEFT($B$48,E100),2)</f>
        <v>B3</v>
      </c>
      <c r="G100" s="801" t="str">
        <f t="shared" ref="G100:S100" ca="1" si="6">IF(G$98=SUBSTITUTE(G$98,LEFT($F100,1),"X"),"",$F100)</f>
        <v/>
      </c>
      <c r="H100" s="802" t="str">
        <f t="shared" ca="1" si="6"/>
        <v/>
      </c>
      <c r="I100" s="801" t="str">
        <f t="shared" ca="1" si="6"/>
        <v>B3</v>
      </c>
      <c r="J100" s="802" t="str">
        <f t="shared" ca="1" si="6"/>
        <v>B3</v>
      </c>
      <c r="K100" s="801" t="str">
        <f t="shared" ca="1" si="6"/>
        <v>B3</v>
      </c>
      <c r="L100" s="802" t="str">
        <f t="shared" ca="1" si="6"/>
        <v/>
      </c>
      <c r="M100" s="801" t="str">
        <f t="shared" ca="1" si="6"/>
        <v>B3</v>
      </c>
      <c r="N100" s="802" t="str">
        <f t="shared" ca="1" si="6"/>
        <v/>
      </c>
      <c r="O100" s="801" t="str">
        <f t="shared" ca="1" si="6"/>
        <v/>
      </c>
      <c r="P100" s="802" t="str">
        <f t="shared" ca="1" si="6"/>
        <v>B3</v>
      </c>
      <c r="Q100" s="801" t="str">
        <f t="shared" ca="1" si="6"/>
        <v>B3</v>
      </c>
      <c r="R100" s="802" t="str">
        <f t="shared" ca="1" si="6"/>
        <v/>
      </c>
      <c r="S100" s="801" t="str">
        <f t="shared" ca="1" si="6"/>
        <v>B3</v>
      </c>
    </row>
    <row r="101" spans="1:19" s="796" customFormat="1" x14ac:dyDescent="0.3">
      <c r="A101" s="788" t="str">
        <f>A100</f>
        <v>C</v>
      </c>
      <c r="B101" s="789">
        <f>B100+1</f>
        <v>8</v>
      </c>
      <c r="C101" s="790" t="str">
        <f t="shared" ref="C101:C164" ca="1" si="7">IF(ISBLANK(INDIRECT(A101&amp;B101)),"",INDIRECT(A101&amp;B101))</f>
        <v>Italië</v>
      </c>
      <c r="D101" s="791" t="str">
        <f ca="1">IF(C101="","",Voorblad!$X$68)</f>
        <v>A2</v>
      </c>
      <c r="E101" s="803">
        <f>E100+2</f>
        <v>4</v>
      </c>
      <c r="F101" s="804" t="str">
        <f ca="1">RIGHT(LEFT($B$48,E101),2)</f>
        <v>B1</v>
      </c>
      <c r="G101" s="803" t="str">
        <f t="shared" ref="G101:R131" ca="1" si="8">IF(G$98=SUBSTITUTE(G$98,LEFT($F101,1),"X"),"",$F101)</f>
        <v/>
      </c>
      <c r="H101" s="804" t="str">
        <f t="shared" ca="1" si="8"/>
        <v/>
      </c>
      <c r="I101" s="803" t="str">
        <f t="shared" ca="1" si="8"/>
        <v>B1</v>
      </c>
      <c r="J101" s="804" t="str">
        <f t="shared" ca="1" si="8"/>
        <v>B1</v>
      </c>
      <c r="K101" s="803" t="str">
        <f t="shared" ca="1" si="8"/>
        <v>B1</v>
      </c>
      <c r="L101" s="804" t="str">
        <f t="shared" ca="1" si="8"/>
        <v/>
      </c>
      <c r="M101" s="803" t="str">
        <f t="shared" ca="1" si="8"/>
        <v>B1</v>
      </c>
      <c r="N101" s="804" t="str">
        <f t="shared" ca="1" si="8"/>
        <v/>
      </c>
      <c r="O101" s="803" t="str">
        <f t="shared" ca="1" si="8"/>
        <v/>
      </c>
      <c r="P101" s="804" t="str">
        <f t="shared" ca="1" si="8"/>
        <v>B1</v>
      </c>
      <c r="Q101" s="803" t="str">
        <f t="shared" ca="1" si="8"/>
        <v>B1</v>
      </c>
      <c r="R101" s="804" t="str">
        <f t="shared" ca="1" si="8"/>
        <v/>
      </c>
      <c r="S101" s="803" t="str">
        <f t="shared" ref="S101:S131" ca="1" si="9">IF(S$98=SUBSTITUTE(S$98,LEFT($F101,1),"X"),"",$F101)</f>
        <v>B1</v>
      </c>
    </row>
    <row r="102" spans="1:19" s="796" customFormat="1" x14ac:dyDescent="0.3">
      <c r="A102" s="788" t="str">
        <f t="shared" ref="A102:A104" si="10">A101</f>
        <v>C</v>
      </c>
      <c r="B102" s="789">
        <f t="shared" ref="B102:B103" si="11">B101+1</f>
        <v>9</v>
      </c>
      <c r="C102" s="790" t="str">
        <f t="shared" ca="1" si="7"/>
        <v>Wales</v>
      </c>
      <c r="D102" s="791" t="str">
        <f ca="1">IF(C102="","",Voorblad!$X$69)</f>
        <v>A3</v>
      </c>
      <c r="E102" s="803">
        <f t="shared" ref="E102:E131" si="12">E101+2</f>
        <v>6</v>
      </c>
      <c r="F102" s="804" t="str">
        <f t="shared" ref="F102:F131" ca="1" si="13">RIGHT(LEFT($B$48,E102),2)</f>
        <v>F4</v>
      </c>
      <c r="G102" s="803" t="str">
        <f ca="1">IF(G$98=SUBSTITUTE(G$98,LEFT($F102,1),"X"),"",$F102)</f>
        <v>F4</v>
      </c>
      <c r="H102" s="804" t="str">
        <f t="shared" ca="1" si="8"/>
        <v>F4</v>
      </c>
      <c r="I102" s="803" t="str">
        <f t="shared" ca="1" si="8"/>
        <v/>
      </c>
      <c r="J102" s="804" t="str">
        <f t="shared" ca="1" si="8"/>
        <v/>
      </c>
      <c r="K102" s="803" t="str">
        <f t="shared" ca="1" si="8"/>
        <v>F4</v>
      </c>
      <c r="L102" s="804" t="str">
        <f t="shared" ca="1" si="8"/>
        <v/>
      </c>
      <c r="M102" s="803" t="str">
        <f t="shared" ca="1" si="8"/>
        <v>F4</v>
      </c>
      <c r="N102" s="804" t="str">
        <f t="shared" ca="1" si="8"/>
        <v/>
      </c>
      <c r="O102" s="803" t="str">
        <f t="shared" ca="1" si="8"/>
        <v>F4</v>
      </c>
      <c r="P102" s="804" t="str">
        <f t="shared" ca="1" si="8"/>
        <v/>
      </c>
      <c r="Q102" s="803" t="str">
        <f t="shared" ca="1" si="8"/>
        <v/>
      </c>
      <c r="R102" s="804" t="str">
        <f t="shared" ref="O102:R131" ca="1" si="14">IF(R$98=SUBSTITUTE(R$98,LEFT($F102,1),"X"),"",$F102)</f>
        <v>F4</v>
      </c>
      <c r="S102" s="803" t="str">
        <f t="shared" ca="1" si="9"/>
        <v>F4</v>
      </c>
    </row>
    <row r="103" spans="1:19" s="796" customFormat="1" x14ac:dyDescent="0.3">
      <c r="A103" s="788" t="str">
        <f t="shared" si="10"/>
        <v>C</v>
      </c>
      <c r="B103" s="789">
        <f t="shared" si="11"/>
        <v>10</v>
      </c>
      <c r="C103" s="790" t="str">
        <f t="shared" ca="1" si="7"/>
        <v>Zwitserland</v>
      </c>
      <c r="D103" s="791" t="str">
        <f ca="1">IF(C103="","",Voorblad!$X$70)</f>
        <v>A4</v>
      </c>
      <c r="E103" s="803">
        <f t="shared" si="12"/>
        <v>8</v>
      </c>
      <c r="F103" s="804" t="str">
        <f t="shared" ca="1" si="13"/>
        <v>D1</v>
      </c>
      <c r="G103" s="803" t="str">
        <f t="shared" ca="1" si="8"/>
        <v>D1</v>
      </c>
      <c r="H103" s="804" t="str">
        <f t="shared" ca="1" si="8"/>
        <v>D1</v>
      </c>
      <c r="I103" s="803" t="str">
        <f t="shared" ca="1" si="8"/>
        <v/>
      </c>
      <c r="J103" s="804" t="str">
        <f t="shared" ca="1" si="8"/>
        <v>D1</v>
      </c>
      <c r="K103" s="803" t="str">
        <f t="shared" ca="1" si="8"/>
        <v/>
      </c>
      <c r="L103" s="804" t="str">
        <f t="shared" ca="1" si="8"/>
        <v>D1</v>
      </c>
      <c r="M103" s="803" t="str">
        <f t="shared" ca="1" si="8"/>
        <v>D1</v>
      </c>
      <c r="N103" s="804" t="str">
        <f t="shared" ca="1" si="8"/>
        <v/>
      </c>
      <c r="O103" s="803" t="str">
        <f t="shared" ca="1" si="14"/>
        <v>D1</v>
      </c>
      <c r="P103" s="804" t="str">
        <f t="shared" ca="1" si="14"/>
        <v/>
      </c>
      <c r="Q103" s="803" t="str">
        <f t="shared" ca="1" si="14"/>
        <v>D1</v>
      </c>
      <c r="R103" s="804" t="str">
        <f t="shared" ca="1" si="14"/>
        <v>D1</v>
      </c>
      <c r="S103" s="803" t="str">
        <f t="shared" ca="1" si="9"/>
        <v>D1</v>
      </c>
    </row>
    <row r="104" spans="1:19" s="796" customFormat="1" x14ac:dyDescent="0.3">
      <c r="A104" s="788" t="str">
        <f t="shared" si="10"/>
        <v>C</v>
      </c>
      <c r="B104" s="789">
        <f>B103+2</f>
        <v>12</v>
      </c>
      <c r="C104" s="790" t="str">
        <f t="shared" ca="1" si="7"/>
        <v>Denemarken</v>
      </c>
      <c r="D104" s="791" t="str">
        <f ca="1">IF(C104="","",Voorblad!$X$71)</f>
        <v>B1</v>
      </c>
      <c r="E104" s="803">
        <f t="shared" si="12"/>
        <v>10</v>
      </c>
      <c r="F104" s="804" t="str">
        <f t="shared" ca="1" si="13"/>
        <v>B2</v>
      </c>
      <c r="G104" s="803" t="str">
        <f t="shared" ca="1" si="8"/>
        <v/>
      </c>
      <c r="H104" s="804" t="str">
        <f t="shared" ca="1" si="8"/>
        <v/>
      </c>
      <c r="I104" s="803" t="str">
        <f t="shared" ca="1" si="8"/>
        <v>B2</v>
      </c>
      <c r="J104" s="804" t="str">
        <f t="shared" ca="1" si="8"/>
        <v>B2</v>
      </c>
      <c r="K104" s="803" t="str">
        <f t="shared" ca="1" si="8"/>
        <v>B2</v>
      </c>
      <c r="L104" s="804" t="str">
        <f t="shared" ca="1" si="8"/>
        <v/>
      </c>
      <c r="M104" s="803" t="str">
        <f t="shared" ca="1" si="8"/>
        <v>B2</v>
      </c>
      <c r="N104" s="804" t="str">
        <f t="shared" ca="1" si="8"/>
        <v/>
      </c>
      <c r="O104" s="803" t="str">
        <f t="shared" ca="1" si="14"/>
        <v/>
      </c>
      <c r="P104" s="804" t="str">
        <f t="shared" ca="1" si="14"/>
        <v>B2</v>
      </c>
      <c r="Q104" s="803" t="str">
        <f t="shared" ca="1" si="14"/>
        <v>B2</v>
      </c>
      <c r="R104" s="804" t="str">
        <f t="shared" ca="1" si="14"/>
        <v/>
      </c>
      <c r="S104" s="803" t="str">
        <f t="shared" ca="1" si="9"/>
        <v>B2</v>
      </c>
    </row>
    <row r="105" spans="1:19" s="796" customFormat="1" x14ac:dyDescent="0.3">
      <c r="A105" s="788" t="str">
        <f>A104</f>
        <v>C</v>
      </c>
      <c r="B105" s="789">
        <f>B104+1</f>
        <v>13</v>
      </c>
      <c r="C105" s="790" t="str">
        <f t="shared" ca="1" si="7"/>
        <v>Finland</v>
      </c>
      <c r="D105" s="791" t="str">
        <f ca="1">IF(C105="","",Voorblad!$X$72)</f>
        <v>B2</v>
      </c>
      <c r="E105" s="803">
        <f t="shared" si="12"/>
        <v>12</v>
      </c>
      <c r="F105" s="804" t="str">
        <f t="shared" ca="1" si="13"/>
        <v>F3</v>
      </c>
      <c r="G105" s="803" t="str">
        <f t="shared" ca="1" si="8"/>
        <v>F3</v>
      </c>
      <c r="H105" s="804" t="str">
        <f t="shared" ca="1" si="8"/>
        <v>F3</v>
      </c>
      <c r="I105" s="803" t="str">
        <f t="shared" ca="1" si="8"/>
        <v/>
      </c>
      <c r="J105" s="804" t="str">
        <f t="shared" ca="1" si="8"/>
        <v/>
      </c>
      <c r="K105" s="803" t="str">
        <f t="shared" ca="1" si="8"/>
        <v>F3</v>
      </c>
      <c r="L105" s="804" t="str">
        <f t="shared" ca="1" si="8"/>
        <v/>
      </c>
      <c r="M105" s="803" t="str">
        <f t="shared" ca="1" si="8"/>
        <v>F3</v>
      </c>
      <c r="N105" s="804" t="str">
        <f t="shared" ca="1" si="8"/>
        <v/>
      </c>
      <c r="O105" s="803" t="str">
        <f t="shared" ca="1" si="14"/>
        <v>F3</v>
      </c>
      <c r="P105" s="804" t="str">
        <f t="shared" ca="1" si="14"/>
        <v/>
      </c>
      <c r="Q105" s="803" t="str">
        <f t="shared" ca="1" si="14"/>
        <v/>
      </c>
      <c r="R105" s="804" t="str">
        <f t="shared" ca="1" si="14"/>
        <v>F3</v>
      </c>
      <c r="S105" s="803" t="str">
        <f t="shared" ca="1" si="9"/>
        <v>F3</v>
      </c>
    </row>
    <row r="106" spans="1:19" s="796" customFormat="1" x14ac:dyDescent="0.3">
      <c r="A106" s="788" t="str">
        <f t="shared" ref="A106:A108" si="15">A105</f>
        <v>C</v>
      </c>
      <c r="B106" s="789">
        <f t="shared" ref="B106:B107" si="16">B105+1</f>
        <v>14</v>
      </c>
      <c r="C106" s="790" t="str">
        <f t="shared" ca="1" si="7"/>
        <v>België</v>
      </c>
      <c r="D106" s="791" t="str">
        <f ca="1">IF(C106="","",Voorblad!$X$73)</f>
        <v>B3</v>
      </c>
      <c r="E106" s="803">
        <f t="shared" si="12"/>
        <v>14</v>
      </c>
      <c r="F106" s="804" t="str">
        <f t="shared" ca="1" si="13"/>
        <v>F1</v>
      </c>
      <c r="G106" s="803" t="str">
        <f t="shared" ca="1" si="8"/>
        <v>F1</v>
      </c>
      <c r="H106" s="804" t="str">
        <f t="shared" ca="1" si="8"/>
        <v>F1</v>
      </c>
      <c r="I106" s="803" t="str">
        <f t="shared" ca="1" si="8"/>
        <v/>
      </c>
      <c r="J106" s="804" t="str">
        <f t="shared" ca="1" si="8"/>
        <v/>
      </c>
      <c r="K106" s="803" t="str">
        <f t="shared" ca="1" si="8"/>
        <v>F1</v>
      </c>
      <c r="L106" s="804" t="str">
        <f t="shared" ca="1" si="8"/>
        <v/>
      </c>
      <c r="M106" s="803" t="str">
        <f t="shared" ca="1" si="8"/>
        <v>F1</v>
      </c>
      <c r="N106" s="804" t="str">
        <f t="shared" ca="1" si="8"/>
        <v/>
      </c>
      <c r="O106" s="803" t="str">
        <f t="shared" ca="1" si="14"/>
        <v>F1</v>
      </c>
      <c r="P106" s="804" t="str">
        <f t="shared" ca="1" si="14"/>
        <v/>
      </c>
      <c r="Q106" s="803" t="str">
        <f t="shared" ca="1" si="14"/>
        <v/>
      </c>
      <c r="R106" s="804" t="str">
        <f t="shared" ca="1" si="14"/>
        <v>F1</v>
      </c>
      <c r="S106" s="803" t="str">
        <f t="shared" ca="1" si="9"/>
        <v>F1</v>
      </c>
    </row>
    <row r="107" spans="1:19" s="796" customFormat="1" x14ac:dyDescent="0.3">
      <c r="A107" s="788" t="str">
        <f t="shared" si="15"/>
        <v>C</v>
      </c>
      <c r="B107" s="789">
        <f t="shared" si="16"/>
        <v>15</v>
      </c>
      <c r="C107" s="790" t="str">
        <f t="shared" ca="1" si="7"/>
        <v>Rusland</v>
      </c>
      <c r="D107" s="791" t="str">
        <f ca="1">IF(C107="","",Voorblad!$X$74)</f>
        <v>B4</v>
      </c>
      <c r="E107" s="803">
        <f t="shared" si="12"/>
        <v>16</v>
      </c>
      <c r="F107" s="804" t="str">
        <f t="shared" ca="1" si="13"/>
        <v>A2</v>
      </c>
      <c r="G107" s="803" t="str">
        <f t="shared" ca="1" si="8"/>
        <v>A2</v>
      </c>
      <c r="H107" s="804" t="str">
        <f t="shared" ca="1" si="8"/>
        <v/>
      </c>
      <c r="I107" s="803" t="str">
        <f t="shared" ca="1" si="8"/>
        <v>A2</v>
      </c>
      <c r="J107" s="804" t="str">
        <f t="shared" ca="1" si="8"/>
        <v>A2</v>
      </c>
      <c r="K107" s="803" t="str">
        <f t="shared" ca="1" si="8"/>
        <v>A2</v>
      </c>
      <c r="L107" s="804" t="str">
        <f t="shared" ca="1" si="8"/>
        <v/>
      </c>
      <c r="M107" s="803" t="str">
        <f t="shared" ca="1" si="8"/>
        <v>A2</v>
      </c>
      <c r="N107" s="804" t="str">
        <f t="shared" ca="1" si="8"/>
        <v>A2</v>
      </c>
      <c r="O107" s="803" t="str">
        <f t="shared" ca="1" si="14"/>
        <v/>
      </c>
      <c r="P107" s="804" t="str">
        <f t="shared" ca="1" si="14"/>
        <v>A2</v>
      </c>
      <c r="Q107" s="803" t="str">
        <f t="shared" ca="1" si="14"/>
        <v>A2</v>
      </c>
      <c r="R107" s="804" t="str">
        <f t="shared" ca="1" si="14"/>
        <v/>
      </c>
      <c r="S107" s="803" t="str">
        <f t="shared" ca="1" si="9"/>
        <v>A2</v>
      </c>
    </row>
    <row r="108" spans="1:19" s="796" customFormat="1" x14ac:dyDescent="0.3">
      <c r="A108" s="788" t="str">
        <f t="shared" si="15"/>
        <v>C</v>
      </c>
      <c r="B108" s="789">
        <f>B107+2</f>
        <v>17</v>
      </c>
      <c r="C108" s="790" t="str">
        <f t="shared" ca="1" si="7"/>
        <v>Nederland</v>
      </c>
      <c r="D108" s="791" t="str">
        <f ca="1">IF(C108="","",Voorblad!$X$75)</f>
        <v>C1</v>
      </c>
      <c r="E108" s="803">
        <f t="shared" si="12"/>
        <v>18</v>
      </c>
      <c r="F108" s="804" t="str">
        <f t="shared" ca="1" si="13"/>
        <v>D2</v>
      </c>
      <c r="G108" s="803" t="str">
        <f t="shared" ca="1" si="8"/>
        <v>D2</v>
      </c>
      <c r="H108" s="804" t="str">
        <f t="shared" ca="1" si="8"/>
        <v>D2</v>
      </c>
      <c r="I108" s="803" t="str">
        <f t="shared" ca="1" si="8"/>
        <v/>
      </c>
      <c r="J108" s="804" t="str">
        <f t="shared" ca="1" si="8"/>
        <v>D2</v>
      </c>
      <c r="K108" s="803" t="str">
        <f t="shared" ca="1" si="8"/>
        <v/>
      </c>
      <c r="L108" s="804" t="str">
        <f t="shared" ca="1" si="8"/>
        <v>D2</v>
      </c>
      <c r="M108" s="803" t="str">
        <f t="shared" ca="1" si="8"/>
        <v>D2</v>
      </c>
      <c r="N108" s="804" t="str">
        <f t="shared" ca="1" si="8"/>
        <v/>
      </c>
      <c r="O108" s="803" t="str">
        <f t="shared" ca="1" si="14"/>
        <v>D2</v>
      </c>
      <c r="P108" s="804" t="str">
        <f t="shared" ca="1" si="14"/>
        <v/>
      </c>
      <c r="Q108" s="803" t="str">
        <f t="shared" ca="1" si="14"/>
        <v>D2</v>
      </c>
      <c r="R108" s="804" t="str">
        <f t="shared" ca="1" si="14"/>
        <v>D2</v>
      </c>
      <c r="S108" s="803" t="str">
        <f t="shared" ca="1" si="9"/>
        <v>D2</v>
      </c>
    </row>
    <row r="109" spans="1:19" s="796" customFormat="1" x14ac:dyDescent="0.3">
      <c r="A109" s="788" t="str">
        <f>A108</f>
        <v>C</v>
      </c>
      <c r="B109" s="789">
        <f>B108+1</f>
        <v>18</v>
      </c>
      <c r="C109" s="790" t="str">
        <f t="shared" ca="1" si="7"/>
        <v>Oekraïne</v>
      </c>
      <c r="D109" s="791" t="str">
        <f ca="1">IF(C109="","",Voorblad!$X$76)</f>
        <v>C2</v>
      </c>
      <c r="E109" s="803">
        <f t="shared" si="12"/>
        <v>20</v>
      </c>
      <c r="F109" s="804" t="str">
        <f t="shared" ca="1" si="13"/>
        <v>C1</v>
      </c>
      <c r="G109" s="803" t="str">
        <f t="shared" ca="1" si="8"/>
        <v/>
      </c>
      <c r="H109" s="804" t="str">
        <f t="shared" ca="1" si="8"/>
        <v/>
      </c>
      <c r="I109" s="803" t="str">
        <f t="shared" ca="1" si="8"/>
        <v>C1</v>
      </c>
      <c r="J109" s="804" t="str">
        <f t="shared" ca="1" si="8"/>
        <v>C1</v>
      </c>
      <c r="K109" s="803" t="str">
        <f t="shared" ca="1" si="8"/>
        <v>C1</v>
      </c>
      <c r="L109" s="804" t="str">
        <f t="shared" ca="1" si="8"/>
        <v/>
      </c>
      <c r="M109" s="803" t="str">
        <f t="shared" ca="1" si="8"/>
        <v/>
      </c>
      <c r="N109" s="804" t="str">
        <f t="shared" ca="1" si="8"/>
        <v>C1</v>
      </c>
      <c r="O109" s="803" t="str">
        <f t="shared" ca="1" si="14"/>
        <v>C1</v>
      </c>
      <c r="P109" s="804" t="str">
        <f t="shared" ca="1" si="14"/>
        <v/>
      </c>
      <c r="Q109" s="803" t="str">
        <f t="shared" ca="1" si="14"/>
        <v>C1</v>
      </c>
      <c r="R109" s="804" t="str">
        <f t="shared" ca="1" si="14"/>
        <v/>
      </c>
      <c r="S109" s="803" t="str">
        <f t="shared" ca="1" si="9"/>
        <v>C1</v>
      </c>
    </row>
    <row r="110" spans="1:19" s="796" customFormat="1" x14ac:dyDescent="0.3">
      <c r="A110" s="788" t="str">
        <f t="shared" ref="A110:A112" si="17">A109</f>
        <v>C</v>
      </c>
      <c r="B110" s="789">
        <f t="shared" ref="B110:B111" si="18">B109+1</f>
        <v>19</v>
      </c>
      <c r="C110" s="790" t="str">
        <f t="shared" ca="1" si="7"/>
        <v>Oostenrijk</v>
      </c>
      <c r="D110" s="791" t="str">
        <f ca="1">IF(C110="","",Voorblad!$X$77)</f>
        <v>C3</v>
      </c>
      <c r="E110" s="803">
        <f t="shared" si="12"/>
        <v>22</v>
      </c>
      <c r="F110" s="804" t="str">
        <f t="shared" ca="1" si="13"/>
        <v>C4</v>
      </c>
      <c r="G110" s="803" t="str">
        <f t="shared" ca="1" si="8"/>
        <v/>
      </c>
      <c r="H110" s="804" t="str">
        <f t="shared" ca="1" si="8"/>
        <v/>
      </c>
      <c r="I110" s="803" t="str">
        <f t="shared" ca="1" si="8"/>
        <v>C4</v>
      </c>
      <c r="J110" s="804" t="str">
        <f t="shared" ca="1" si="8"/>
        <v>C4</v>
      </c>
      <c r="K110" s="803" t="str">
        <f t="shared" ca="1" si="8"/>
        <v>C4</v>
      </c>
      <c r="L110" s="804" t="str">
        <f t="shared" ca="1" si="8"/>
        <v/>
      </c>
      <c r="M110" s="803" t="str">
        <f t="shared" ca="1" si="8"/>
        <v/>
      </c>
      <c r="N110" s="804" t="str">
        <f t="shared" ca="1" si="8"/>
        <v>C4</v>
      </c>
      <c r="O110" s="803" t="str">
        <f t="shared" ca="1" si="14"/>
        <v>C4</v>
      </c>
      <c r="P110" s="804" t="str">
        <f t="shared" ca="1" si="14"/>
        <v/>
      </c>
      <c r="Q110" s="803" t="str">
        <f t="shared" ca="1" si="14"/>
        <v>C4</v>
      </c>
      <c r="R110" s="804" t="str">
        <f t="shared" ca="1" si="14"/>
        <v/>
      </c>
      <c r="S110" s="803" t="str">
        <f t="shared" ca="1" si="9"/>
        <v>C4</v>
      </c>
    </row>
    <row r="111" spans="1:19" s="796" customFormat="1" x14ac:dyDescent="0.3">
      <c r="A111" s="788" t="str">
        <f t="shared" si="17"/>
        <v>C</v>
      </c>
      <c r="B111" s="789">
        <f t="shared" si="18"/>
        <v>20</v>
      </c>
      <c r="C111" s="790" t="str">
        <f t="shared" ca="1" si="7"/>
        <v>N.-Macedonië</v>
      </c>
      <c r="D111" s="791" t="str">
        <f ca="1">IF(C111="","",Voorblad!$X$78)</f>
        <v>C4</v>
      </c>
      <c r="E111" s="803">
        <f t="shared" si="12"/>
        <v>24</v>
      </c>
      <c r="F111" s="804" t="str">
        <f t="shared" ca="1" si="13"/>
        <v>C2</v>
      </c>
      <c r="G111" s="803" t="str">
        <f t="shared" ca="1" si="8"/>
        <v/>
      </c>
      <c r="H111" s="804" t="str">
        <f t="shared" ca="1" si="8"/>
        <v/>
      </c>
      <c r="I111" s="803" t="str">
        <f t="shared" ca="1" si="8"/>
        <v>C2</v>
      </c>
      <c r="J111" s="804" t="str">
        <f t="shared" ca="1" si="8"/>
        <v>C2</v>
      </c>
      <c r="K111" s="803" t="str">
        <f t="shared" ca="1" si="8"/>
        <v>C2</v>
      </c>
      <c r="L111" s="804" t="str">
        <f t="shared" ca="1" si="8"/>
        <v/>
      </c>
      <c r="M111" s="803" t="str">
        <f t="shared" ca="1" si="8"/>
        <v/>
      </c>
      <c r="N111" s="804" t="str">
        <f t="shared" ca="1" si="8"/>
        <v>C2</v>
      </c>
      <c r="O111" s="803" t="str">
        <f t="shared" ca="1" si="14"/>
        <v>C2</v>
      </c>
      <c r="P111" s="804" t="str">
        <f t="shared" ca="1" si="14"/>
        <v/>
      </c>
      <c r="Q111" s="803" t="str">
        <f t="shared" ca="1" si="14"/>
        <v>C2</v>
      </c>
      <c r="R111" s="804" t="str">
        <f t="shared" ca="1" si="14"/>
        <v/>
      </c>
      <c r="S111" s="803" t="str">
        <f t="shared" ca="1" si="9"/>
        <v>C2</v>
      </c>
    </row>
    <row r="112" spans="1:19" s="796" customFormat="1" x14ac:dyDescent="0.3">
      <c r="A112" s="788" t="str">
        <f t="shared" si="17"/>
        <v>C</v>
      </c>
      <c r="B112" s="789">
        <f>B111+2</f>
        <v>22</v>
      </c>
      <c r="C112" s="790" t="str">
        <f t="shared" ca="1" si="7"/>
        <v>Engeland</v>
      </c>
      <c r="D112" s="791" t="str">
        <f ca="1">IF(C112="","",Voorblad!$X$79)</f>
        <v>D1</v>
      </c>
      <c r="E112" s="803">
        <f t="shared" si="12"/>
        <v>26</v>
      </c>
      <c r="F112" s="804" t="str">
        <f t="shared" ca="1" si="13"/>
        <v>C3</v>
      </c>
      <c r="G112" s="803" t="str">
        <f t="shared" ca="1" si="8"/>
        <v/>
      </c>
      <c r="H112" s="804" t="str">
        <f t="shared" ca="1" si="8"/>
        <v/>
      </c>
      <c r="I112" s="803" t="str">
        <f t="shared" ca="1" si="8"/>
        <v>C3</v>
      </c>
      <c r="J112" s="804" t="str">
        <f t="shared" ca="1" si="8"/>
        <v>C3</v>
      </c>
      <c r="K112" s="803" t="str">
        <f t="shared" ca="1" si="8"/>
        <v>C3</v>
      </c>
      <c r="L112" s="804" t="str">
        <f t="shared" ca="1" si="8"/>
        <v/>
      </c>
      <c r="M112" s="803" t="str">
        <f t="shared" ca="1" si="8"/>
        <v/>
      </c>
      <c r="N112" s="804" t="str">
        <f t="shared" ca="1" si="8"/>
        <v>C3</v>
      </c>
      <c r="O112" s="803" t="str">
        <f t="shared" ca="1" si="14"/>
        <v>C3</v>
      </c>
      <c r="P112" s="804" t="str">
        <f t="shared" ca="1" si="14"/>
        <v/>
      </c>
      <c r="Q112" s="803" t="str">
        <f t="shared" ca="1" si="14"/>
        <v>C3</v>
      </c>
      <c r="R112" s="804" t="str">
        <f t="shared" ca="1" si="14"/>
        <v/>
      </c>
      <c r="S112" s="803" t="str">
        <f t="shared" ca="1" si="9"/>
        <v>C3</v>
      </c>
    </row>
    <row r="113" spans="1:19" s="796" customFormat="1" x14ac:dyDescent="0.3">
      <c r="A113" s="788" t="str">
        <f>A112</f>
        <v>C</v>
      </c>
      <c r="B113" s="789">
        <f>B112+1</f>
        <v>23</v>
      </c>
      <c r="C113" s="790" t="str">
        <f t="shared" ca="1" si="7"/>
        <v>Kroatië</v>
      </c>
      <c r="D113" s="791" t="str">
        <f ca="1">IF(C113="","",Voorblad!$X$80)</f>
        <v>D2</v>
      </c>
      <c r="E113" s="803">
        <f t="shared" si="12"/>
        <v>28</v>
      </c>
      <c r="F113" s="804" t="str">
        <f t="shared" ca="1" si="13"/>
        <v>E3</v>
      </c>
      <c r="G113" s="803" t="str">
        <f t="shared" ca="1" si="8"/>
        <v>E3</v>
      </c>
      <c r="H113" s="804" t="str">
        <f t="shared" ca="1" si="8"/>
        <v>E3</v>
      </c>
      <c r="I113" s="803" t="str">
        <f t="shared" ca="1" si="8"/>
        <v/>
      </c>
      <c r="J113" s="804" t="str">
        <f t="shared" ca="1" si="8"/>
        <v/>
      </c>
      <c r="K113" s="803" t="str">
        <f t="shared" ca="1" si="8"/>
        <v/>
      </c>
      <c r="L113" s="804" t="str">
        <f t="shared" ca="1" si="8"/>
        <v>E3</v>
      </c>
      <c r="M113" s="803" t="str">
        <f t="shared" ca="1" si="8"/>
        <v>E3</v>
      </c>
      <c r="N113" s="804" t="str">
        <f t="shared" ca="1" si="8"/>
        <v/>
      </c>
      <c r="O113" s="803" t="str">
        <f t="shared" ca="1" si="14"/>
        <v>E3</v>
      </c>
      <c r="P113" s="804" t="str">
        <f t="shared" ca="1" si="14"/>
        <v/>
      </c>
      <c r="Q113" s="803" t="str">
        <f t="shared" ca="1" si="14"/>
        <v>E3</v>
      </c>
      <c r="R113" s="804" t="str">
        <f t="shared" ca="1" si="14"/>
        <v/>
      </c>
      <c r="S113" s="803" t="str">
        <f t="shared" ca="1" si="9"/>
        <v>E3</v>
      </c>
    </row>
    <row r="114" spans="1:19" s="796" customFormat="1" x14ac:dyDescent="0.3">
      <c r="A114" s="788" t="str">
        <f t="shared" ref="A114:A116" si="19">A113</f>
        <v>C</v>
      </c>
      <c r="B114" s="789">
        <f t="shared" ref="B114:B115" si="20">B113+1</f>
        <v>24</v>
      </c>
      <c r="C114" s="790" t="str">
        <f t="shared" ca="1" si="7"/>
        <v>Schotland</v>
      </c>
      <c r="D114" s="791" t="str">
        <f ca="1">IF(C114="","",Voorblad!$X$81)</f>
        <v>D3</v>
      </c>
      <c r="E114" s="803">
        <f t="shared" si="12"/>
        <v>30</v>
      </c>
      <c r="F114" s="804" t="str">
        <f t="shared" ca="1" si="13"/>
        <v>F2</v>
      </c>
      <c r="G114" s="803" t="str">
        <f t="shared" ca="1" si="8"/>
        <v>F2</v>
      </c>
      <c r="H114" s="804" t="str">
        <f t="shared" ca="1" si="8"/>
        <v>F2</v>
      </c>
      <c r="I114" s="803" t="str">
        <f t="shared" ca="1" si="8"/>
        <v/>
      </c>
      <c r="J114" s="804" t="str">
        <f t="shared" ca="1" si="8"/>
        <v/>
      </c>
      <c r="K114" s="803" t="str">
        <f t="shared" ca="1" si="8"/>
        <v>F2</v>
      </c>
      <c r="L114" s="804" t="str">
        <f t="shared" ca="1" si="8"/>
        <v/>
      </c>
      <c r="M114" s="803" t="str">
        <f t="shared" ca="1" si="8"/>
        <v>F2</v>
      </c>
      <c r="N114" s="804" t="str">
        <f t="shared" ca="1" si="8"/>
        <v/>
      </c>
      <c r="O114" s="803" t="str">
        <f t="shared" ca="1" si="14"/>
        <v>F2</v>
      </c>
      <c r="P114" s="804" t="str">
        <f t="shared" ca="1" si="14"/>
        <v/>
      </c>
      <c r="Q114" s="803" t="str">
        <f t="shared" ca="1" si="14"/>
        <v/>
      </c>
      <c r="R114" s="804" t="str">
        <f t="shared" ca="1" si="14"/>
        <v>F2</v>
      </c>
      <c r="S114" s="803" t="str">
        <f t="shared" ca="1" si="9"/>
        <v>F2</v>
      </c>
    </row>
    <row r="115" spans="1:19" s="796" customFormat="1" x14ac:dyDescent="0.3">
      <c r="A115" s="788" t="str">
        <f t="shared" si="19"/>
        <v>C</v>
      </c>
      <c r="B115" s="789">
        <f t="shared" si="20"/>
        <v>25</v>
      </c>
      <c r="C115" s="790" t="str">
        <f t="shared" ca="1" si="7"/>
        <v>Tsjechië</v>
      </c>
      <c r="D115" s="791" t="str">
        <f ca="1">IF(C115="","",Voorblad!$X$82)</f>
        <v>D4</v>
      </c>
      <c r="E115" s="803">
        <f t="shared" si="12"/>
        <v>32</v>
      </c>
      <c r="F115" s="804" t="str">
        <f t="shared" ca="1" si="13"/>
        <v>B4</v>
      </c>
      <c r="G115" s="803" t="str">
        <f t="shared" ca="1" si="8"/>
        <v/>
      </c>
      <c r="H115" s="804" t="str">
        <f t="shared" ca="1" si="8"/>
        <v/>
      </c>
      <c r="I115" s="803" t="str">
        <f t="shared" ca="1" si="8"/>
        <v>B4</v>
      </c>
      <c r="J115" s="804" t="str">
        <f t="shared" ca="1" si="8"/>
        <v>B4</v>
      </c>
      <c r="K115" s="803" t="str">
        <f t="shared" ca="1" si="8"/>
        <v>B4</v>
      </c>
      <c r="L115" s="804" t="str">
        <f t="shared" ca="1" si="8"/>
        <v/>
      </c>
      <c r="M115" s="803" t="str">
        <f t="shared" ca="1" si="8"/>
        <v>B4</v>
      </c>
      <c r="N115" s="804" t="str">
        <f t="shared" ca="1" si="8"/>
        <v/>
      </c>
      <c r="O115" s="803" t="str">
        <f t="shared" ca="1" si="14"/>
        <v/>
      </c>
      <c r="P115" s="804" t="str">
        <f t="shared" ca="1" si="14"/>
        <v>B4</v>
      </c>
      <c r="Q115" s="803" t="str">
        <f t="shared" ca="1" si="14"/>
        <v>B4</v>
      </c>
      <c r="R115" s="804" t="str">
        <f t="shared" ca="1" si="14"/>
        <v/>
      </c>
      <c r="S115" s="803" t="str">
        <f t="shared" ca="1" si="9"/>
        <v>B4</v>
      </c>
    </row>
    <row r="116" spans="1:19" s="796" customFormat="1" x14ac:dyDescent="0.3">
      <c r="A116" s="788" t="str">
        <f t="shared" si="19"/>
        <v>C</v>
      </c>
      <c r="B116" s="789">
        <f>B115+2</f>
        <v>27</v>
      </c>
      <c r="C116" s="790" t="str">
        <f t="shared" ca="1" si="7"/>
        <v>Spanje</v>
      </c>
      <c r="D116" s="791" t="str">
        <f ca="1">IF(C116="","",Voorblad!$X$83)</f>
        <v>E1</v>
      </c>
      <c r="E116" s="803">
        <f t="shared" si="12"/>
        <v>34</v>
      </c>
      <c r="F116" s="804" t="str">
        <f t="shared" ca="1" si="13"/>
        <v>D3</v>
      </c>
      <c r="G116" s="803" t="str">
        <f t="shared" ca="1" si="8"/>
        <v>D3</v>
      </c>
      <c r="H116" s="804" t="str">
        <f t="shared" ca="1" si="8"/>
        <v>D3</v>
      </c>
      <c r="I116" s="803" t="str">
        <f t="shared" ca="1" si="8"/>
        <v/>
      </c>
      <c r="J116" s="804" t="str">
        <f t="shared" ca="1" si="8"/>
        <v>D3</v>
      </c>
      <c r="K116" s="803" t="str">
        <f t="shared" ca="1" si="8"/>
        <v/>
      </c>
      <c r="L116" s="804" t="str">
        <f t="shared" ca="1" si="8"/>
        <v>D3</v>
      </c>
      <c r="M116" s="803" t="str">
        <f t="shared" ca="1" si="8"/>
        <v>D3</v>
      </c>
      <c r="N116" s="804" t="str">
        <f t="shared" ca="1" si="8"/>
        <v/>
      </c>
      <c r="O116" s="803" t="str">
        <f t="shared" ca="1" si="14"/>
        <v>D3</v>
      </c>
      <c r="P116" s="804" t="str">
        <f t="shared" ca="1" si="14"/>
        <v/>
      </c>
      <c r="Q116" s="803" t="str">
        <f t="shared" ca="1" si="14"/>
        <v>D3</v>
      </c>
      <c r="R116" s="804" t="str">
        <f t="shared" ca="1" si="14"/>
        <v>D3</v>
      </c>
      <c r="S116" s="803" t="str">
        <f t="shared" ca="1" si="9"/>
        <v>D3</v>
      </c>
    </row>
    <row r="117" spans="1:19" s="796" customFormat="1" x14ac:dyDescent="0.3">
      <c r="A117" s="788" t="str">
        <f>A116</f>
        <v>C</v>
      </c>
      <c r="B117" s="789">
        <f>B116+1</f>
        <v>28</v>
      </c>
      <c r="C117" s="790" t="str">
        <f t="shared" ca="1" si="7"/>
        <v>Zweden</v>
      </c>
      <c r="D117" s="791" t="str">
        <f ca="1">IF(C117="","",Voorblad!$X$84)</f>
        <v>E2</v>
      </c>
      <c r="E117" s="803">
        <f t="shared" si="12"/>
        <v>36</v>
      </c>
      <c r="F117" s="804" t="str">
        <f t="shared" ca="1" si="13"/>
        <v>E4</v>
      </c>
      <c r="G117" s="803" t="str">
        <f t="shared" ca="1" si="8"/>
        <v>E4</v>
      </c>
      <c r="H117" s="804" t="str">
        <f t="shared" ca="1" si="8"/>
        <v>E4</v>
      </c>
      <c r="I117" s="803" t="str">
        <f t="shared" ca="1" si="8"/>
        <v/>
      </c>
      <c r="J117" s="804" t="str">
        <f t="shared" ca="1" si="8"/>
        <v/>
      </c>
      <c r="K117" s="803" t="str">
        <f t="shared" ca="1" si="8"/>
        <v/>
      </c>
      <c r="L117" s="804" t="str">
        <f t="shared" ca="1" si="8"/>
        <v>E4</v>
      </c>
      <c r="M117" s="803" t="str">
        <f t="shared" ca="1" si="8"/>
        <v>E4</v>
      </c>
      <c r="N117" s="804" t="str">
        <f t="shared" ca="1" si="8"/>
        <v/>
      </c>
      <c r="O117" s="803" t="str">
        <f t="shared" ca="1" si="14"/>
        <v>E4</v>
      </c>
      <c r="P117" s="804" t="str">
        <f t="shared" ca="1" si="14"/>
        <v/>
      </c>
      <c r="Q117" s="803" t="str">
        <f t="shared" ca="1" si="14"/>
        <v>E4</v>
      </c>
      <c r="R117" s="804" t="str">
        <f t="shared" ca="1" si="14"/>
        <v/>
      </c>
      <c r="S117" s="803" t="str">
        <f t="shared" ca="1" si="9"/>
        <v>E4</v>
      </c>
    </row>
    <row r="118" spans="1:19" s="796" customFormat="1" x14ac:dyDescent="0.3">
      <c r="A118" s="788" t="str">
        <f t="shared" ref="A118:A120" si="21">A117</f>
        <v>C</v>
      </c>
      <c r="B118" s="789">
        <f t="shared" ref="B118:B119" si="22">B117+1</f>
        <v>29</v>
      </c>
      <c r="C118" s="790" t="str">
        <f t="shared" ca="1" si="7"/>
        <v>Polen</v>
      </c>
      <c r="D118" s="791" t="str">
        <f ca="1">IF(C118="","",Voorblad!$X$85)</f>
        <v>E3</v>
      </c>
      <c r="E118" s="803">
        <f t="shared" si="12"/>
        <v>38</v>
      </c>
      <c r="F118" s="804" t="str">
        <f t="shared" ca="1" si="13"/>
        <v>E1</v>
      </c>
      <c r="G118" s="803" t="str">
        <f t="shared" ca="1" si="8"/>
        <v>E1</v>
      </c>
      <c r="H118" s="804" t="str">
        <f t="shared" ca="1" si="8"/>
        <v>E1</v>
      </c>
      <c r="I118" s="803" t="str">
        <f t="shared" ca="1" si="8"/>
        <v/>
      </c>
      <c r="J118" s="804" t="str">
        <f t="shared" ca="1" si="8"/>
        <v/>
      </c>
      <c r="K118" s="803" t="str">
        <f t="shared" ca="1" si="8"/>
        <v/>
      </c>
      <c r="L118" s="804" t="str">
        <f t="shared" ca="1" si="8"/>
        <v>E1</v>
      </c>
      <c r="M118" s="803" t="str">
        <f t="shared" ca="1" si="8"/>
        <v>E1</v>
      </c>
      <c r="N118" s="804" t="str">
        <f t="shared" ca="1" si="8"/>
        <v/>
      </c>
      <c r="O118" s="803" t="str">
        <f t="shared" ca="1" si="14"/>
        <v>E1</v>
      </c>
      <c r="P118" s="804" t="str">
        <f t="shared" ca="1" si="14"/>
        <v/>
      </c>
      <c r="Q118" s="803" t="str">
        <f t="shared" ca="1" si="14"/>
        <v>E1</v>
      </c>
      <c r="R118" s="804" t="str">
        <f t="shared" ca="1" si="14"/>
        <v/>
      </c>
      <c r="S118" s="803" t="str">
        <f t="shared" ca="1" si="9"/>
        <v>E1</v>
      </c>
    </row>
    <row r="119" spans="1:19" s="796" customFormat="1" x14ac:dyDescent="0.3">
      <c r="A119" s="788" t="str">
        <f t="shared" si="21"/>
        <v>C</v>
      </c>
      <c r="B119" s="789">
        <f t="shared" si="22"/>
        <v>30</v>
      </c>
      <c r="C119" s="790" t="str">
        <f t="shared" ca="1" si="7"/>
        <v>Slowakije</v>
      </c>
      <c r="D119" s="791" t="str">
        <f ca="1">IF(C119="","",Voorblad!$X$86)</f>
        <v>E4</v>
      </c>
      <c r="E119" s="803">
        <f t="shared" si="12"/>
        <v>40</v>
      </c>
      <c r="F119" s="804" t="str">
        <f t="shared" ca="1" si="13"/>
        <v>D4</v>
      </c>
      <c r="G119" s="803" t="str">
        <f t="shared" ca="1" si="8"/>
        <v>D4</v>
      </c>
      <c r="H119" s="804" t="str">
        <f t="shared" ca="1" si="8"/>
        <v>D4</v>
      </c>
      <c r="I119" s="803" t="str">
        <f t="shared" ca="1" si="8"/>
        <v/>
      </c>
      <c r="J119" s="804" t="str">
        <f t="shared" ca="1" si="8"/>
        <v>D4</v>
      </c>
      <c r="K119" s="803" t="str">
        <f t="shared" ca="1" si="8"/>
        <v/>
      </c>
      <c r="L119" s="804" t="str">
        <f t="shared" ca="1" si="8"/>
        <v>D4</v>
      </c>
      <c r="M119" s="803" t="str">
        <f t="shared" ca="1" si="8"/>
        <v>D4</v>
      </c>
      <c r="N119" s="804" t="str">
        <f t="shared" ca="1" si="8"/>
        <v/>
      </c>
      <c r="O119" s="803" t="str">
        <f t="shared" ca="1" si="14"/>
        <v>D4</v>
      </c>
      <c r="P119" s="804" t="str">
        <f t="shared" ca="1" si="14"/>
        <v/>
      </c>
      <c r="Q119" s="803" t="str">
        <f t="shared" ca="1" si="14"/>
        <v>D4</v>
      </c>
      <c r="R119" s="804" t="str">
        <f t="shared" ca="1" si="14"/>
        <v>D4</v>
      </c>
      <c r="S119" s="803" t="str">
        <f t="shared" ca="1" si="9"/>
        <v>D4</v>
      </c>
    </row>
    <row r="120" spans="1:19" s="796" customFormat="1" x14ac:dyDescent="0.3">
      <c r="A120" s="788" t="str">
        <f t="shared" si="21"/>
        <v>C</v>
      </c>
      <c r="B120" s="789">
        <f>B119+2</f>
        <v>32</v>
      </c>
      <c r="C120" s="790" t="str">
        <f t="shared" ca="1" si="7"/>
        <v>Hongarije</v>
      </c>
      <c r="D120" s="791" t="str">
        <f ca="1">IF(C120="","",Voorblad!$X$87)</f>
        <v>F1</v>
      </c>
      <c r="E120" s="803">
        <f t="shared" si="12"/>
        <v>42</v>
      </c>
      <c r="F120" s="804" t="str">
        <f t="shared" ca="1" si="13"/>
        <v>A1</v>
      </c>
      <c r="G120" s="803" t="str">
        <f t="shared" ca="1" si="8"/>
        <v>A1</v>
      </c>
      <c r="H120" s="804" t="str">
        <f t="shared" ca="1" si="8"/>
        <v/>
      </c>
      <c r="I120" s="803" t="str">
        <f t="shared" ca="1" si="8"/>
        <v>A1</v>
      </c>
      <c r="J120" s="804" t="str">
        <f t="shared" ca="1" si="8"/>
        <v>A1</v>
      </c>
      <c r="K120" s="803" t="str">
        <f t="shared" ca="1" si="8"/>
        <v>A1</v>
      </c>
      <c r="L120" s="804" t="str">
        <f t="shared" ca="1" si="8"/>
        <v/>
      </c>
      <c r="M120" s="803" t="str">
        <f t="shared" ca="1" si="8"/>
        <v>A1</v>
      </c>
      <c r="N120" s="804" t="str">
        <f t="shared" ca="1" si="8"/>
        <v>A1</v>
      </c>
      <c r="O120" s="803" t="str">
        <f t="shared" ca="1" si="14"/>
        <v/>
      </c>
      <c r="P120" s="804" t="str">
        <f t="shared" ca="1" si="14"/>
        <v>A1</v>
      </c>
      <c r="Q120" s="803" t="str">
        <f t="shared" ca="1" si="14"/>
        <v>A1</v>
      </c>
      <c r="R120" s="804" t="str">
        <f t="shared" ca="1" si="14"/>
        <v/>
      </c>
      <c r="S120" s="803" t="str">
        <f t="shared" ca="1" si="9"/>
        <v>A1</v>
      </c>
    </row>
    <row r="121" spans="1:19" s="796" customFormat="1" x14ac:dyDescent="0.3">
      <c r="A121" s="788" t="str">
        <f>A120</f>
        <v>C</v>
      </c>
      <c r="B121" s="789">
        <f>B120+1</f>
        <v>33</v>
      </c>
      <c r="C121" s="790" t="str">
        <f t="shared" ca="1" si="7"/>
        <v>Portugal</v>
      </c>
      <c r="D121" s="791" t="str">
        <f ca="1">IF(C121="","",Voorblad!$X$88)</f>
        <v>F2</v>
      </c>
      <c r="E121" s="803">
        <f t="shared" si="12"/>
        <v>44</v>
      </c>
      <c r="F121" s="804" t="str">
        <f t="shared" ca="1" si="13"/>
        <v>A3</v>
      </c>
      <c r="G121" s="803" t="str">
        <f t="shared" ca="1" si="8"/>
        <v>A3</v>
      </c>
      <c r="H121" s="804" t="str">
        <f t="shared" ca="1" si="8"/>
        <v/>
      </c>
      <c r="I121" s="803" t="str">
        <f t="shared" ca="1" si="8"/>
        <v>A3</v>
      </c>
      <c r="J121" s="804" t="str">
        <f t="shared" ca="1" si="8"/>
        <v>A3</v>
      </c>
      <c r="K121" s="803" t="str">
        <f t="shared" ca="1" si="8"/>
        <v>A3</v>
      </c>
      <c r="L121" s="804" t="str">
        <f t="shared" ca="1" si="8"/>
        <v/>
      </c>
      <c r="M121" s="803" t="str">
        <f t="shared" ca="1" si="8"/>
        <v>A3</v>
      </c>
      <c r="N121" s="804" t="str">
        <f t="shared" ca="1" si="8"/>
        <v>A3</v>
      </c>
      <c r="O121" s="803" t="str">
        <f t="shared" ca="1" si="14"/>
        <v/>
      </c>
      <c r="P121" s="804" t="str">
        <f t="shared" ca="1" si="14"/>
        <v>A3</v>
      </c>
      <c r="Q121" s="803" t="str">
        <f t="shared" ca="1" si="14"/>
        <v>A3</v>
      </c>
      <c r="R121" s="804" t="str">
        <f t="shared" ca="1" si="14"/>
        <v/>
      </c>
      <c r="S121" s="803" t="str">
        <f t="shared" ca="1" si="9"/>
        <v>A3</v>
      </c>
    </row>
    <row r="122" spans="1:19" s="796" customFormat="1" x14ac:dyDescent="0.3">
      <c r="A122" s="788" t="str">
        <f t="shared" ref="A122:A124" si="23">A121</f>
        <v>C</v>
      </c>
      <c r="B122" s="789">
        <f t="shared" ref="B122:B123" si="24">B121+1</f>
        <v>34</v>
      </c>
      <c r="C122" s="790" t="str">
        <f t="shared" ca="1" si="7"/>
        <v>Frankrijk</v>
      </c>
      <c r="D122" s="791" t="str">
        <f ca="1">IF(C122="","",Voorblad!$X$89)</f>
        <v>F3</v>
      </c>
      <c r="E122" s="803">
        <f t="shared" si="12"/>
        <v>46</v>
      </c>
      <c r="F122" s="804" t="str">
        <f t="shared" ca="1" si="13"/>
        <v>E2</v>
      </c>
      <c r="G122" s="803" t="str">
        <f t="shared" ca="1" si="8"/>
        <v>E2</v>
      </c>
      <c r="H122" s="804" t="str">
        <f t="shared" ca="1" si="8"/>
        <v>E2</v>
      </c>
      <c r="I122" s="803" t="str">
        <f t="shared" ca="1" si="8"/>
        <v/>
      </c>
      <c r="J122" s="804" t="str">
        <f t="shared" ca="1" si="8"/>
        <v/>
      </c>
      <c r="K122" s="803" t="str">
        <f t="shared" ca="1" si="8"/>
        <v/>
      </c>
      <c r="L122" s="804" t="str">
        <f t="shared" ca="1" si="8"/>
        <v>E2</v>
      </c>
      <c r="M122" s="803" t="str">
        <f t="shared" ca="1" si="8"/>
        <v>E2</v>
      </c>
      <c r="N122" s="804" t="str">
        <f t="shared" ca="1" si="8"/>
        <v/>
      </c>
      <c r="O122" s="803" t="str">
        <f t="shared" ca="1" si="14"/>
        <v>E2</v>
      </c>
      <c r="P122" s="804" t="str">
        <f t="shared" ca="1" si="14"/>
        <v/>
      </c>
      <c r="Q122" s="803" t="str">
        <f t="shared" ca="1" si="14"/>
        <v>E2</v>
      </c>
      <c r="R122" s="804" t="str">
        <f t="shared" ca="1" si="14"/>
        <v/>
      </c>
      <c r="S122" s="803" t="str">
        <f t="shared" ca="1" si="9"/>
        <v>E2</v>
      </c>
    </row>
    <row r="123" spans="1:19" s="796" customFormat="1" x14ac:dyDescent="0.3">
      <c r="A123" s="788" t="str">
        <f t="shared" si="23"/>
        <v>C</v>
      </c>
      <c r="B123" s="789">
        <f t="shared" si="24"/>
        <v>35</v>
      </c>
      <c r="C123" s="790" t="str">
        <f t="shared" ca="1" si="7"/>
        <v>Duitsland</v>
      </c>
      <c r="D123" s="791" t="str">
        <f ca="1">IF(C123="","",Voorblad!$X$90)</f>
        <v>F4</v>
      </c>
      <c r="E123" s="803">
        <f t="shared" si="12"/>
        <v>48</v>
      </c>
      <c r="F123" s="804" t="str">
        <f t="shared" ca="1" si="13"/>
        <v>A4</v>
      </c>
      <c r="G123" s="803" t="str">
        <f t="shared" ca="1" si="8"/>
        <v>A4</v>
      </c>
      <c r="H123" s="804" t="str">
        <f t="shared" ca="1" si="8"/>
        <v/>
      </c>
      <c r="I123" s="803" t="str">
        <f t="shared" ca="1" si="8"/>
        <v>A4</v>
      </c>
      <c r="J123" s="804" t="str">
        <f t="shared" ca="1" si="8"/>
        <v>A4</v>
      </c>
      <c r="K123" s="803" t="str">
        <f t="shared" ca="1" si="8"/>
        <v>A4</v>
      </c>
      <c r="L123" s="804" t="str">
        <f t="shared" ca="1" si="8"/>
        <v/>
      </c>
      <c r="M123" s="803" t="str">
        <f t="shared" ca="1" si="8"/>
        <v>A4</v>
      </c>
      <c r="N123" s="804" t="str">
        <f t="shared" ca="1" si="8"/>
        <v>A4</v>
      </c>
      <c r="O123" s="803" t="str">
        <f t="shared" ca="1" si="14"/>
        <v/>
      </c>
      <c r="P123" s="804" t="str">
        <f t="shared" ca="1" si="14"/>
        <v>A4</v>
      </c>
      <c r="Q123" s="803" t="str">
        <f t="shared" ca="1" si="14"/>
        <v>A4</v>
      </c>
      <c r="R123" s="804" t="str">
        <f t="shared" ca="1" si="14"/>
        <v/>
      </c>
      <c r="S123" s="803" t="str">
        <f t="shared" ca="1" si="9"/>
        <v>A4</v>
      </c>
    </row>
    <row r="124" spans="1:19" s="796" customFormat="1" x14ac:dyDescent="0.3">
      <c r="A124" s="788" t="str">
        <f t="shared" si="23"/>
        <v>C</v>
      </c>
      <c r="B124" s="789">
        <f>B123+2</f>
        <v>37</v>
      </c>
      <c r="C124" s="790" t="str">
        <f t="shared" ca="1" si="7"/>
        <v>Land G1</v>
      </c>
      <c r="D124" s="791" t="str">
        <f ca="1">IF(C124="","",Voorblad!$X$91)</f>
        <v>G1</v>
      </c>
      <c r="E124" s="803">
        <f t="shared" si="12"/>
        <v>50</v>
      </c>
      <c r="F124" s="804" t="str">
        <f t="shared" ca="1" si="13"/>
        <v>G1</v>
      </c>
      <c r="G124" s="803" t="str">
        <f t="shared" ca="1" si="8"/>
        <v/>
      </c>
      <c r="H124" s="804" t="str">
        <f t="shared" ca="1" si="8"/>
        <v/>
      </c>
      <c r="I124" s="803" t="str">
        <f t="shared" ca="1" si="8"/>
        <v/>
      </c>
      <c r="J124" s="804" t="str">
        <f t="shared" ca="1" si="8"/>
        <v/>
      </c>
      <c r="K124" s="803" t="str">
        <f t="shared" ca="1" si="8"/>
        <v/>
      </c>
      <c r="L124" s="804" t="str">
        <f t="shared" ca="1" si="8"/>
        <v/>
      </c>
      <c r="M124" s="803" t="str">
        <f t="shared" ca="1" si="8"/>
        <v/>
      </c>
      <c r="N124" s="804" t="str">
        <f t="shared" ca="1" si="8"/>
        <v/>
      </c>
      <c r="O124" s="803" t="str">
        <f t="shared" ca="1" si="14"/>
        <v/>
      </c>
      <c r="P124" s="804" t="str">
        <f t="shared" ca="1" si="14"/>
        <v/>
      </c>
      <c r="Q124" s="803" t="str">
        <f t="shared" ca="1" si="14"/>
        <v/>
      </c>
      <c r="R124" s="804" t="str">
        <f t="shared" ca="1" si="14"/>
        <v/>
      </c>
      <c r="S124" s="803" t="str">
        <f t="shared" ca="1" si="9"/>
        <v/>
      </c>
    </row>
    <row r="125" spans="1:19" s="796" customFormat="1" x14ac:dyDescent="0.3">
      <c r="A125" s="788" t="str">
        <f>A124</f>
        <v>C</v>
      </c>
      <c r="B125" s="789">
        <f>B124+1</f>
        <v>38</v>
      </c>
      <c r="C125" s="790" t="str">
        <f t="shared" ca="1" si="7"/>
        <v>Land G2</v>
      </c>
      <c r="D125" s="791" t="str">
        <f ca="1">IF(C125="","",Voorblad!$X$92)</f>
        <v>G2</v>
      </c>
      <c r="E125" s="803">
        <f t="shared" si="12"/>
        <v>52</v>
      </c>
      <c r="F125" s="804" t="str">
        <f t="shared" ca="1" si="13"/>
        <v>G2</v>
      </c>
      <c r="G125" s="803" t="str">
        <f t="shared" ca="1" si="8"/>
        <v/>
      </c>
      <c r="H125" s="804" t="str">
        <f t="shared" ca="1" si="8"/>
        <v/>
      </c>
      <c r="I125" s="803" t="str">
        <f t="shared" ca="1" si="8"/>
        <v/>
      </c>
      <c r="J125" s="804" t="str">
        <f t="shared" ca="1" si="8"/>
        <v/>
      </c>
      <c r="K125" s="803" t="str">
        <f t="shared" ca="1" si="8"/>
        <v/>
      </c>
      <c r="L125" s="804" t="str">
        <f t="shared" ca="1" si="8"/>
        <v/>
      </c>
      <c r="M125" s="803" t="str">
        <f t="shared" ca="1" si="8"/>
        <v/>
      </c>
      <c r="N125" s="804" t="str">
        <f t="shared" ca="1" si="8"/>
        <v/>
      </c>
      <c r="O125" s="803" t="str">
        <f t="shared" ca="1" si="14"/>
        <v/>
      </c>
      <c r="P125" s="804" t="str">
        <f t="shared" ca="1" si="14"/>
        <v/>
      </c>
      <c r="Q125" s="803" t="str">
        <f t="shared" ca="1" si="14"/>
        <v/>
      </c>
      <c r="R125" s="804" t="str">
        <f t="shared" ca="1" si="14"/>
        <v/>
      </c>
      <c r="S125" s="803" t="str">
        <f t="shared" ca="1" si="9"/>
        <v/>
      </c>
    </row>
    <row r="126" spans="1:19" s="796" customFormat="1" x14ac:dyDescent="0.3">
      <c r="A126" s="788" t="str">
        <f t="shared" ref="A126:A128" si="25">A125</f>
        <v>C</v>
      </c>
      <c r="B126" s="789">
        <f t="shared" ref="B126:B127" si="26">B125+1</f>
        <v>39</v>
      </c>
      <c r="C126" s="790" t="str">
        <f t="shared" ca="1" si="7"/>
        <v>Land G3</v>
      </c>
      <c r="D126" s="791" t="str">
        <f ca="1">IF(C126="","",Voorblad!$X$93)</f>
        <v>G3</v>
      </c>
      <c r="E126" s="803">
        <f t="shared" si="12"/>
        <v>54</v>
      </c>
      <c r="F126" s="804" t="str">
        <f t="shared" ca="1" si="13"/>
        <v>G3</v>
      </c>
      <c r="G126" s="803" t="str">
        <f t="shared" ca="1" si="8"/>
        <v/>
      </c>
      <c r="H126" s="804" t="str">
        <f t="shared" ca="1" si="8"/>
        <v/>
      </c>
      <c r="I126" s="803" t="str">
        <f t="shared" ca="1" si="8"/>
        <v/>
      </c>
      <c r="J126" s="804" t="str">
        <f t="shared" ca="1" si="8"/>
        <v/>
      </c>
      <c r="K126" s="803" t="str">
        <f t="shared" ca="1" si="8"/>
        <v/>
      </c>
      <c r="L126" s="804" t="str">
        <f t="shared" ca="1" si="8"/>
        <v/>
      </c>
      <c r="M126" s="803" t="str">
        <f t="shared" ca="1" si="8"/>
        <v/>
      </c>
      <c r="N126" s="804" t="str">
        <f t="shared" ca="1" si="8"/>
        <v/>
      </c>
      <c r="O126" s="803" t="str">
        <f t="shared" ca="1" si="14"/>
        <v/>
      </c>
      <c r="P126" s="804" t="str">
        <f t="shared" ca="1" si="14"/>
        <v/>
      </c>
      <c r="Q126" s="803" t="str">
        <f t="shared" ca="1" si="14"/>
        <v/>
      </c>
      <c r="R126" s="804" t="str">
        <f t="shared" ca="1" si="14"/>
        <v/>
      </c>
      <c r="S126" s="803" t="str">
        <f t="shared" ca="1" si="9"/>
        <v/>
      </c>
    </row>
    <row r="127" spans="1:19" s="796" customFormat="1" x14ac:dyDescent="0.3">
      <c r="A127" s="788" t="str">
        <f t="shared" si="25"/>
        <v>C</v>
      </c>
      <c r="B127" s="789">
        <f t="shared" si="26"/>
        <v>40</v>
      </c>
      <c r="C127" s="790" t="str">
        <f t="shared" ca="1" si="7"/>
        <v>Land G4</v>
      </c>
      <c r="D127" s="791" t="str">
        <f ca="1">IF(C127="","",Voorblad!$X$94)</f>
        <v>G4</v>
      </c>
      <c r="E127" s="803">
        <f t="shared" si="12"/>
        <v>56</v>
      </c>
      <c r="F127" s="804" t="str">
        <f t="shared" ca="1" si="13"/>
        <v>G4</v>
      </c>
      <c r="G127" s="803" t="str">
        <f t="shared" ca="1" si="8"/>
        <v/>
      </c>
      <c r="H127" s="804" t="str">
        <f t="shared" ca="1" si="8"/>
        <v/>
      </c>
      <c r="I127" s="803" t="str">
        <f t="shared" ca="1" si="8"/>
        <v/>
      </c>
      <c r="J127" s="804" t="str">
        <f t="shared" ca="1" si="8"/>
        <v/>
      </c>
      <c r="K127" s="803" t="str">
        <f t="shared" ca="1" si="8"/>
        <v/>
      </c>
      <c r="L127" s="804" t="str">
        <f t="shared" ca="1" si="8"/>
        <v/>
      </c>
      <c r="M127" s="803" t="str">
        <f t="shared" ca="1" si="8"/>
        <v/>
      </c>
      <c r="N127" s="804" t="str">
        <f t="shared" ca="1" si="8"/>
        <v/>
      </c>
      <c r="O127" s="803" t="str">
        <f t="shared" ca="1" si="14"/>
        <v/>
      </c>
      <c r="P127" s="804" t="str">
        <f t="shared" ca="1" si="14"/>
        <v/>
      </c>
      <c r="Q127" s="803" t="str">
        <f t="shared" ca="1" si="14"/>
        <v/>
      </c>
      <c r="R127" s="804" t="str">
        <f t="shared" ca="1" si="14"/>
        <v/>
      </c>
      <c r="S127" s="803" t="str">
        <f t="shared" ca="1" si="9"/>
        <v/>
      </c>
    </row>
    <row r="128" spans="1:19" s="796" customFormat="1" x14ac:dyDescent="0.3">
      <c r="A128" s="788" t="str">
        <f t="shared" si="25"/>
        <v>C</v>
      </c>
      <c r="B128" s="789">
        <f>B127+2</f>
        <v>42</v>
      </c>
      <c r="C128" s="790" t="str">
        <f t="shared" ca="1" si="7"/>
        <v>Land H1</v>
      </c>
      <c r="D128" s="791" t="str">
        <f ca="1">IF(C128="","",Voorblad!$X$95)</f>
        <v>H1</v>
      </c>
      <c r="E128" s="803">
        <f t="shared" si="12"/>
        <v>58</v>
      </c>
      <c r="F128" s="804" t="str">
        <f t="shared" ca="1" si="13"/>
        <v>H1</v>
      </c>
      <c r="G128" s="803" t="str">
        <f t="shared" ca="1" si="8"/>
        <v/>
      </c>
      <c r="H128" s="804" t="str">
        <f t="shared" ca="1" si="8"/>
        <v/>
      </c>
      <c r="I128" s="803" t="str">
        <f t="shared" ca="1" si="8"/>
        <v/>
      </c>
      <c r="J128" s="804" t="str">
        <f t="shared" ca="1" si="8"/>
        <v/>
      </c>
      <c r="K128" s="803" t="str">
        <f t="shared" ca="1" si="8"/>
        <v/>
      </c>
      <c r="L128" s="804" t="str">
        <f t="shared" ca="1" si="8"/>
        <v/>
      </c>
      <c r="M128" s="803" t="str">
        <f t="shared" ca="1" si="8"/>
        <v/>
      </c>
      <c r="N128" s="804" t="str">
        <f t="shared" ca="1" si="8"/>
        <v/>
      </c>
      <c r="O128" s="803" t="str">
        <f t="shared" ca="1" si="14"/>
        <v/>
      </c>
      <c r="P128" s="804" t="str">
        <f t="shared" ca="1" si="14"/>
        <v/>
      </c>
      <c r="Q128" s="803" t="str">
        <f t="shared" ca="1" si="14"/>
        <v/>
      </c>
      <c r="R128" s="804" t="str">
        <f t="shared" ca="1" si="14"/>
        <v/>
      </c>
      <c r="S128" s="803" t="str">
        <f t="shared" ca="1" si="9"/>
        <v/>
      </c>
    </row>
    <row r="129" spans="1:19" s="796" customFormat="1" x14ac:dyDescent="0.3">
      <c r="A129" s="788" t="str">
        <f>A128</f>
        <v>C</v>
      </c>
      <c r="B129" s="789">
        <f>B128+1</f>
        <v>43</v>
      </c>
      <c r="C129" s="790" t="str">
        <f t="shared" ca="1" si="7"/>
        <v>Land H2</v>
      </c>
      <c r="D129" s="791" t="str">
        <f ca="1">IF(C129="","",Voorblad!$X$96)</f>
        <v>H2</v>
      </c>
      <c r="E129" s="803">
        <f t="shared" si="12"/>
        <v>60</v>
      </c>
      <c r="F129" s="804" t="str">
        <f t="shared" ca="1" si="13"/>
        <v>H2</v>
      </c>
      <c r="G129" s="803" t="str">
        <f t="shared" ca="1" si="8"/>
        <v/>
      </c>
      <c r="H129" s="804" t="str">
        <f t="shared" ca="1" si="8"/>
        <v/>
      </c>
      <c r="I129" s="803" t="str">
        <f t="shared" ca="1" si="8"/>
        <v/>
      </c>
      <c r="J129" s="804" t="str">
        <f t="shared" ca="1" si="8"/>
        <v/>
      </c>
      <c r="K129" s="803" t="str">
        <f t="shared" ca="1" si="8"/>
        <v/>
      </c>
      <c r="L129" s="804" t="str">
        <f t="shared" ca="1" si="8"/>
        <v/>
      </c>
      <c r="M129" s="803" t="str">
        <f t="shared" ca="1" si="8"/>
        <v/>
      </c>
      <c r="N129" s="804" t="str">
        <f t="shared" ca="1" si="8"/>
        <v/>
      </c>
      <c r="O129" s="803" t="str">
        <f t="shared" ca="1" si="14"/>
        <v/>
      </c>
      <c r="P129" s="804" t="str">
        <f t="shared" ca="1" si="14"/>
        <v/>
      </c>
      <c r="Q129" s="803" t="str">
        <f t="shared" ca="1" si="14"/>
        <v/>
      </c>
      <c r="R129" s="804" t="str">
        <f t="shared" ca="1" si="14"/>
        <v/>
      </c>
      <c r="S129" s="803" t="str">
        <f t="shared" ca="1" si="9"/>
        <v/>
      </c>
    </row>
    <row r="130" spans="1:19" s="796" customFormat="1" x14ac:dyDescent="0.3">
      <c r="A130" s="788" t="str">
        <f t="shared" ref="A130:A131" si="27">A129</f>
        <v>C</v>
      </c>
      <c r="B130" s="789">
        <f t="shared" ref="B130:B131" si="28">B129+1</f>
        <v>44</v>
      </c>
      <c r="C130" s="790" t="str">
        <f t="shared" ca="1" si="7"/>
        <v>Land H3</v>
      </c>
      <c r="D130" s="791" t="str">
        <f ca="1">IF(C130="","",Voorblad!$X$97)</f>
        <v>H3</v>
      </c>
      <c r="E130" s="803">
        <f t="shared" si="12"/>
        <v>62</v>
      </c>
      <c r="F130" s="804" t="str">
        <f t="shared" ca="1" si="13"/>
        <v>H3</v>
      </c>
      <c r="G130" s="803" t="str">
        <f t="shared" ca="1" si="8"/>
        <v/>
      </c>
      <c r="H130" s="804" t="str">
        <f t="shared" ca="1" si="8"/>
        <v/>
      </c>
      <c r="I130" s="803" t="str">
        <f t="shared" ca="1" si="8"/>
        <v/>
      </c>
      <c r="J130" s="804" t="str">
        <f t="shared" ca="1" si="8"/>
        <v/>
      </c>
      <c r="K130" s="803" t="str">
        <f t="shared" ca="1" si="8"/>
        <v/>
      </c>
      <c r="L130" s="804" t="str">
        <f t="shared" ca="1" si="8"/>
        <v/>
      </c>
      <c r="M130" s="803" t="str">
        <f t="shared" ca="1" si="8"/>
        <v/>
      </c>
      <c r="N130" s="804" t="str">
        <f t="shared" ca="1" si="8"/>
        <v/>
      </c>
      <c r="O130" s="803" t="str">
        <f t="shared" ca="1" si="14"/>
        <v/>
      </c>
      <c r="P130" s="804" t="str">
        <f t="shared" ca="1" si="14"/>
        <v/>
      </c>
      <c r="Q130" s="803" t="str">
        <f t="shared" ca="1" si="14"/>
        <v/>
      </c>
      <c r="R130" s="804" t="str">
        <f t="shared" ca="1" si="14"/>
        <v/>
      </c>
      <c r="S130" s="803" t="str">
        <f t="shared" ca="1" si="9"/>
        <v/>
      </c>
    </row>
    <row r="131" spans="1:19" s="796" customFormat="1" x14ac:dyDescent="0.3">
      <c r="A131" s="792" t="str">
        <f t="shared" si="27"/>
        <v>C</v>
      </c>
      <c r="B131" s="793">
        <f t="shared" si="28"/>
        <v>45</v>
      </c>
      <c r="C131" s="794" t="str">
        <f t="shared" ca="1" si="7"/>
        <v>Land H4</v>
      </c>
      <c r="D131" s="795" t="str">
        <f ca="1">IF(C131="","",Voorblad!X$98)</f>
        <v>H4</v>
      </c>
      <c r="E131" s="805">
        <f t="shared" si="12"/>
        <v>64</v>
      </c>
      <c r="F131" s="806" t="str">
        <f t="shared" ca="1" si="13"/>
        <v>H4</v>
      </c>
      <c r="G131" s="805" t="str">
        <f t="shared" ca="1" si="8"/>
        <v/>
      </c>
      <c r="H131" s="806" t="str">
        <f t="shared" ca="1" si="8"/>
        <v/>
      </c>
      <c r="I131" s="805" t="str">
        <f t="shared" ca="1" si="8"/>
        <v/>
      </c>
      <c r="J131" s="806" t="str">
        <f t="shared" ca="1" si="8"/>
        <v/>
      </c>
      <c r="K131" s="805" t="str">
        <f t="shared" ca="1" si="8"/>
        <v/>
      </c>
      <c r="L131" s="806" t="str">
        <f t="shared" ca="1" si="8"/>
        <v/>
      </c>
      <c r="M131" s="805" t="str">
        <f t="shared" ca="1" si="8"/>
        <v/>
      </c>
      <c r="N131" s="806" t="str">
        <f t="shared" ca="1" si="8"/>
        <v/>
      </c>
      <c r="O131" s="805" t="str">
        <f t="shared" ca="1" si="14"/>
        <v/>
      </c>
      <c r="P131" s="806" t="str">
        <f t="shared" ca="1" si="14"/>
        <v/>
      </c>
      <c r="Q131" s="805" t="str">
        <f t="shared" ca="1" si="14"/>
        <v/>
      </c>
      <c r="R131" s="806" t="str">
        <f t="shared" ca="1" si="14"/>
        <v/>
      </c>
      <c r="S131" s="805" t="str">
        <f t="shared" ca="1" si="9"/>
        <v/>
      </c>
    </row>
    <row r="132" spans="1:19" s="796" customFormat="1" x14ac:dyDescent="0.3">
      <c r="A132" s="772" t="str">
        <f>CHAR(CODE(A100)+1)</f>
        <v>D</v>
      </c>
      <c r="B132" s="773">
        <v>7</v>
      </c>
      <c r="C132" s="774" t="str">
        <f t="shared" ca="1" si="7"/>
        <v>Turkey</v>
      </c>
      <c r="D132" s="775" t="str">
        <f ca="1">IF(C132="","",Voorblad!$X$67)</f>
        <v>A1</v>
      </c>
    </row>
    <row r="133" spans="1:19" s="796" customFormat="1" x14ac:dyDescent="0.3">
      <c r="A133" s="776" t="str">
        <f>A132</f>
        <v>D</v>
      </c>
      <c r="B133" s="777">
        <f>B132+1</f>
        <v>8</v>
      </c>
      <c r="C133" s="778" t="str">
        <f t="shared" ca="1" si="7"/>
        <v>Italy</v>
      </c>
      <c r="D133" s="779" t="str">
        <f ca="1">IF(C133="","",Voorblad!$X$68)</f>
        <v>A2</v>
      </c>
    </row>
    <row r="134" spans="1:19" s="796" customFormat="1" x14ac:dyDescent="0.3">
      <c r="A134" s="776" t="str">
        <f t="shared" ref="A134:A136" si="29">A133</f>
        <v>D</v>
      </c>
      <c r="B134" s="777">
        <f t="shared" ref="B134:B135" si="30">B133+1</f>
        <v>9</v>
      </c>
      <c r="C134" s="778" t="str">
        <f t="shared" ca="1" si="7"/>
        <v>Wales</v>
      </c>
      <c r="D134" s="779" t="str">
        <f ca="1">IF(C134="","",Voorblad!$X$69)</f>
        <v>A3</v>
      </c>
    </row>
    <row r="135" spans="1:19" s="796" customFormat="1" x14ac:dyDescent="0.3">
      <c r="A135" s="776" t="str">
        <f t="shared" si="29"/>
        <v>D</v>
      </c>
      <c r="B135" s="777">
        <f t="shared" si="30"/>
        <v>10</v>
      </c>
      <c r="C135" s="778" t="str">
        <f t="shared" ca="1" si="7"/>
        <v>Switzerland</v>
      </c>
      <c r="D135" s="779" t="str">
        <f ca="1">IF(C135="","",Voorblad!$X$70)</f>
        <v>A4</v>
      </c>
    </row>
    <row r="136" spans="1:19" s="796" customFormat="1" x14ac:dyDescent="0.3">
      <c r="A136" s="776" t="str">
        <f t="shared" si="29"/>
        <v>D</v>
      </c>
      <c r="B136" s="777">
        <f>B135+2</f>
        <v>12</v>
      </c>
      <c r="C136" s="778" t="str">
        <f t="shared" ca="1" si="7"/>
        <v>Denmark</v>
      </c>
      <c r="D136" s="779" t="str">
        <f ca="1">IF(C136="","",Voorblad!$X$71)</f>
        <v>B1</v>
      </c>
    </row>
    <row r="137" spans="1:19" s="796" customFormat="1" x14ac:dyDescent="0.3">
      <c r="A137" s="776" t="str">
        <f>A136</f>
        <v>D</v>
      </c>
      <c r="B137" s="777">
        <f>B136+1</f>
        <v>13</v>
      </c>
      <c r="C137" s="778" t="str">
        <f t="shared" ca="1" si="7"/>
        <v>Finland</v>
      </c>
      <c r="D137" s="779" t="str">
        <f ca="1">IF(C137="","",Voorblad!$X$72)</f>
        <v>B2</v>
      </c>
    </row>
    <row r="138" spans="1:19" s="796" customFormat="1" x14ac:dyDescent="0.3">
      <c r="A138" s="776" t="str">
        <f t="shared" ref="A138:A140" si="31">A137</f>
        <v>D</v>
      </c>
      <c r="B138" s="777">
        <f t="shared" ref="B138:B139" si="32">B137+1</f>
        <v>14</v>
      </c>
      <c r="C138" s="778" t="str">
        <f t="shared" ca="1" si="7"/>
        <v>Belgium</v>
      </c>
      <c r="D138" s="779" t="str">
        <f ca="1">IF(C138="","",Voorblad!$X$73)</f>
        <v>B3</v>
      </c>
    </row>
    <row r="139" spans="1:19" s="796" customFormat="1" x14ac:dyDescent="0.3">
      <c r="A139" s="776" t="str">
        <f t="shared" si="31"/>
        <v>D</v>
      </c>
      <c r="B139" s="777">
        <f t="shared" si="32"/>
        <v>15</v>
      </c>
      <c r="C139" s="778" t="str">
        <f t="shared" ca="1" si="7"/>
        <v>Russia</v>
      </c>
      <c r="D139" s="779" t="str">
        <f ca="1">IF(C139="","",Voorblad!$X$74)</f>
        <v>B4</v>
      </c>
    </row>
    <row r="140" spans="1:19" s="796" customFormat="1" x14ac:dyDescent="0.3">
      <c r="A140" s="776" t="str">
        <f t="shared" si="31"/>
        <v>D</v>
      </c>
      <c r="B140" s="777">
        <f>B139+2</f>
        <v>17</v>
      </c>
      <c r="C140" s="778" t="str">
        <f t="shared" ca="1" si="7"/>
        <v>Netherlands</v>
      </c>
      <c r="D140" s="779" t="str">
        <f ca="1">IF(C140="","",Voorblad!$X$75)</f>
        <v>C1</v>
      </c>
    </row>
    <row r="141" spans="1:19" s="796" customFormat="1" x14ac:dyDescent="0.3">
      <c r="A141" s="776" t="str">
        <f>A140</f>
        <v>D</v>
      </c>
      <c r="B141" s="777">
        <f>B140+1</f>
        <v>18</v>
      </c>
      <c r="C141" s="778" t="str">
        <f t="shared" ca="1" si="7"/>
        <v>Ukraine</v>
      </c>
      <c r="D141" s="779" t="str">
        <f ca="1">IF(C141="","",Voorblad!$X$76)</f>
        <v>C2</v>
      </c>
    </row>
    <row r="142" spans="1:19" s="796" customFormat="1" x14ac:dyDescent="0.3">
      <c r="A142" s="776" t="str">
        <f t="shared" ref="A142:A144" si="33">A141</f>
        <v>D</v>
      </c>
      <c r="B142" s="777">
        <f t="shared" ref="B142:B143" si="34">B141+1</f>
        <v>19</v>
      </c>
      <c r="C142" s="778" t="str">
        <f t="shared" ca="1" si="7"/>
        <v>Austria</v>
      </c>
      <c r="D142" s="779" t="str">
        <f ca="1">IF(C142="","",Voorblad!$X$77)</f>
        <v>C3</v>
      </c>
    </row>
    <row r="143" spans="1:19" s="796" customFormat="1" x14ac:dyDescent="0.3">
      <c r="A143" s="776" t="str">
        <f t="shared" si="33"/>
        <v>D</v>
      </c>
      <c r="B143" s="777">
        <f t="shared" si="34"/>
        <v>20</v>
      </c>
      <c r="C143" s="778" t="str">
        <f t="shared" ca="1" si="7"/>
        <v>N. Macedonia</v>
      </c>
      <c r="D143" s="779" t="str">
        <f ca="1">IF(C143="","",Voorblad!$X$78)</f>
        <v>C4</v>
      </c>
    </row>
    <row r="144" spans="1:19" s="796" customFormat="1" x14ac:dyDescent="0.3">
      <c r="A144" s="776" t="str">
        <f t="shared" si="33"/>
        <v>D</v>
      </c>
      <c r="B144" s="777">
        <f>B143+2</f>
        <v>22</v>
      </c>
      <c r="C144" s="778" t="str">
        <f t="shared" ca="1" si="7"/>
        <v>England</v>
      </c>
      <c r="D144" s="779" t="str">
        <f ca="1">IF(C144="","",Voorblad!$X$79)</f>
        <v>D1</v>
      </c>
    </row>
    <row r="145" spans="1:4" s="796" customFormat="1" x14ac:dyDescent="0.3">
      <c r="A145" s="776" t="str">
        <f>A144</f>
        <v>D</v>
      </c>
      <c r="B145" s="777">
        <f>B144+1</f>
        <v>23</v>
      </c>
      <c r="C145" s="778" t="str">
        <f t="shared" ca="1" si="7"/>
        <v>Croatia</v>
      </c>
      <c r="D145" s="779" t="str">
        <f ca="1">IF(C145="","",Voorblad!$X$80)</f>
        <v>D2</v>
      </c>
    </row>
    <row r="146" spans="1:4" s="796" customFormat="1" x14ac:dyDescent="0.3">
      <c r="A146" s="776" t="str">
        <f t="shared" ref="A146:A148" si="35">A145</f>
        <v>D</v>
      </c>
      <c r="B146" s="777">
        <f t="shared" ref="B146:B147" si="36">B145+1</f>
        <v>24</v>
      </c>
      <c r="C146" s="778" t="str">
        <f t="shared" ca="1" si="7"/>
        <v>Scotland</v>
      </c>
      <c r="D146" s="779" t="str">
        <f ca="1">IF(C146="","",Voorblad!$X$81)</f>
        <v>D3</v>
      </c>
    </row>
    <row r="147" spans="1:4" s="796" customFormat="1" x14ac:dyDescent="0.3">
      <c r="A147" s="776" t="str">
        <f t="shared" si="35"/>
        <v>D</v>
      </c>
      <c r="B147" s="777">
        <f t="shared" si="36"/>
        <v>25</v>
      </c>
      <c r="C147" s="778" t="str">
        <f t="shared" ca="1" si="7"/>
        <v>Czech Rep.</v>
      </c>
      <c r="D147" s="779" t="str">
        <f ca="1">IF(C147="","",Voorblad!$X$82)</f>
        <v>D4</v>
      </c>
    </row>
    <row r="148" spans="1:4" s="796" customFormat="1" x14ac:dyDescent="0.3">
      <c r="A148" s="776" t="str">
        <f t="shared" si="35"/>
        <v>D</v>
      </c>
      <c r="B148" s="777">
        <f>B147+2</f>
        <v>27</v>
      </c>
      <c r="C148" s="778" t="str">
        <f t="shared" ca="1" si="7"/>
        <v>Spain</v>
      </c>
      <c r="D148" s="779" t="str">
        <f ca="1">IF(C148="","",Voorblad!$X$83)</f>
        <v>E1</v>
      </c>
    </row>
    <row r="149" spans="1:4" s="796" customFormat="1" x14ac:dyDescent="0.3">
      <c r="A149" s="776" t="str">
        <f>A148</f>
        <v>D</v>
      </c>
      <c r="B149" s="777">
        <f>B148+1</f>
        <v>28</v>
      </c>
      <c r="C149" s="778" t="str">
        <f t="shared" ca="1" si="7"/>
        <v>Sweden</v>
      </c>
      <c r="D149" s="779" t="str">
        <f ca="1">IF(C149="","",Voorblad!$X$84)</f>
        <v>E2</v>
      </c>
    </row>
    <row r="150" spans="1:4" s="796" customFormat="1" x14ac:dyDescent="0.3">
      <c r="A150" s="776" t="str">
        <f t="shared" ref="A150:A152" si="37">A149</f>
        <v>D</v>
      </c>
      <c r="B150" s="777">
        <f t="shared" ref="B150:B151" si="38">B149+1</f>
        <v>29</v>
      </c>
      <c r="C150" s="778" t="str">
        <f t="shared" ca="1" si="7"/>
        <v>Poland</v>
      </c>
      <c r="D150" s="779" t="str">
        <f ca="1">IF(C150="","",Voorblad!$X$85)</f>
        <v>E3</v>
      </c>
    </row>
    <row r="151" spans="1:4" s="796" customFormat="1" x14ac:dyDescent="0.3">
      <c r="A151" s="776" t="str">
        <f t="shared" si="37"/>
        <v>D</v>
      </c>
      <c r="B151" s="777">
        <f t="shared" si="38"/>
        <v>30</v>
      </c>
      <c r="C151" s="778" t="str">
        <f t="shared" ca="1" si="7"/>
        <v>Slovakia</v>
      </c>
      <c r="D151" s="779" t="str">
        <f ca="1">IF(C151="","",Voorblad!$X$86)</f>
        <v>E4</v>
      </c>
    </row>
    <row r="152" spans="1:4" s="796" customFormat="1" x14ac:dyDescent="0.3">
      <c r="A152" s="776" t="str">
        <f t="shared" si="37"/>
        <v>D</v>
      </c>
      <c r="B152" s="777">
        <f>B151+2</f>
        <v>32</v>
      </c>
      <c r="C152" s="778" t="str">
        <f t="shared" ca="1" si="7"/>
        <v>Hungary</v>
      </c>
      <c r="D152" s="779" t="str">
        <f ca="1">IF(C152="","",Voorblad!$X$87)</f>
        <v>F1</v>
      </c>
    </row>
    <row r="153" spans="1:4" s="796" customFormat="1" x14ac:dyDescent="0.3">
      <c r="A153" s="776" t="str">
        <f>A152</f>
        <v>D</v>
      </c>
      <c r="B153" s="777">
        <f>B152+1</f>
        <v>33</v>
      </c>
      <c r="C153" s="778" t="str">
        <f t="shared" ca="1" si="7"/>
        <v>Portugal</v>
      </c>
      <c r="D153" s="779" t="str">
        <f ca="1">IF(C153="","",Voorblad!$X$88)</f>
        <v>F2</v>
      </c>
    </row>
    <row r="154" spans="1:4" s="796" customFormat="1" x14ac:dyDescent="0.3">
      <c r="A154" s="776" t="str">
        <f t="shared" ref="A154:A156" si="39">A153</f>
        <v>D</v>
      </c>
      <c r="B154" s="777">
        <f t="shared" ref="B154:B155" si="40">B153+1</f>
        <v>34</v>
      </c>
      <c r="C154" s="778" t="str">
        <f t="shared" ca="1" si="7"/>
        <v>France</v>
      </c>
      <c r="D154" s="779" t="str">
        <f ca="1">IF(C154="","",Voorblad!$X$89)</f>
        <v>F3</v>
      </c>
    </row>
    <row r="155" spans="1:4" s="796" customFormat="1" x14ac:dyDescent="0.3">
      <c r="A155" s="776" t="str">
        <f t="shared" si="39"/>
        <v>D</v>
      </c>
      <c r="B155" s="777">
        <f t="shared" si="40"/>
        <v>35</v>
      </c>
      <c r="C155" s="778" t="str">
        <f t="shared" ca="1" si="7"/>
        <v>Germany</v>
      </c>
      <c r="D155" s="779" t="str">
        <f ca="1">IF(C155="","",Voorblad!$X$90)</f>
        <v>F4</v>
      </c>
    </row>
    <row r="156" spans="1:4" s="796" customFormat="1" x14ac:dyDescent="0.3">
      <c r="A156" s="776" t="str">
        <f t="shared" si="39"/>
        <v>D</v>
      </c>
      <c r="B156" s="777">
        <f>B155+2</f>
        <v>37</v>
      </c>
      <c r="C156" s="778" t="str">
        <f t="shared" ca="1" si="7"/>
        <v>Country G1</v>
      </c>
      <c r="D156" s="779" t="str">
        <f ca="1">IF(C156="","",Voorblad!$X$91)</f>
        <v>G1</v>
      </c>
    </row>
    <row r="157" spans="1:4" s="796" customFormat="1" x14ac:dyDescent="0.3">
      <c r="A157" s="776" t="str">
        <f>A156</f>
        <v>D</v>
      </c>
      <c r="B157" s="777">
        <f>B156+1</f>
        <v>38</v>
      </c>
      <c r="C157" s="778" t="str">
        <f t="shared" ca="1" si="7"/>
        <v>Country G2</v>
      </c>
      <c r="D157" s="779" t="str">
        <f ca="1">IF(C157="","",Voorblad!$X$92)</f>
        <v>G2</v>
      </c>
    </row>
    <row r="158" spans="1:4" s="796" customFormat="1" x14ac:dyDescent="0.3">
      <c r="A158" s="776" t="str">
        <f t="shared" ref="A158:A160" si="41">A157</f>
        <v>D</v>
      </c>
      <c r="B158" s="777">
        <f t="shared" ref="B158:B159" si="42">B157+1</f>
        <v>39</v>
      </c>
      <c r="C158" s="778" t="str">
        <f t="shared" ca="1" si="7"/>
        <v>Country G3</v>
      </c>
      <c r="D158" s="779" t="str">
        <f ca="1">IF(C158="","",Voorblad!$X$93)</f>
        <v>G3</v>
      </c>
    </row>
    <row r="159" spans="1:4" s="796" customFormat="1" x14ac:dyDescent="0.3">
      <c r="A159" s="776" t="str">
        <f t="shared" si="41"/>
        <v>D</v>
      </c>
      <c r="B159" s="777">
        <f t="shared" si="42"/>
        <v>40</v>
      </c>
      <c r="C159" s="778" t="str">
        <f t="shared" ca="1" si="7"/>
        <v>Country G4</v>
      </c>
      <c r="D159" s="779" t="str">
        <f ca="1">IF(C159="","",Voorblad!$X$94)</f>
        <v>G4</v>
      </c>
    </row>
    <row r="160" spans="1:4" s="796" customFormat="1" x14ac:dyDescent="0.3">
      <c r="A160" s="776" t="str">
        <f t="shared" si="41"/>
        <v>D</v>
      </c>
      <c r="B160" s="777">
        <f>B159+2</f>
        <v>42</v>
      </c>
      <c r="C160" s="778" t="str">
        <f t="shared" ca="1" si="7"/>
        <v>Country H1</v>
      </c>
      <c r="D160" s="779" t="str">
        <f ca="1">IF(C160="","",Voorblad!$X$95)</f>
        <v>H1</v>
      </c>
    </row>
    <row r="161" spans="1:4" s="796" customFormat="1" x14ac:dyDescent="0.3">
      <c r="A161" s="776" t="str">
        <f>A160</f>
        <v>D</v>
      </c>
      <c r="B161" s="777">
        <f>B160+1</f>
        <v>43</v>
      </c>
      <c r="C161" s="778" t="str">
        <f t="shared" ca="1" si="7"/>
        <v>Country H2</v>
      </c>
      <c r="D161" s="779" t="str">
        <f ca="1">IF(C161="","",Voorblad!$X$96)</f>
        <v>H2</v>
      </c>
    </row>
    <row r="162" spans="1:4" s="796" customFormat="1" x14ac:dyDescent="0.3">
      <c r="A162" s="776" t="str">
        <f t="shared" ref="A162:A163" si="43">A161</f>
        <v>D</v>
      </c>
      <c r="B162" s="777">
        <f t="shared" ref="B162:B163" si="44">B161+1</f>
        <v>44</v>
      </c>
      <c r="C162" s="778" t="str">
        <f t="shared" ca="1" si="7"/>
        <v>Country H3</v>
      </c>
      <c r="D162" s="779" t="str">
        <f ca="1">IF(C162="","",Voorblad!$X$97)</f>
        <v>H3</v>
      </c>
    </row>
    <row r="163" spans="1:4" s="796" customFormat="1" x14ac:dyDescent="0.3">
      <c r="A163" s="780" t="str">
        <f t="shared" si="43"/>
        <v>D</v>
      </c>
      <c r="B163" s="781">
        <f t="shared" si="44"/>
        <v>45</v>
      </c>
      <c r="C163" s="782" t="str">
        <f t="shared" ca="1" si="7"/>
        <v>Country H4</v>
      </c>
      <c r="D163" s="783" t="str">
        <f ca="1">IF(C163="","",Voorblad!X$98)</f>
        <v>H4</v>
      </c>
    </row>
    <row r="164" spans="1:4" s="796" customFormat="1" x14ac:dyDescent="0.3">
      <c r="A164" s="784" t="str">
        <f>CHAR(CODE(A132)+1)</f>
        <v>E</v>
      </c>
      <c r="B164" s="785">
        <v>7</v>
      </c>
      <c r="C164" s="786" t="str">
        <f t="shared" ca="1" si="7"/>
        <v/>
      </c>
      <c r="D164" s="787" t="str">
        <f ca="1">IF(C164="","",Voorblad!$X$67)</f>
        <v/>
      </c>
    </row>
    <row r="165" spans="1:4" s="796" customFormat="1" x14ac:dyDescent="0.3">
      <c r="A165" s="788" t="str">
        <f>A164</f>
        <v>E</v>
      </c>
      <c r="B165" s="789">
        <f>B164+1</f>
        <v>8</v>
      </c>
      <c r="C165" s="790" t="str">
        <f t="shared" ref="C165:C228" ca="1" si="45">IF(ISBLANK(INDIRECT(A165&amp;B165)),"",INDIRECT(A165&amp;B165))</f>
        <v/>
      </c>
      <c r="D165" s="791" t="str">
        <f ca="1">IF(C165="","",Voorblad!$X$68)</f>
        <v/>
      </c>
    </row>
    <row r="166" spans="1:4" s="796" customFormat="1" x14ac:dyDescent="0.3">
      <c r="A166" s="788" t="str">
        <f t="shared" ref="A166:A168" si="46">A165</f>
        <v>E</v>
      </c>
      <c r="B166" s="789">
        <f t="shared" ref="B166:B167" si="47">B165+1</f>
        <v>9</v>
      </c>
      <c r="C166" s="790" t="str">
        <f t="shared" ca="1" si="45"/>
        <v/>
      </c>
      <c r="D166" s="791" t="str">
        <f ca="1">IF(C166="","",Voorblad!$X$69)</f>
        <v/>
      </c>
    </row>
    <row r="167" spans="1:4" s="796" customFormat="1" x14ac:dyDescent="0.3">
      <c r="A167" s="788" t="str">
        <f t="shared" si="46"/>
        <v>E</v>
      </c>
      <c r="B167" s="789">
        <f t="shared" si="47"/>
        <v>10</v>
      </c>
      <c r="C167" s="790" t="str">
        <f t="shared" ca="1" si="45"/>
        <v/>
      </c>
      <c r="D167" s="791" t="str">
        <f ca="1">IF(C167="","",Voorblad!$X$70)</f>
        <v/>
      </c>
    </row>
    <row r="168" spans="1:4" s="796" customFormat="1" x14ac:dyDescent="0.3">
      <c r="A168" s="788" t="str">
        <f t="shared" si="46"/>
        <v>E</v>
      </c>
      <c r="B168" s="789">
        <f>B167+2</f>
        <v>12</v>
      </c>
      <c r="C168" s="790" t="str">
        <f t="shared" ca="1" si="45"/>
        <v/>
      </c>
      <c r="D168" s="791" t="str">
        <f ca="1">IF(C168="","",Voorblad!$X$71)</f>
        <v/>
      </c>
    </row>
    <row r="169" spans="1:4" s="796" customFormat="1" x14ac:dyDescent="0.3">
      <c r="A169" s="788" t="str">
        <f>A168</f>
        <v>E</v>
      </c>
      <c r="B169" s="789">
        <f>B168+1</f>
        <v>13</v>
      </c>
      <c r="C169" s="790" t="str">
        <f t="shared" ca="1" si="45"/>
        <v/>
      </c>
      <c r="D169" s="791" t="str">
        <f ca="1">IF(C169="","",Voorblad!$X$72)</f>
        <v/>
      </c>
    </row>
    <row r="170" spans="1:4" s="796" customFormat="1" x14ac:dyDescent="0.3">
      <c r="A170" s="788" t="str">
        <f t="shared" ref="A170:A172" si="48">A169</f>
        <v>E</v>
      </c>
      <c r="B170" s="789">
        <f t="shared" ref="B170:B171" si="49">B169+1</f>
        <v>14</v>
      </c>
      <c r="C170" s="790" t="str">
        <f t="shared" ca="1" si="45"/>
        <v/>
      </c>
      <c r="D170" s="791" t="str">
        <f ca="1">IF(C170="","",Voorblad!$X$73)</f>
        <v/>
      </c>
    </row>
    <row r="171" spans="1:4" s="796" customFormat="1" x14ac:dyDescent="0.3">
      <c r="A171" s="788" t="str">
        <f t="shared" si="48"/>
        <v>E</v>
      </c>
      <c r="B171" s="789">
        <f t="shared" si="49"/>
        <v>15</v>
      </c>
      <c r="C171" s="790" t="str">
        <f t="shared" ca="1" si="45"/>
        <v/>
      </c>
      <c r="D171" s="791" t="str">
        <f ca="1">IF(C171="","",Voorblad!$X$74)</f>
        <v/>
      </c>
    </row>
    <row r="172" spans="1:4" s="796" customFormat="1" x14ac:dyDescent="0.3">
      <c r="A172" s="788" t="str">
        <f t="shared" si="48"/>
        <v>E</v>
      </c>
      <c r="B172" s="789">
        <f>B171+2</f>
        <v>17</v>
      </c>
      <c r="C172" s="790" t="str">
        <f t="shared" ca="1" si="45"/>
        <v/>
      </c>
      <c r="D172" s="791" t="str">
        <f ca="1">IF(C172="","",Voorblad!$X$75)</f>
        <v/>
      </c>
    </row>
    <row r="173" spans="1:4" s="796" customFormat="1" x14ac:dyDescent="0.3">
      <c r="A173" s="788" t="str">
        <f>A172</f>
        <v>E</v>
      </c>
      <c r="B173" s="789">
        <f>B172+1</f>
        <v>18</v>
      </c>
      <c r="C173" s="790" t="str">
        <f t="shared" ca="1" si="45"/>
        <v/>
      </c>
      <c r="D173" s="791" t="str">
        <f ca="1">IF(C173="","",Voorblad!$X$76)</f>
        <v/>
      </c>
    </row>
    <row r="174" spans="1:4" s="796" customFormat="1" x14ac:dyDescent="0.3">
      <c r="A174" s="788" t="str">
        <f t="shared" ref="A174:A176" si="50">A173</f>
        <v>E</v>
      </c>
      <c r="B174" s="789">
        <f t="shared" ref="B174:B175" si="51">B173+1</f>
        <v>19</v>
      </c>
      <c r="C174" s="790" t="str">
        <f t="shared" ca="1" si="45"/>
        <v/>
      </c>
      <c r="D174" s="791" t="str">
        <f ca="1">IF(C174="","",Voorblad!$X$77)</f>
        <v/>
      </c>
    </row>
    <row r="175" spans="1:4" s="796" customFormat="1" x14ac:dyDescent="0.3">
      <c r="A175" s="788" t="str">
        <f t="shared" si="50"/>
        <v>E</v>
      </c>
      <c r="B175" s="789">
        <f t="shared" si="51"/>
        <v>20</v>
      </c>
      <c r="C175" s="790" t="str">
        <f t="shared" ca="1" si="45"/>
        <v/>
      </c>
      <c r="D175" s="791" t="str">
        <f ca="1">IF(C175="","",Voorblad!$X$78)</f>
        <v/>
      </c>
    </row>
    <row r="176" spans="1:4" s="796" customFormat="1" x14ac:dyDescent="0.3">
      <c r="A176" s="788" t="str">
        <f t="shared" si="50"/>
        <v>E</v>
      </c>
      <c r="B176" s="789">
        <f>B175+2</f>
        <v>22</v>
      </c>
      <c r="C176" s="790" t="str">
        <f t="shared" ca="1" si="45"/>
        <v/>
      </c>
      <c r="D176" s="791" t="str">
        <f ca="1">IF(C176="","",Voorblad!$X$79)</f>
        <v/>
      </c>
    </row>
    <row r="177" spans="1:4" s="796" customFormat="1" x14ac:dyDescent="0.3">
      <c r="A177" s="788" t="str">
        <f>A176</f>
        <v>E</v>
      </c>
      <c r="B177" s="789">
        <f>B176+1</f>
        <v>23</v>
      </c>
      <c r="C177" s="790" t="str">
        <f t="shared" ca="1" si="45"/>
        <v/>
      </c>
      <c r="D177" s="791" t="str">
        <f ca="1">IF(C177="","",Voorblad!$X$80)</f>
        <v/>
      </c>
    </row>
    <row r="178" spans="1:4" s="796" customFormat="1" x14ac:dyDescent="0.3">
      <c r="A178" s="788" t="str">
        <f t="shared" ref="A178:A180" si="52">A177</f>
        <v>E</v>
      </c>
      <c r="B178" s="789">
        <f t="shared" ref="B178:B179" si="53">B177+1</f>
        <v>24</v>
      </c>
      <c r="C178" s="790" t="str">
        <f t="shared" ca="1" si="45"/>
        <v/>
      </c>
      <c r="D178" s="791" t="str">
        <f ca="1">IF(C178="","",Voorblad!$X$81)</f>
        <v/>
      </c>
    </row>
    <row r="179" spans="1:4" s="796" customFormat="1" x14ac:dyDescent="0.3">
      <c r="A179" s="788" t="str">
        <f t="shared" si="52"/>
        <v>E</v>
      </c>
      <c r="B179" s="789">
        <f t="shared" si="53"/>
        <v>25</v>
      </c>
      <c r="C179" s="790" t="str">
        <f t="shared" ca="1" si="45"/>
        <v/>
      </c>
      <c r="D179" s="791" t="str">
        <f ca="1">IF(C179="","",Voorblad!$X$82)</f>
        <v/>
      </c>
    </row>
    <row r="180" spans="1:4" s="796" customFormat="1" x14ac:dyDescent="0.3">
      <c r="A180" s="788" t="str">
        <f t="shared" si="52"/>
        <v>E</v>
      </c>
      <c r="B180" s="789">
        <f>B179+2</f>
        <v>27</v>
      </c>
      <c r="C180" s="790" t="str">
        <f t="shared" ca="1" si="45"/>
        <v/>
      </c>
      <c r="D180" s="791" t="str">
        <f ca="1">IF(C180="","",Voorblad!$X$83)</f>
        <v/>
      </c>
    </row>
    <row r="181" spans="1:4" s="796" customFormat="1" x14ac:dyDescent="0.3">
      <c r="A181" s="788" t="str">
        <f>A180</f>
        <v>E</v>
      </c>
      <c r="B181" s="789">
        <f>B180+1</f>
        <v>28</v>
      </c>
      <c r="C181" s="790" t="str">
        <f t="shared" ca="1" si="45"/>
        <v/>
      </c>
      <c r="D181" s="791" t="str">
        <f ca="1">IF(C181="","",Voorblad!$X$84)</f>
        <v/>
      </c>
    </row>
    <row r="182" spans="1:4" s="796" customFormat="1" x14ac:dyDescent="0.3">
      <c r="A182" s="788" t="str">
        <f t="shared" ref="A182:A184" si="54">A181</f>
        <v>E</v>
      </c>
      <c r="B182" s="789">
        <f t="shared" ref="B182:B183" si="55">B181+1</f>
        <v>29</v>
      </c>
      <c r="C182" s="790" t="str">
        <f t="shared" ca="1" si="45"/>
        <v/>
      </c>
      <c r="D182" s="791" t="str">
        <f ca="1">IF(C182="","",Voorblad!$X$85)</f>
        <v/>
      </c>
    </row>
    <row r="183" spans="1:4" s="796" customFormat="1" x14ac:dyDescent="0.3">
      <c r="A183" s="788" t="str">
        <f t="shared" si="54"/>
        <v>E</v>
      </c>
      <c r="B183" s="789">
        <f t="shared" si="55"/>
        <v>30</v>
      </c>
      <c r="C183" s="790" t="str">
        <f t="shared" ca="1" si="45"/>
        <v/>
      </c>
      <c r="D183" s="791" t="str">
        <f ca="1">IF(C183="","",Voorblad!$X$86)</f>
        <v/>
      </c>
    </row>
    <row r="184" spans="1:4" s="796" customFormat="1" x14ac:dyDescent="0.3">
      <c r="A184" s="788" t="str">
        <f t="shared" si="54"/>
        <v>E</v>
      </c>
      <c r="B184" s="789">
        <f>B183+2</f>
        <v>32</v>
      </c>
      <c r="C184" s="790" t="str">
        <f t="shared" ca="1" si="45"/>
        <v/>
      </c>
      <c r="D184" s="791" t="str">
        <f ca="1">IF(C184="","",Voorblad!$X$87)</f>
        <v/>
      </c>
    </row>
    <row r="185" spans="1:4" s="796" customFormat="1" x14ac:dyDescent="0.3">
      <c r="A185" s="788" t="str">
        <f>A184</f>
        <v>E</v>
      </c>
      <c r="B185" s="789">
        <f>B184+1</f>
        <v>33</v>
      </c>
      <c r="C185" s="790" t="str">
        <f t="shared" ca="1" si="45"/>
        <v/>
      </c>
      <c r="D185" s="791" t="str">
        <f ca="1">IF(C185="","",Voorblad!$X$88)</f>
        <v/>
      </c>
    </row>
    <row r="186" spans="1:4" s="796" customFormat="1" x14ac:dyDescent="0.3">
      <c r="A186" s="788" t="str">
        <f t="shared" ref="A186:A188" si="56">A185</f>
        <v>E</v>
      </c>
      <c r="B186" s="789">
        <f t="shared" ref="B186:B187" si="57">B185+1</f>
        <v>34</v>
      </c>
      <c r="C186" s="790" t="str">
        <f t="shared" ca="1" si="45"/>
        <v/>
      </c>
      <c r="D186" s="791" t="str">
        <f ca="1">IF(C186="","",Voorblad!$X$89)</f>
        <v/>
      </c>
    </row>
    <row r="187" spans="1:4" s="796" customFormat="1" x14ac:dyDescent="0.3">
      <c r="A187" s="788" t="str">
        <f t="shared" si="56"/>
        <v>E</v>
      </c>
      <c r="B187" s="789">
        <f t="shared" si="57"/>
        <v>35</v>
      </c>
      <c r="C187" s="790" t="str">
        <f t="shared" ca="1" si="45"/>
        <v/>
      </c>
      <c r="D187" s="791" t="str">
        <f ca="1">IF(C187="","",Voorblad!$X$90)</f>
        <v/>
      </c>
    </row>
    <row r="188" spans="1:4" s="796" customFormat="1" x14ac:dyDescent="0.3">
      <c r="A188" s="788" t="str">
        <f t="shared" si="56"/>
        <v>E</v>
      </c>
      <c r="B188" s="789">
        <f>B187+2</f>
        <v>37</v>
      </c>
      <c r="C188" s="790" t="str">
        <f t="shared" ca="1" si="45"/>
        <v/>
      </c>
      <c r="D188" s="791" t="str">
        <f ca="1">IF(C188="","",Voorblad!$X$91)</f>
        <v/>
      </c>
    </row>
    <row r="189" spans="1:4" s="796" customFormat="1" x14ac:dyDescent="0.3">
      <c r="A189" s="788" t="str">
        <f>A188</f>
        <v>E</v>
      </c>
      <c r="B189" s="789">
        <f>B188+1</f>
        <v>38</v>
      </c>
      <c r="C189" s="790" t="str">
        <f t="shared" ca="1" si="45"/>
        <v/>
      </c>
      <c r="D189" s="791" t="str">
        <f ca="1">IF(C189="","",Voorblad!$X$92)</f>
        <v/>
      </c>
    </row>
    <row r="190" spans="1:4" s="796" customFormat="1" x14ac:dyDescent="0.3">
      <c r="A190" s="788" t="str">
        <f t="shared" ref="A190:A192" si="58">A189</f>
        <v>E</v>
      </c>
      <c r="B190" s="789">
        <f t="shared" ref="B190:B191" si="59">B189+1</f>
        <v>39</v>
      </c>
      <c r="C190" s="790" t="str">
        <f t="shared" ca="1" si="45"/>
        <v/>
      </c>
      <c r="D190" s="791" t="str">
        <f ca="1">IF(C190="","",Voorblad!$X$93)</f>
        <v/>
      </c>
    </row>
    <row r="191" spans="1:4" s="796" customFormat="1" x14ac:dyDescent="0.3">
      <c r="A191" s="788" t="str">
        <f t="shared" si="58"/>
        <v>E</v>
      </c>
      <c r="B191" s="789">
        <f t="shared" si="59"/>
        <v>40</v>
      </c>
      <c r="C191" s="790" t="str">
        <f t="shared" ca="1" si="45"/>
        <v/>
      </c>
      <c r="D191" s="791" t="str">
        <f ca="1">IF(C191="","",Voorblad!$X$94)</f>
        <v/>
      </c>
    </row>
    <row r="192" spans="1:4" s="796" customFormat="1" x14ac:dyDescent="0.3">
      <c r="A192" s="788" t="str">
        <f t="shared" si="58"/>
        <v>E</v>
      </c>
      <c r="B192" s="789">
        <f>B191+2</f>
        <v>42</v>
      </c>
      <c r="C192" s="790" t="str">
        <f t="shared" ca="1" si="45"/>
        <v/>
      </c>
      <c r="D192" s="791" t="str">
        <f ca="1">IF(C192="","",Voorblad!$X$95)</f>
        <v/>
      </c>
    </row>
    <row r="193" spans="1:4" s="796" customFormat="1" x14ac:dyDescent="0.3">
      <c r="A193" s="788" t="str">
        <f>A192</f>
        <v>E</v>
      </c>
      <c r="B193" s="789">
        <f>B192+1</f>
        <v>43</v>
      </c>
      <c r="C193" s="790" t="str">
        <f t="shared" ca="1" si="45"/>
        <v/>
      </c>
      <c r="D193" s="791" t="str">
        <f ca="1">IF(C193="","",Voorblad!$X$96)</f>
        <v/>
      </c>
    </row>
    <row r="194" spans="1:4" s="796" customFormat="1" x14ac:dyDescent="0.3">
      <c r="A194" s="788" t="str">
        <f t="shared" ref="A194:A195" si="60">A193</f>
        <v>E</v>
      </c>
      <c r="B194" s="789">
        <f t="shared" ref="B194:B195" si="61">B193+1</f>
        <v>44</v>
      </c>
      <c r="C194" s="790" t="str">
        <f t="shared" ca="1" si="45"/>
        <v/>
      </c>
      <c r="D194" s="791" t="str">
        <f ca="1">IF(C194="","",Voorblad!$X$97)</f>
        <v/>
      </c>
    </row>
    <row r="195" spans="1:4" s="796" customFormat="1" x14ac:dyDescent="0.3">
      <c r="A195" s="792" t="str">
        <f t="shared" si="60"/>
        <v>E</v>
      </c>
      <c r="B195" s="793">
        <f t="shared" si="61"/>
        <v>45</v>
      </c>
      <c r="C195" s="794" t="str">
        <f t="shared" ca="1" si="45"/>
        <v/>
      </c>
      <c r="D195" s="795" t="str">
        <f ca="1">IF(C195="","",Voorblad!X$98)</f>
        <v/>
      </c>
    </row>
    <row r="196" spans="1:4" s="796" customFormat="1" x14ac:dyDescent="0.3">
      <c r="A196" s="772" t="str">
        <f>CHAR(CODE(A164)+1)</f>
        <v>F</v>
      </c>
      <c r="B196" s="773">
        <v>7</v>
      </c>
      <c r="C196" s="774" t="str">
        <f t="shared" ca="1" si="45"/>
        <v/>
      </c>
      <c r="D196" s="775" t="str">
        <f ca="1">IF(C196="","",Voorblad!$X$67)</f>
        <v/>
      </c>
    </row>
    <row r="197" spans="1:4" s="796" customFormat="1" x14ac:dyDescent="0.3">
      <c r="A197" s="776" t="str">
        <f>A196</f>
        <v>F</v>
      </c>
      <c r="B197" s="777">
        <f>B196+1</f>
        <v>8</v>
      </c>
      <c r="C197" s="778" t="str">
        <f t="shared" ca="1" si="45"/>
        <v/>
      </c>
      <c r="D197" s="779" t="str">
        <f ca="1">IF(C197="","",Voorblad!$X$68)</f>
        <v/>
      </c>
    </row>
    <row r="198" spans="1:4" s="796" customFormat="1" x14ac:dyDescent="0.3">
      <c r="A198" s="776" t="str">
        <f t="shared" ref="A198:A200" si="62">A197</f>
        <v>F</v>
      </c>
      <c r="B198" s="777">
        <f t="shared" ref="B198:B199" si="63">B197+1</f>
        <v>9</v>
      </c>
      <c r="C198" s="778" t="str">
        <f t="shared" ca="1" si="45"/>
        <v/>
      </c>
      <c r="D198" s="779" t="str">
        <f ca="1">IF(C198="","",Voorblad!$X$69)</f>
        <v/>
      </c>
    </row>
    <row r="199" spans="1:4" s="796" customFormat="1" x14ac:dyDescent="0.3">
      <c r="A199" s="776" t="str">
        <f t="shared" si="62"/>
        <v>F</v>
      </c>
      <c r="B199" s="777">
        <f t="shared" si="63"/>
        <v>10</v>
      </c>
      <c r="C199" s="778" t="str">
        <f t="shared" ca="1" si="45"/>
        <v/>
      </c>
      <c r="D199" s="779" t="str">
        <f ca="1">IF(C199="","",Voorblad!$X$70)</f>
        <v/>
      </c>
    </row>
    <row r="200" spans="1:4" s="796" customFormat="1" x14ac:dyDescent="0.3">
      <c r="A200" s="776" t="str">
        <f t="shared" si="62"/>
        <v>F</v>
      </c>
      <c r="B200" s="777">
        <f>B199+2</f>
        <v>12</v>
      </c>
      <c r="C200" s="778" t="str">
        <f t="shared" ca="1" si="45"/>
        <v/>
      </c>
      <c r="D200" s="779" t="str">
        <f ca="1">IF(C200="","",Voorblad!$X$71)</f>
        <v/>
      </c>
    </row>
    <row r="201" spans="1:4" s="796" customFormat="1" x14ac:dyDescent="0.3">
      <c r="A201" s="776" t="str">
        <f>A200</f>
        <v>F</v>
      </c>
      <c r="B201" s="777">
        <f>B200+1</f>
        <v>13</v>
      </c>
      <c r="C201" s="778" t="str">
        <f t="shared" ca="1" si="45"/>
        <v/>
      </c>
      <c r="D201" s="779" t="str">
        <f ca="1">IF(C201="","",Voorblad!$X$72)</f>
        <v/>
      </c>
    </row>
    <row r="202" spans="1:4" s="796" customFormat="1" x14ac:dyDescent="0.3">
      <c r="A202" s="776" t="str">
        <f t="shared" ref="A202:A204" si="64">A201</f>
        <v>F</v>
      </c>
      <c r="B202" s="777">
        <f t="shared" ref="B202:B203" si="65">B201+1</f>
        <v>14</v>
      </c>
      <c r="C202" s="778" t="str">
        <f t="shared" ca="1" si="45"/>
        <v/>
      </c>
      <c r="D202" s="779" t="str">
        <f ca="1">IF(C202="","",Voorblad!$X$73)</f>
        <v/>
      </c>
    </row>
    <row r="203" spans="1:4" s="796" customFormat="1" x14ac:dyDescent="0.3">
      <c r="A203" s="776" t="str">
        <f t="shared" si="64"/>
        <v>F</v>
      </c>
      <c r="B203" s="777">
        <f t="shared" si="65"/>
        <v>15</v>
      </c>
      <c r="C203" s="778" t="str">
        <f t="shared" ca="1" si="45"/>
        <v/>
      </c>
      <c r="D203" s="779" t="str">
        <f ca="1">IF(C203="","",Voorblad!$X$74)</f>
        <v/>
      </c>
    </row>
    <row r="204" spans="1:4" s="796" customFormat="1" x14ac:dyDescent="0.3">
      <c r="A204" s="776" t="str">
        <f t="shared" si="64"/>
        <v>F</v>
      </c>
      <c r="B204" s="777">
        <f>B203+2</f>
        <v>17</v>
      </c>
      <c r="C204" s="778" t="str">
        <f t="shared" ca="1" si="45"/>
        <v/>
      </c>
      <c r="D204" s="779" t="str">
        <f ca="1">IF(C204="","",Voorblad!$X$75)</f>
        <v/>
      </c>
    </row>
    <row r="205" spans="1:4" s="796" customFormat="1" x14ac:dyDescent="0.3">
      <c r="A205" s="776" t="str">
        <f>A204</f>
        <v>F</v>
      </c>
      <c r="B205" s="777">
        <f>B204+1</f>
        <v>18</v>
      </c>
      <c r="C205" s="778" t="str">
        <f t="shared" ca="1" si="45"/>
        <v/>
      </c>
      <c r="D205" s="779" t="str">
        <f ca="1">IF(C205="","",Voorblad!$X$76)</f>
        <v/>
      </c>
    </row>
    <row r="206" spans="1:4" s="796" customFormat="1" x14ac:dyDescent="0.3">
      <c r="A206" s="776" t="str">
        <f t="shared" ref="A206:A208" si="66">A205</f>
        <v>F</v>
      </c>
      <c r="B206" s="777">
        <f t="shared" ref="B206:B207" si="67">B205+1</f>
        <v>19</v>
      </c>
      <c r="C206" s="778" t="str">
        <f t="shared" ca="1" si="45"/>
        <v/>
      </c>
      <c r="D206" s="779" t="str">
        <f ca="1">IF(C206="","",Voorblad!$X$77)</f>
        <v/>
      </c>
    </row>
    <row r="207" spans="1:4" s="796" customFormat="1" x14ac:dyDescent="0.3">
      <c r="A207" s="776" t="str">
        <f t="shared" si="66"/>
        <v>F</v>
      </c>
      <c r="B207" s="777">
        <f t="shared" si="67"/>
        <v>20</v>
      </c>
      <c r="C207" s="778" t="str">
        <f t="shared" ca="1" si="45"/>
        <v/>
      </c>
      <c r="D207" s="779" t="str">
        <f ca="1">IF(C207="","",Voorblad!$X$78)</f>
        <v/>
      </c>
    </row>
    <row r="208" spans="1:4" s="796" customFormat="1" x14ac:dyDescent="0.3">
      <c r="A208" s="776" t="str">
        <f t="shared" si="66"/>
        <v>F</v>
      </c>
      <c r="B208" s="777">
        <f>B207+2</f>
        <v>22</v>
      </c>
      <c r="C208" s="778" t="str">
        <f t="shared" ca="1" si="45"/>
        <v/>
      </c>
      <c r="D208" s="779" t="str">
        <f ca="1">IF(C208="","",Voorblad!$X$79)</f>
        <v/>
      </c>
    </row>
    <row r="209" spans="1:4" s="796" customFormat="1" x14ac:dyDescent="0.3">
      <c r="A209" s="776" t="str">
        <f>A208</f>
        <v>F</v>
      </c>
      <c r="B209" s="777">
        <f>B208+1</f>
        <v>23</v>
      </c>
      <c r="C209" s="778" t="str">
        <f t="shared" ca="1" si="45"/>
        <v/>
      </c>
      <c r="D209" s="779" t="str">
        <f ca="1">IF(C209="","",Voorblad!$X$80)</f>
        <v/>
      </c>
    </row>
    <row r="210" spans="1:4" s="796" customFormat="1" x14ac:dyDescent="0.3">
      <c r="A210" s="776" t="str">
        <f t="shared" ref="A210:A212" si="68">A209</f>
        <v>F</v>
      </c>
      <c r="B210" s="777">
        <f t="shared" ref="B210:B211" si="69">B209+1</f>
        <v>24</v>
      </c>
      <c r="C210" s="778" t="str">
        <f t="shared" ca="1" si="45"/>
        <v/>
      </c>
      <c r="D210" s="779" t="str">
        <f ca="1">IF(C210="","",Voorblad!$X$81)</f>
        <v/>
      </c>
    </row>
    <row r="211" spans="1:4" s="796" customFormat="1" x14ac:dyDescent="0.3">
      <c r="A211" s="776" t="str">
        <f t="shared" si="68"/>
        <v>F</v>
      </c>
      <c r="B211" s="777">
        <f t="shared" si="69"/>
        <v>25</v>
      </c>
      <c r="C211" s="778" t="str">
        <f t="shared" ca="1" si="45"/>
        <v/>
      </c>
      <c r="D211" s="779" t="str">
        <f ca="1">IF(C211="","",Voorblad!$X$82)</f>
        <v/>
      </c>
    </row>
    <row r="212" spans="1:4" s="796" customFormat="1" x14ac:dyDescent="0.3">
      <c r="A212" s="776" t="str">
        <f t="shared" si="68"/>
        <v>F</v>
      </c>
      <c r="B212" s="777">
        <f>B211+2</f>
        <v>27</v>
      </c>
      <c r="C212" s="778" t="str">
        <f t="shared" ca="1" si="45"/>
        <v/>
      </c>
      <c r="D212" s="779" t="str">
        <f ca="1">IF(C212="","",Voorblad!$X$83)</f>
        <v/>
      </c>
    </row>
    <row r="213" spans="1:4" s="796" customFormat="1" x14ac:dyDescent="0.3">
      <c r="A213" s="776" t="str">
        <f>A212</f>
        <v>F</v>
      </c>
      <c r="B213" s="777">
        <f>B212+1</f>
        <v>28</v>
      </c>
      <c r="C213" s="778" t="str">
        <f t="shared" ca="1" si="45"/>
        <v/>
      </c>
      <c r="D213" s="779" t="str">
        <f ca="1">IF(C213="","",Voorblad!$X$84)</f>
        <v/>
      </c>
    </row>
    <row r="214" spans="1:4" s="796" customFormat="1" x14ac:dyDescent="0.3">
      <c r="A214" s="776" t="str">
        <f t="shared" ref="A214:A216" si="70">A213</f>
        <v>F</v>
      </c>
      <c r="B214" s="777">
        <f t="shared" ref="B214:B215" si="71">B213+1</f>
        <v>29</v>
      </c>
      <c r="C214" s="778" t="str">
        <f t="shared" ca="1" si="45"/>
        <v/>
      </c>
      <c r="D214" s="779" t="str">
        <f ca="1">IF(C214="","",Voorblad!$X$85)</f>
        <v/>
      </c>
    </row>
    <row r="215" spans="1:4" s="796" customFormat="1" x14ac:dyDescent="0.3">
      <c r="A215" s="776" t="str">
        <f t="shared" si="70"/>
        <v>F</v>
      </c>
      <c r="B215" s="777">
        <f t="shared" si="71"/>
        <v>30</v>
      </c>
      <c r="C215" s="778" t="str">
        <f t="shared" ca="1" si="45"/>
        <v/>
      </c>
      <c r="D215" s="779" t="str">
        <f ca="1">IF(C215="","",Voorblad!$X$86)</f>
        <v/>
      </c>
    </row>
    <row r="216" spans="1:4" s="796" customFormat="1" x14ac:dyDescent="0.3">
      <c r="A216" s="776" t="str">
        <f t="shared" si="70"/>
        <v>F</v>
      </c>
      <c r="B216" s="777">
        <f>B215+2</f>
        <v>32</v>
      </c>
      <c r="C216" s="778" t="str">
        <f t="shared" ca="1" si="45"/>
        <v/>
      </c>
      <c r="D216" s="779" t="str">
        <f ca="1">IF(C216="","",Voorblad!$X$87)</f>
        <v/>
      </c>
    </row>
    <row r="217" spans="1:4" s="796" customFormat="1" x14ac:dyDescent="0.3">
      <c r="A217" s="776" t="str">
        <f>A216</f>
        <v>F</v>
      </c>
      <c r="B217" s="777">
        <f>B216+1</f>
        <v>33</v>
      </c>
      <c r="C217" s="778" t="str">
        <f t="shared" ca="1" si="45"/>
        <v/>
      </c>
      <c r="D217" s="779" t="str">
        <f ca="1">IF(C217="","",Voorblad!$X$88)</f>
        <v/>
      </c>
    </row>
    <row r="218" spans="1:4" s="796" customFormat="1" x14ac:dyDescent="0.3">
      <c r="A218" s="776" t="str">
        <f t="shared" ref="A218:A220" si="72">A217</f>
        <v>F</v>
      </c>
      <c r="B218" s="777">
        <f t="shared" ref="B218:B219" si="73">B217+1</f>
        <v>34</v>
      </c>
      <c r="C218" s="778" t="str">
        <f t="shared" ca="1" si="45"/>
        <v/>
      </c>
      <c r="D218" s="779" t="str">
        <f ca="1">IF(C218="","",Voorblad!$X$89)</f>
        <v/>
      </c>
    </row>
    <row r="219" spans="1:4" s="796" customFormat="1" x14ac:dyDescent="0.3">
      <c r="A219" s="776" t="str">
        <f t="shared" si="72"/>
        <v>F</v>
      </c>
      <c r="B219" s="777">
        <f t="shared" si="73"/>
        <v>35</v>
      </c>
      <c r="C219" s="778" t="str">
        <f t="shared" ca="1" si="45"/>
        <v/>
      </c>
      <c r="D219" s="779" t="str">
        <f ca="1">IF(C219="","",Voorblad!$X$90)</f>
        <v/>
      </c>
    </row>
    <row r="220" spans="1:4" s="796" customFormat="1" x14ac:dyDescent="0.3">
      <c r="A220" s="776" t="str">
        <f t="shared" si="72"/>
        <v>F</v>
      </c>
      <c r="B220" s="777">
        <f>B219+2</f>
        <v>37</v>
      </c>
      <c r="C220" s="778" t="str">
        <f t="shared" ca="1" si="45"/>
        <v/>
      </c>
      <c r="D220" s="779" t="str">
        <f ca="1">IF(C220="","",Voorblad!$X$91)</f>
        <v/>
      </c>
    </row>
    <row r="221" spans="1:4" s="796" customFormat="1" x14ac:dyDescent="0.3">
      <c r="A221" s="776" t="str">
        <f>A220</f>
        <v>F</v>
      </c>
      <c r="B221" s="777">
        <f>B220+1</f>
        <v>38</v>
      </c>
      <c r="C221" s="778" t="str">
        <f t="shared" ca="1" si="45"/>
        <v/>
      </c>
      <c r="D221" s="779" t="str">
        <f ca="1">IF(C221="","",Voorblad!$X$92)</f>
        <v/>
      </c>
    </row>
    <row r="222" spans="1:4" s="796" customFormat="1" x14ac:dyDescent="0.3">
      <c r="A222" s="776" t="str">
        <f t="shared" ref="A222:A224" si="74">A221</f>
        <v>F</v>
      </c>
      <c r="B222" s="777">
        <f t="shared" ref="B222:B223" si="75">B221+1</f>
        <v>39</v>
      </c>
      <c r="C222" s="778" t="str">
        <f t="shared" ca="1" si="45"/>
        <v/>
      </c>
      <c r="D222" s="779" t="str">
        <f ca="1">IF(C222="","",Voorblad!$X$93)</f>
        <v/>
      </c>
    </row>
    <row r="223" spans="1:4" s="796" customFormat="1" x14ac:dyDescent="0.3">
      <c r="A223" s="776" t="str">
        <f t="shared" si="74"/>
        <v>F</v>
      </c>
      <c r="B223" s="777">
        <f t="shared" si="75"/>
        <v>40</v>
      </c>
      <c r="C223" s="778" t="str">
        <f t="shared" ca="1" si="45"/>
        <v/>
      </c>
      <c r="D223" s="779" t="str">
        <f ca="1">IF(C223="","",Voorblad!$X$94)</f>
        <v/>
      </c>
    </row>
    <row r="224" spans="1:4" s="796" customFormat="1" x14ac:dyDescent="0.3">
      <c r="A224" s="776" t="str">
        <f t="shared" si="74"/>
        <v>F</v>
      </c>
      <c r="B224" s="777">
        <f>B223+2</f>
        <v>42</v>
      </c>
      <c r="C224" s="778" t="str">
        <f t="shared" ca="1" si="45"/>
        <v/>
      </c>
      <c r="D224" s="779" t="str">
        <f ca="1">IF(C224="","",Voorblad!$X$95)</f>
        <v/>
      </c>
    </row>
    <row r="225" spans="1:4" s="796" customFormat="1" x14ac:dyDescent="0.3">
      <c r="A225" s="776" t="str">
        <f>A224</f>
        <v>F</v>
      </c>
      <c r="B225" s="777">
        <f>B224+1</f>
        <v>43</v>
      </c>
      <c r="C225" s="778" t="str">
        <f t="shared" ca="1" si="45"/>
        <v/>
      </c>
      <c r="D225" s="779" t="str">
        <f ca="1">IF(C225="","",Voorblad!$X$96)</f>
        <v/>
      </c>
    </row>
    <row r="226" spans="1:4" s="796" customFormat="1" x14ac:dyDescent="0.3">
      <c r="A226" s="776" t="str">
        <f t="shared" ref="A226:A227" si="76">A225</f>
        <v>F</v>
      </c>
      <c r="B226" s="777">
        <f t="shared" ref="B226:B227" si="77">B225+1</f>
        <v>44</v>
      </c>
      <c r="C226" s="778" t="str">
        <f t="shared" ca="1" si="45"/>
        <v/>
      </c>
      <c r="D226" s="779" t="str">
        <f ca="1">IF(C226="","",Voorblad!$X$97)</f>
        <v/>
      </c>
    </row>
    <row r="227" spans="1:4" s="796" customFormat="1" x14ac:dyDescent="0.3">
      <c r="A227" s="780" t="str">
        <f t="shared" si="76"/>
        <v>F</v>
      </c>
      <c r="B227" s="781">
        <f t="shared" si="77"/>
        <v>45</v>
      </c>
      <c r="C227" s="782" t="str">
        <f t="shared" ca="1" si="45"/>
        <v/>
      </c>
      <c r="D227" s="783" t="str">
        <f ca="1">IF(C227="","",Voorblad!X$98)</f>
        <v/>
      </c>
    </row>
    <row r="228" spans="1:4" s="796" customFormat="1" x14ac:dyDescent="0.3">
      <c r="A228" s="784" t="str">
        <f>CHAR(CODE(A196)+1)</f>
        <v>G</v>
      </c>
      <c r="B228" s="785">
        <v>7</v>
      </c>
      <c r="C228" s="786" t="str">
        <f t="shared" ca="1" si="45"/>
        <v/>
      </c>
      <c r="D228" s="787" t="str">
        <f ca="1">IF(C228="","",Voorblad!$X$67)</f>
        <v/>
      </c>
    </row>
    <row r="229" spans="1:4" s="796" customFormat="1" x14ac:dyDescent="0.3">
      <c r="A229" s="788" t="str">
        <f>A228</f>
        <v>G</v>
      </c>
      <c r="B229" s="789">
        <f>B228+1</f>
        <v>8</v>
      </c>
      <c r="C229" s="790" t="str">
        <f t="shared" ref="C229:C292" ca="1" si="78">IF(ISBLANK(INDIRECT(A229&amp;B229)),"",INDIRECT(A229&amp;B229))</f>
        <v/>
      </c>
      <c r="D229" s="791" t="str">
        <f ca="1">IF(C229="","",Voorblad!$X$68)</f>
        <v/>
      </c>
    </row>
    <row r="230" spans="1:4" s="796" customFormat="1" x14ac:dyDescent="0.3">
      <c r="A230" s="788" t="str">
        <f t="shared" ref="A230:A232" si="79">A229</f>
        <v>G</v>
      </c>
      <c r="B230" s="789">
        <f t="shared" ref="B230:B231" si="80">B229+1</f>
        <v>9</v>
      </c>
      <c r="C230" s="790" t="str">
        <f t="shared" ca="1" si="78"/>
        <v/>
      </c>
      <c r="D230" s="791" t="str">
        <f ca="1">IF(C230="","",Voorblad!$X$69)</f>
        <v/>
      </c>
    </row>
    <row r="231" spans="1:4" s="796" customFormat="1" x14ac:dyDescent="0.3">
      <c r="A231" s="788" t="str">
        <f t="shared" si="79"/>
        <v>G</v>
      </c>
      <c r="B231" s="789">
        <f t="shared" si="80"/>
        <v>10</v>
      </c>
      <c r="C231" s="790" t="str">
        <f t="shared" ca="1" si="78"/>
        <v/>
      </c>
      <c r="D231" s="791" t="str">
        <f ca="1">IF(C231="","",Voorblad!$X$70)</f>
        <v/>
      </c>
    </row>
    <row r="232" spans="1:4" s="796" customFormat="1" x14ac:dyDescent="0.3">
      <c r="A232" s="788" t="str">
        <f t="shared" si="79"/>
        <v>G</v>
      </c>
      <c r="B232" s="789">
        <f>B231+2</f>
        <v>12</v>
      </c>
      <c r="C232" s="790" t="str">
        <f t="shared" ca="1" si="78"/>
        <v/>
      </c>
      <c r="D232" s="791" t="str">
        <f ca="1">IF(C232="","",Voorblad!$X$71)</f>
        <v/>
      </c>
    </row>
    <row r="233" spans="1:4" s="796" customFormat="1" x14ac:dyDescent="0.3">
      <c r="A233" s="788" t="str">
        <f>A232</f>
        <v>G</v>
      </c>
      <c r="B233" s="789">
        <f>B232+1</f>
        <v>13</v>
      </c>
      <c r="C233" s="790" t="str">
        <f t="shared" ca="1" si="78"/>
        <v/>
      </c>
      <c r="D233" s="791" t="str">
        <f ca="1">IF(C233="","",Voorblad!$X$72)</f>
        <v/>
      </c>
    </row>
    <row r="234" spans="1:4" s="796" customFormat="1" x14ac:dyDescent="0.3">
      <c r="A234" s="788" t="str">
        <f t="shared" ref="A234:A236" si="81">A233</f>
        <v>G</v>
      </c>
      <c r="B234" s="789">
        <f t="shared" ref="B234:B235" si="82">B233+1</f>
        <v>14</v>
      </c>
      <c r="C234" s="790" t="str">
        <f t="shared" ca="1" si="78"/>
        <v/>
      </c>
      <c r="D234" s="791" t="str">
        <f ca="1">IF(C234="","",Voorblad!$X$73)</f>
        <v/>
      </c>
    </row>
    <row r="235" spans="1:4" s="796" customFormat="1" x14ac:dyDescent="0.3">
      <c r="A235" s="788" t="str">
        <f t="shared" si="81"/>
        <v>G</v>
      </c>
      <c r="B235" s="789">
        <f t="shared" si="82"/>
        <v>15</v>
      </c>
      <c r="C235" s="790" t="str">
        <f t="shared" ca="1" si="78"/>
        <v/>
      </c>
      <c r="D235" s="791" t="str">
        <f ca="1">IF(C235="","",Voorblad!$X$74)</f>
        <v/>
      </c>
    </row>
    <row r="236" spans="1:4" s="796" customFormat="1" x14ac:dyDescent="0.3">
      <c r="A236" s="788" t="str">
        <f t="shared" si="81"/>
        <v>G</v>
      </c>
      <c r="B236" s="789">
        <f>B235+2</f>
        <v>17</v>
      </c>
      <c r="C236" s="790" t="str">
        <f t="shared" ca="1" si="78"/>
        <v/>
      </c>
      <c r="D236" s="791" t="str">
        <f ca="1">IF(C236="","",Voorblad!$X$75)</f>
        <v/>
      </c>
    </row>
    <row r="237" spans="1:4" s="796" customFormat="1" x14ac:dyDescent="0.3">
      <c r="A237" s="788" t="str">
        <f>A236</f>
        <v>G</v>
      </c>
      <c r="B237" s="789">
        <f>B236+1</f>
        <v>18</v>
      </c>
      <c r="C237" s="790" t="str">
        <f t="shared" ca="1" si="78"/>
        <v/>
      </c>
      <c r="D237" s="791" t="str">
        <f ca="1">IF(C237="","",Voorblad!$X$76)</f>
        <v/>
      </c>
    </row>
    <row r="238" spans="1:4" s="796" customFormat="1" x14ac:dyDescent="0.3">
      <c r="A238" s="788" t="str">
        <f t="shared" ref="A238:A240" si="83">A237</f>
        <v>G</v>
      </c>
      <c r="B238" s="789">
        <f t="shared" ref="B238:B239" si="84">B237+1</f>
        <v>19</v>
      </c>
      <c r="C238" s="790" t="str">
        <f t="shared" ca="1" si="78"/>
        <v/>
      </c>
      <c r="D238" s="791" t="str">
        <f ca="1">IF(C238="","",Voorblad!$X$77)</f>
        <v/>
      </c>
    </row>
    <row r="239" spans="1:4" s="796" customFormat="1" x14ac:dyDescent="0.3">
      <c r="A239" s="788" t="str">
        <f t="shared" si="83"/>
        <v>G</v>
      </c>
      <c r="B239" s="789">
        <f t="shared" si="84"/>
        <v>20</v>
      </c>
      <c r="C239" s="790" t="str">
        <f t="shared" ca="1" si="78"/>
        <v/>
      </c>
      <c r="D239" s="791" t="str">
        <f ca="1">IF(C239="","",Voorblad!$X$78)</f>
        <v/>
      </c>
    </row>
    <row r="240" spans="1:4" s="796" customFormat="1" x14ac:dyDescent="0.3">
      <c r="A240" s="788" t="str">
        <f t="shared" si="83"/>
        <v>G</v>
      </c>
      <c r="B240" s="789">
        <f>B239+2</f>
        <v>22</v>
      </c>
      <c r="C240" s="790" t="str">
        <f t="shared" ca="1" si="78"/>
        <v/>
      </c>
      <c r="D240" s="791" t="str">
        <f ca="1">IF(C240="","",Voorblad!$X$79)</f>
        <v/>
      </c>
    </row>
    <row r="241" spans="1:4" s="796" customFormat="1" x14ac:dyDescent="0.3">
      <c r="A241" s="788" t="str">
        <f>A240</f>
        <v>G</v>
      </c>
      <c r="B241" s="789">
        <f>B240+1</f>
        <v>23</v>
      </c>
      <c r="C241" s="790" t="str">
        <f t="shared" ca="1" si="78"/>
        <v/>
      </c>
      <c r="D241" s="791" t="str">
        <f ca="1">IF(C241="","",Voorblad!$X$80)</f>
        <v/>
      </c>
    </row>
    <row r="242" spans="1:4" s="796" customFormat="1" x14ac:dyDescent="0.3">
      <c r="A242" s="788" t="str">
        <f t="shared" ref="A242:A244" si="85">A241</f>
        <v>G</v>
      </c>
      <c r="B242" s="789">
        <f t="shared" ref="B242:B243" si="86">B241+1</f>
        <v>24</v>
      </c>
      <c r="C242" s="790" t="str">
        <f t="shared" ca="1" si="78"/>
        <v/>
      </c>
      <c r="D242" s="791" t="str">
        <f ca="1">IF(C242="","",Voorblad!$X$81)</f>
        <v/>
      </c>
    </row>
    <row r="243" spans="1:4" s="796" customFormat="1" x14ac:dyDescent="0.3">
      <c r="A243" s="788" t="str">
        <f t="shared" si="85"/>
        <v>G</v>
      </c>
      <c r="B243" s="789">
        <f t="shared" si="86"/>
        <v>25</v>
      </c>
      <c r="C243" s="790" t="str">
        <f t="shared" ca="1" si="78"/>
        <v/>
      </c>
      <c r="D243" s="791" t="str">
        <f ca="1">IF(C243="","",Voorblad!$X$82)</f>
        <v/>
      </c>
    </row>
    <row r="244" spans="1:4" s="796" customFormat="1" x14ac:dyDescent="0.3">
      <c r="A244" s="788" t="str">
        <f t="shared" si="85"/>
        <v>G</v>
      </c>
      <c r="B244" s="789">
        <f>B243+2</f>
        <v>27</v>
      </c>
      <c r="C244" s="790" t="str">
        <f t="shared" ca="1" si="78"/>
        <v/>
      </c>
      <c r="D244" s="791" t="str">
        <f ca="1">IF(C244="","",Voorblad!$X$83)</f>
        <v/>
      </c>
    </row>
    <row r="245" spans="1:4" s="796" customFormat="1" x14ac:dyDescent="0.3">
      <c r="A245" s="788" t="str">
        <f>A244</f>
        <v>G</v>
      </c>
      <c r="B245" s="789">
        <f>B244+1</f>
        <v>28</v>
      </c>
      <c r="C245" s="790" t="str">
        <f t="shared" ca="1" si="78"/>
        <v/>
      </c>
      <c r="D245" s="791" t="str">
        <f ca="1">IF(C245="","",Voorblad!$X$84)</f>
        <v/>
      </c>
    </row>
    <row r="246" spans="1:4" s="796" customFormat="1" x14ac:dyDescent="0.3">
      <c r="A246" s="788" t="str">
        <f t="shared" ref="A246:A248" si="87">A245</f>
        <v>G</v>
      </c>
      <c r="B246" s="789">
        <f t="shared" ref="B246:B247" si="88">B245+1</f>
        <v>29</v>
      </c>
      <c r="C246" s="790" t="str">
        <f t="shared" ca="1" si="78"/>
        <v/>
      </c>
      <c r="D246" s="791" t="str">
        <f ca="1">IF(C246="","",Voorblad!$X$85)</f>
        <v/>
      </c>
    </row>
    <row r="247" spans="1:4" s="796" customFormat="1" x14ac:dyDescent="0.3">
      <c r="A247" s="788" t="str">
        <f t="shared" si="87"/>
        <v>G</v>
      </c>
      <c r="B247" s="789">
        <f t="shared" si="88"/>
        <v>30</v>
      </c>
      <c r="C247" s="790" t="str">
        <f t="shared" ca="1" si="78"/>
        <v/>
      </c>
      <c r="D247" s="791" t="str">
        <f ca="1">IF(C247="","",Voorblad!$X$86)</f>
        <v/>
      </c>
    </row>
    <row r="248" spans="1:4" s="796" customFormat="1" x14ac:dyDescent="0.3">
      <c r="A248" s="788" t="str">
        <f t="shared" si="87"/>
        <v>G</v>
      </c>
      <c r="B248" s="789">
        <f>B247+2</f>
        <v>32</v>
      </c>
      <c r="C248" s="790" t="str">
        <f t="shared" ca="1" si="78"/>
        <v/>
      </c>
      <c r="D248" s="791" t="str">
        <f ca="1">IF(C248="","",Voorblad!$X$87)</f>
        <v/>
      </c>
    </row>
    <row r="249" spans="1:4" s="796" customFormat="1" x14ac:dyDescent="0.3">
      <c r="A249" s="788" t="str">
        <f>A248</f>
        <v>G</v>
      </c>
      <c r="B249" s="789">
        <f>B248+1</f>
        <v>33</v>
      </c>
      <c r="C249" s="790" t="str">
        <f t="shared" ca="1" si="78"/>
        <v/>
      </c>
      <c r="D249" s="791" t="str">
        <f ca="1">IF(C249="","",Voorblad!$X$88)</f>
        <v/>
      </c>
    </row>
    <row r="250" spans="1:4" s="796" customFormat="1" x14ac:dyDescent="0.3">
      <c r="A250" s="788" t="str">
        <f t="shared" ref="A250:A252" si="89">A249</f>
        <v>G</v>
      </c>
      <c r="B250" s="789">
        <f t="shared" ref="B250:B251" si="90">B249+1</f>
        <v>34</v>
      </c>
      <c r="C250" s="790" t="str">
        <f t="shared" ca="1" si="78"/>
        <v/>
      </c>
      <c r="D250" s="791" t="str">
        <f ca="1">IF(C250="","",Voorblad!$X$89)</f>
        <v/>
      </c>
    </row>
    <row r="251" spans="1:4" s="796" customFormat="1" x14ac:dyDescent="0.3">
      <c r="A251" s="788" t="str">
        <f t="shared" si="89"/>
        <v>G</v>
      </c>
      <c r="B251" s="789">
        <f t="shared" si="90"/>
        <v>35</v>
      </c>
      <c r="C251" s="790" t="str">
        <f t="shared" ca="1" si="78"/>
        <v/>
      </c>
      <c r="D251" s="791" t="str">
        <f ca="1">IF(C251="","",Voorblad!$X$90)</f>
        <v/>
      </c>
    </row>
    <row r="252" spans="1:4" s="796" customFormat="1" x14ac:dyDescent="0.3">
      <c r="A252" s="788" t="str">
        <f t="shared" si="89"/>
        <v>G</v>
      </c>
      <c r="B252" s="789">
        <f>B251+2</f>
        <v>37</v>
      </c>
      <c r="C252" s="790" t="str">
        <f t="shared" ca="1" si="78"/>
        <v/>
      </c>
      <c r="D252" s="791" t="str">
        <f ca="1">IF(C252="","",Voorblad!$X$91)</f>
        <v/>
      </c>
    </row>
    <row r="253" spans="1:4" s="796" customFormat="1" x14ac:dyDescent="0.3">
      <c r="A253" s="788" t="str">
        <f>A252</f>
        <v>G</v>
      </c>
      <c r="B253" s="789">
        <f>B252+1</f>
        <v>38</v>
      </c>
      <c r="C253" s="790" t="str">
        <f t="shared" ca="1" si="78"/>
        <v/>
      </c>
      <c r="D253" s="791" t="str">
        <f ca="1">IF(C253="","",Voorblad!$X$92)</f>
        <v/>
      </c>
    </row>
    <row r="254" spans="1:4" s="796" customFormat="1" x14ac:dyDescent="0.3">
      <c r="A254" s="788" t="str">
        <f t="shared" ref="A254:A256" si="91">A253</f>
        <v>G</v>
      </c>
      <c r="B254" s="789">
        <f t="shared" ref="B254:B255" si="92">B253+1</f>
        <v>39</v>
      </c>
      <c r="C254" s="790" t="str">
        <f t="shared" ca="1" si="78"/>
        <v/>
      </c>
      <c r="D254" s="791" t="str">
        <f ca="1">IF(C254="","",Voorblad!$X$93)</f>
        <v/>
      </c>
    </row>
    <row r="255" spans="1:4" s="796" customFormat="1" x14ac:dyDescent="0.3">
      <c r="A255" s="788" t="str">
        <f t="shared" si="91"/>
        <v>G</v>
      </c>
      <c r="B255" s="789">
        <f t="shared" si="92"/>
        <v>40</v>
      </c>
      <c r="C255" s="790" t="str">
        <f t="shared" ca="1" si="78"/>
        <v/>
      </c>
      <c r="D255" s="791" t="str">
        <f ca="1">IF(C255="","",Voorblad!$X$94)</f>
        <v/>
      </c>
    </row>
    <row r="256" spans="1:4" s="796" customFormat="1" x14ac:dyDescent="0.3">
      <c r="A256" s="788" t="str">
        <f t="shared" si="91"/>
        <v>G</v>
      </c>
      <c r="B256" s="789">
        <f>B255+2</f>
        <v>42</v>
      </c>
      <c r="C256" s="790" t="str">
        <f t="shared" ca="1" si="78"/>
        <v/>
      </c>
      <c r="D256" s="791" t="str">
        <f ca="1">IF(C256="","",Voorblad!$X$95)</f>
        <v/>
      </c>
    </row>
    <row r="257" spans="1:4" s="796" customFormat="1" x14ac:dyDescent="0.3">
      <c r="A257" s="788" t="str">
        <f>A256</f>
        <v>G</v>
      </c>
      <c r="B257" s="789">
        <f>B256+1</f>
        <v>43</v>
      </c>
      <c r="C257" s="790" t="str">
        <f t="shared" ca="1" si="78"/>
        <v/>
      </c>
      <c r="D257" s="791" t="str">
        <f ca="1">IF(C257="","",Voorblad!$X$96)</f>
        <v/>
      </c>
    </row>
    <row r="258" spans="1:4" s="796" customFormat="1" x14ac:dyDescent="0.3">
      <c r="A258" s="788" t="str">
        <f t="shared" ref="A258:A259" si="93">A257</f>
        <v>G</v>
      </c>
      <c r="B258" s="789">
        <f t="shared" ref="B258:B259" si="94">B257+1</f>
        <v>44</v>
      </c>
      <c r="C258" s="790" t="str">
        <f t="shared" ca="1" si="78"/>
        <v/>
      </c>
      <c r="D258" s="791" t="str">
        <f ca="1">IF(C258="","",Voorblad!$X$97)</f>
        <v/>
      </c>
    </row>
    <row r="259" spans="1:4" s="796" customFormat="1" x14ac:dyDescent="0.3">
      <c r="A259" s="792" t="str">
        <f t="shared" si="93"/>
        <v>G</v>
      </c>
      <c r="B259" s="793">
        <f t="shared" si="94"/>
        <v>45</v>
      </c>
      <c r="C259" s="794" t="str">
        <f t="shared" ca="1" si="78"/>
        <v/>
      </c>
      <c r="D259" s="795" t="str">
        <f ca="1">IF(C259="","",Voorblad!X$98)</f>
        <v/>
      </c>
    </row>
    <row r="260" spans="1:4" s="796" customFormat="1" x14ac:dyDescent="0.3">
      <c r="A260" s="772" t="str">
        <f>CHAR(CODE(A228)+1)</f>
        <v>H</v>
      </c>
      <c r="B260" s="773">
        <v>7</v>
      </c>
      <c r="C260" s="774" t="str">
        <f t="shared" ca="1" si="78"/>
        <v/>
      </c>
      <c r="D260" s="775" t="str">
        <f ca="1">IF(C260="","",Voorblad!$X$67)</f>
        <v/>
      </c>
    </row>
    <row r="261" spans="1:4" s="796" customFormat="1" x14ac:dyDescent="0.3">
      <c r="A261" s="776" t="str">
        <f>A260</f>
        <v>H</v>
      </c>
      <c r="B261" s="777">
        <f>B260+1</f>
        <v>8</v>
      </c>
      <c r="C261" s="778" t="str">
        <f t="shared" ca="1" si="78"/>
        <v/>
      </c>
      <c r="D261" s="779" t="str">
        <f ca="1">IF(C261="","",Voorblad!$X$68)</f>
        <v/>
      </c>
    </row>
    <row r="262" spans="1:4" s="796" customFormat="1" x14ac:dyDescent="0.3">
      <c r="A262" s="776" t="str">
        <f t="shared" ref="A262:A264" si="95">A261</f>
        <v>H</v>
      </c>
      <c r="B262" s="777">
        <f t="shared" ref="B262:B263" si="96">B261+1</f>
        <v>9</v>
      </c>
      <c r="C262" s="778" t="str">
        <f t="shared" ca="1" si="78"/>
        <v/>
      </c>
      <c r="D262" s="779" t="str">
        <f ca="1">IF(C262="","",Voorblad!$X$69)</f>
        <v/>
      </c>
    </row>
    <row r="263" spans="1:4" s="796" customFormat="1" x14ac:dyDescent="0.3">
      <c r="A263" s="776" t="str">
        <f t="shared" si="95"/>
        <v>H</v>
      </c>
      <c r="B263" s="777">
        <f t="shared" si="96"/>
        <v>10</v>
      </c>
      <c r="C263" s="778" t="str">
        <f t="shared" ca="1" si="78"/>
        <v/>
      </c>
      <c r="D263" s="779" t="str">
        <f ca="1">IF(C263="","",Voorblad!$X$70)</f>
        <v/>
      </c>
    </row>
    <row r="264" spans="1:4" s="796" customFormat="1" x14ac:dyDescent="0.3">
      <c r="A264" s="776" t="str">
        <f t="shared" si="95"/>
        <v>H</v>
      </c>
      <c r="B264" s="777">
        <f>B263+2</f>
        <v>12</v>
      </c>
      <c r="C264" s="778" t="str">
        <f t="shared" ca="1" si="78"/>
        <v/>
      </c>
      <c r="D264" s="779" t="str">
        <f ca="1">IF(C264="","",Voorblad!$X$71)</f>
        <v/>
      </c>
    </row>
    <row r="265" spans="1:4" s="796" customFormat="1" x14ac:dyDescent="0.3">
      <c r="A265" s="776" t="str">
        <f>A264</f>
        <v>H</v>
      </c>
      <c r="B265" s="777">
        <f>B264+1</f>
        <v>13</v>
      </c>
      <c r="C265" s="778" t="str">
        <f t="shared" ca="1" si="78"/>
        <v/>
      </c>
      <c r="D265" s="779" t="str">
        <f ca="1">IF(C265="","",Voorblad!$X$72)</f>
        <v/>
      </c>
    </row>
    <row r="266" spans="1:4" s="796" customFormat="1" x14ac:dyDescent="0.3">
      <c r="A266" s="776" t="str">
        <f t="shared" ref="A266:A268" si="97">A265</f>
        <v>H</v>
      </c>
      <c r="B266" s="777">
        <f t="shared" ref="B266:B267" si="98">B265+1</f>
        <v>14</v>
      </c>
      <c r="C266" s="778" t="str">
        <f t="shared" ca="1" si="78"/>
        <v/>
      </c>
      <c r="D266" s="779" t="str">
        <f ca="1">IF(C266="","",Voorblad!$X$73)</f>
        <v/>
      </c>
    </row>
    <row r="267" spans="1:4" s="796" customFormat="1" x14ac:dyDescent="0.3">
      <c r="A267" s="776" t="str">
        <f t="shared" si="97"/>
        <v>H</v>
      </c>
      <c r="B267" s="777">
        <f t="shared" si="98"/>
        <v>15</v>
      </c>
      <c r="C267" s="778" t="str">
        <f t="shared" ca="1" si="78"/>
        <v/>
      </c>
      <c r="D267" s="779" t="str">
        <f ca="1">IF(C267="","",Voorblad!$X$74)</f>
        <v/>
      </c>
    </row>
    <row r="268" spans="1:4" s="796" customFormat="1" x14ac:dyDescent="0.3">
      <c r="A268" s="776" t="str">
        <f t="shared" si="97"/>
        <v>H</v>
      </c>
      <c r="B268" s="777">
        <f>B267+2</f>
        <v>17</v>
      </c>
      <c r="C268" s="778" t="str">
        <f t="shared" ca="1" si="78"/>
        <v/>
      </c>
      <c r="D268" s="779" t="str">
        <f ca="1">IF(C268="","",Voorblad!$X$75)</f>
        <v/>
      </c>
    </row>
    <row r="269" spans="1:4" s="796" customFormat="1" x14ac:dyDescent="0.3">
      <c r="A269" s="776" t="str">
        <f>A268</f>
        <v>H</v>
      </c>
      <c r="B269" s="777">
        <f>B268+1</f>
        <v>18</v>
      </c>
      <c r="C269" s="778" t="str">
        <f t="shared" ca="1" si="78"/>
        <v/>
      </c>
      <c r="D269" s="779" t="str">
        <f ca="1">IF(C269="","",Voorblad!$X$76)</f>
        <v/>
      </c>
    </row>
    <row r="270" spans="1:4" s="796" customFormat="1" x14ac:dyDescent="0.3">
      <c r="A270" s="776" t="str">
        <f t="shared" ref="A270:A272" si="99">A269</f>
        <v>H</v>
      </c>
      <c r="B270" s="777">
        <f t="shared" ref="B270:B271" si="100">B269+1</f>
        <v>19</v>
      </c>
      <c r="C270" s="778" t="str">
        <f t="shared" ca="1" si="78"/>
        <v/>
      </c>
      <c r="D270" s="779" t="str">
        <f ca="1">IF(C270="","",Voorblad!$X$77)</f>
        <v/>
      </c>
    </row>
    <row r="271" spans="1:4" s="796" customFormat="1" x14ac:dyDescent="0.3">
      <c r="A271" s="776" t="str">
        <f t="shared" si="99"/>
        <v>H</v>
      </c>
      <c r="B271" s="777">
        <f t="shared" si="100"/>
        <v>20</v>
      </c>
      <c r="C271" s="778" t="str">
        <f t="shared" ca="1" si="78"/>
        <v/>
      </c>
      <c r="D271" s="779" t="str">
        <f ca="1">IF(C271="","",Voorblad!$X$78)</f>
        <v/>
      </c>
    </row>
    <row r="272" spans="1:4" s="796" customFormat="1" x14ac:dyDescent="0.3">
      <c r="A272" s="776" t="str">
        <f t="shared" si="99"/>
        <v>H</v>
      </c>
      <c r="B272" s="777">
        <f>B271+2</f>
        <v>22</v>
      </c>
      <c r="C272" s="778" t="str">
        <f t="shared" ca="1" si="78"/>
        <v/>
      </c>
      <c r="D272" s="779" t="str">
        <f ca="1">IF(C272="","",Voorblad!$X$79)</f>
        <v/>
      </c>
    </row>
    <row r="273" spans="1:4" s="796" customFormat="1" x14ac:dyDescent="0.3">
      <c r="A273" s="776" t="str">
        <f>A272</f>
        <v>H</v>
      </c>
      <c r="B273" s="777">
        <f>B272+1</f>
        <v>23</v>
      </c>
      <c r="C273" s="778" t="str">
        <f t="shared" ca="1" si="78"/>
        <v/>
      </c>
      <c r="D273" s="779" t="str">
        <f ca="1">IF(C273="","",Voorblad!$X$80)</f>
        <v/>
      </c>
    </row>
    <row r="274" spans="1:4" s="796" customFormat="1" x14ac:dyDescent="0.3">
      <c r="A274" s="776" t="str">
        <f t="shared" ref="A274:A276" si="101">A273</f>
        <v>H</v>
      </c>
      <c r="B274" s="777">
        <f t="shared" ref="B274:B275" si="102">B273+1</f>
        <v>24</v>
      </c>
      <c r="C274" s="778" t="str">
        <f t="shared" ca="1" si="78"/>
        <v/>
      </c>
      <c r="D274" s="779" t="str">
        <f ca="1">IF(C274="","",Voorblad!$X$81)</f>
        <v/>
      </c>
    </row>
    <row r="275" spans="1:4" s="796" customFormat="1" x14ac:dyDescent="0.3">
      <c r="A275" s="776" t="str">
        <f t="shared" si="101"/>
        <v>H</v>
      </c>
      <c r="B275" s="777">
        <f t="shared" si="102"/>
        <v>25</v>
      </c>
      <c r="C275" s="778" t="str">
        <f t="shared" ca="1" si="78"/>
        <v/>
      </c>
      <c r="D275" s="779" t="str">
        <f ca="1">IF(C275="","",Voorblad!$X$82)</f>
        <v/>
      </c>
    </row>
    <row r="276" spans="1:4" s="796" customFormat="1" x14ac:dyDescent="0.3">
      <c r="A276" s="776" t="str">
        <f t="shared" si="101"/>
        <v>H</v>
      </c>
      <c r="B276" s="777">
        <f>B275+2</f>
        <v>27</v>
      </c>
      <c r="C276" s="778" t="str">
        <f t="shared" ca="1" si="78"/>
        <v/>
      </c>
      <c r="D276" s="779" t="str">
        <f ca="1">IF(C276="","",Voorblad!$X$83)</f>
        <v/>
      </c>
    </row>
    <row r="277" spans="1:4" s="796" customFormat="1" x14ac:dyDescent="0.3">
      <c r="A277" s="776" t="str">
        <f>A276</f>
        <v>H</v>
      </c>
      <c r="B277" s="777">
        <f>B276+1</f>
        <v>28</v>
      </c>
      <c r="C277" s="778" t="str">
        <f t="shared" ca="1" si="78"/>
        <v/>
      </c>
      <c r="D277" s="779" t="str">
        <f ca="1">IF(C277="","",Voorblad!$X$84)</f>
        <v/>
      </c>
    </row>
    <row r="278" spans="1:4" s="796" customFormat="1" x14ac:dyDescent="0.3">
      <c r="A278" s="776" t="str">
        <f t="shared" ref="A278:A280" si="103">A277</f>
        <v>H</v>
      </c>
      <c r="B278" s="777">
        <f t="shared" ref="B278:B279" si="104">B277+1</f>
        <v>29</v>
      </c>
      <c r="C278" s="778" t="str">
        <f t="shared" ca="1" si="78"/>
        <v/>
      </c>
      <c r="D278" s="779" t="str">
        <f ca="1">IF(C278="","",Voorblad!$X$85)</f>
        <v/>
      </c>
    </row>
    <row r="279" spans="1:4" s="796" customFormat="1" x14ac:dyDescent="0.3">
      <c r="A279" s="776" t="str">
        <f t="shared" si="103"/>
        <v>H</v>
      </c>
      <c r="B279" s="777">
        <f t="shared" si="104"/>
        <v>30</v>
      </c>
      <c r="C279" s="778" t="str">
        <f t="shared" ca="1" si="78"/>
        <v/>
      </c>
      <c r="D279" s="779" t="str">
        <f ca="1">IF(C279="","",Voorblad!$X$86)</f>
        <v/>
      </c>
    </row>
    <row r="280" spans="1:4" s="796" customFormat="1" x14ac:dyDescent="0.3">
      <c r="A280" s="776" t="str">
        <f t="shared" si="103"/>
        <v>H</v>
      </c>
      <c r="B280" s="777">
        <f>B279+2</f>
        <v>32</v>
      </c>
      <c r="C280" s="778" t="str">
        <f t="shared" ca="1" si="78"/>
        <v/>
      </c>
      <c r="D280" s="779" t="str">
        <f ca="1">IF(C280="","",Voorblad!$X$87)</f>
        <v/>
      </c>
    </row>
    <row r="281" spans="1:4" s="796" customFormat="1" x14ac:dyDescent="0.3">
      <c r="A281" s="776" t="str">
        <f>A280</f>
        <v>H</v>
      </c>
      <c r="B281" s="777">
        <f>B280+1</f>
        <v>33</v>
      </c>
      <c r="C281" s="778" t="str">
        <f t="shared" ca="1" si="78"/>
        <v/>
      </c>
      <c r="D281" s="779" t="str">
        <f ca="1">IF(C281="","",Voorblad!$X$88)</f>
        <v/>
      </c>
    </row>
    <row r="282" spans="1:4" s="796" customFormat="1" x14ac:dyDescent="0.3">
      <c r="A282" s="776" t="str">
        <f t="shared" ref="A282:A284" si="105">A281</f>
        <v>H</v>
      </c>
      <c r="B282" s="777">
        <f t="shared" ref="B282:B283" si="106">B281+1</f>
        <v>34</v>
      </c>
      <c r="C282" s="778" t="str">
        <f t="shared" ca="1" si="78"/>
        <v/>
      </c>
      <c r="D282" s="779" t="str">
        <f ca="1">IF(C282="","",Voorblad!$X$89)</f>
        <v/>
      </c>
    </row>
    <row r="283" spans="1:4" s="796" customFormat="1" x14ac:dyDescent="0.3">
      <c r="A283" s="776" t="str">
        <f t="shared" si="105"/>
        <v>H</v>
      </c>
      <c r="B283" s="777">
        <f t="shared" si="106"/>
        <v>35</v>
      </c>
      <c r="C283" s="778" t="str">
        <f t="shared" ca="1" si="78"/>
        <v/>
      </c>
      <c r="D283" s="779" t="str">
        <f ca="1">IF(C283="","",Voorblad!$X$90)</f>
        <v/>
      </c>
    </row>
    <row r="284" spans="1:4" s="796" customFormat="1" x14ac:dyDescent="0.3">
      <c r="A284" s="776" t="str">
        <f t="shared" si="105"/>
        <v>H</v>
      </c>
      <c r="B284" s="777">
        <f>B283+2</f>
        <v>37</v>
      </c>
      <c r="C284" s="778" t="str">
        <f t="shared" ca="1" si="78"/>
        <v/>
      </c>
      <c r="D284" s="779" t="str">
        <f ca="1">IF(C284="","",Voorblad!$X$91)</f>
        <v/>
      </c>
    </row>
    <row r="285" spans="1:4" s="796" customFormat="1" x14ac:dyDescent="0.3">
      <c r="A285" s="776" t="str">
        <f>A284</f>
        <v>H</v>
      </c>
      <c r="B285" s="777">
        <f>B284+1</f>
        <v>38</v>
      </c>
      <c r="C285" s="778" t="str">
        <f t="shared" ca="1" si="78"/>
        <v/>
      </c>
      <c r="D285" s="779" t="str">
        <f ca="1">IF(C285="","",Voorblad!$X$92)</f>
        <v/>
      </c>
    </row>
    <row r="286" spans="1:4" s="796" customFormat="1" x14ac:dyDescent="0.3">
      <c r="A286" s="776" t="str">
        <f t="shared" ref="A286:A288" si="107">A285</f>
        <v>H</v>
      </c>
      <c r="B286" s="777">
        <f t="shared" ref="B286:B287" si="108">B285+1</f>
        <v>39</v>
      </c>
      <c r="C286" s="778" t="str">
        <f t="shared" ca="1" si="78"/>
        <v/>
      </c>
      <c r="D286" s="779" t="str">
        <f ca="1">IF(C286="","",Voorblad!$X$93)</f>
        <v/>
      </c>
    </row>
    <row r="287" spans="1:4" s="796" customFormat="1" x14ac:dyDescent="0.3">
      <c r="A287" s="776" t="str">
        <f t="shared" si="107"/>
        <v>H</v>
      </c>
      <c r="B287" s="777">
        <f t="shared" si="108"/>
        <v>40</v>
      </c>
      <c r="C287" s="778" t="str">
        <f t="shared" ca="1" si="78"/>
        <v/>
      </c>
      <c r="D287" s="779" t="str">
        <f ca="1">IF(C287="","",Voorblad!$X$94)</f>
        <v/>
      </c>
    </row>
    <row r="288" spans="1:4" s="796" customFormat="1" x14ac:dyDescent="0.3">
      <c r="A288" s="776" t="str">
        <f t="shared" si="107"/>
        <v>H</v>
      </c>
      <c r="B288" s="777">
        <f>B287+2</f>
        <v>42</v>
      </c>
      <c r="C288" s="778" t="str">
        <f t="shared" ca="1" si="78"/>
        <v/>
      </c>
      <c r="D288" s="779" t="str">
        <f ca="1">IF(C288="","",Voorblad!$X$95)</f>
        <v/>
      </c>
    </row>
    <row r="289" spans="1:4" s="796" customFormat="1" x14ac:dyDescent="0.3">
      <c r="A289" s="776" t="str">
        <f>A288</f>
        <v>H</v>
      </c>
      <c r="B289" s="777">
        <f>B288+1</f>
        <v>43</v>
      </c>
      <c r="C289" s="778" t="str">
        <f t="shared" ca="1" si="78"/>
        <v/>
      </c>
      <c r="D289" s="779" t="str">
        <f ca="1">IF(C289="","",Voorblad!$X$96)</f>
        <v/>
      </c>
    </row>
    <row r="290" spans="1:4" s="796" customFormat="1" x14ac:dyDescent="0.3">
      <c r="A290" s="776" t="str">
        <f t="shared" ref="A290:A291" si="109">A289</f>
        <v>H</v>
      </c>
      <c r="B290" s="777">
        <f t="shared" ref="B290:B291" si="110">B289+1</f>
        <v>44</v>
      </c>
      <c r="C290" s="778" t="str">
        <f t="shared" ca="1" si="78"/>
        <v/>
      </c>
      <c r="D290" s="779" t="str">
        <f ca="1">IF(C290="","",Voorblad!$X$97)</f>
        <v/>
      </c>
    </row>
    <row r="291" spans="1:4" s="796" customFormat="1" x14ac:dyDescent="0.3">
      <c r="A291" s="780" t="str">
        <f t="shared" si="109"/>
        <v>H</v>
      </c>
      <c r="B291" s="781">
        <f t="shared" si="110"/>
        <v>45</v>
      </c>
      <c r="C291" s="782" t="str">
        <f t="shared" ca="1" si="78"/>
        <v/>
      </c>
      <c r="D291" s="783" t="str">
        <f ca="1">IF(C291="","",Voorblad!X$98)</f>
        <v/>
      </c>
    </row>
    <row r="292" spans="1:4" s="796" customFormat="1" x14ac:dyDescent="0.3">
      <c r="A292" s="784" t="str">
        <f>CHAR(CODE(A260)+1)</f>
        <v>I</v>
      </c>
      <c r="B292" s="785">
        <v>7</v>
      </c>
      <c r="C292" s="786" t="str">
        <f t="shared" ca="1" si="78"/>
        <v/>
      </c>
      <c r="D292" s="787" t="str">
        <f ca="1">IF(C292="","",Voorblad!$X$67)</f>
        <v/>
      </c>
    </row>
    <row r="293" spans="1:4" s="796" customFormat="1" x14ac:dyDescent="0.3">
      <c r="A293" s="788" t="str">
        <f>A292</f>
        <v>I</v>
      </c>
      <c r="B293" s="789">
        <f>B292+1</f>
        <v>8</v>
      </c>
      <c r="C293" s="790" t="str">
        <f t="shared" ref="C293:C356" ca="1" si="111">IF(ISBLANK(INDIRECT(A293&amp;B293)),"",INDIRECT(A293&amp;B293))</f>
        <v/>
      </c>
      <c r="D293" s="791" t="str">
        <f ca="1">IF(C293="","",Voorblad!$X$68)</f>
        <v/>
      </c>
    </row>
    <row r="294" spans="1:4" s="796" customFormat="1" x14ac:dyDescent="0.3">
      <c r="A294" s="788" t="str">
        <f t="shared" ref="A294:A296" si="112">A293</f>
        <v>I</v>
      </c>
      <c r="B294" s="789">
        <f t="shared" ref="B294:B295" si="113">B293+1</f>
        <v>9</v>
      </c>
      <c r="C294" s="790" t="str">
        <f t="shared" ca="1" si="111"/>
        <v/>
      </c>
      <c r="D294" s="791" t="str">
        <f ca="1">IF(C294="","",Voorblad!$X$69)</f>
        <v/>
      </c>
    </row>
    <row r="295" spans="1:4" s="796" customFormat="1" x14ac:dyDescent="0.3">
      <c r="A295" s="788" t="str">
        <f t="shared" si="112"/>
        <v>I</v>
      </c>
      <c r="B295" s="789">
        <f t="shared" si="113"/>
        <v>10</v>
      </c>
      <c r="C295" s="790" t="str">
        <f t="shared" ca="1" si="111"/>
        <v/>
      </c>
      <c r="D295" s="791" t="str">
        <f ca="1">IF(C295="","",Voorblad!$X$70)</f>
        <v/>
      </c>
    </row>
    <row r="296" spans="1:4" s="796" customFormat="1" x14ac:dyDescent="0.3">
      <c r="A296" s="788" t="str">
        <f t="shared" si="112"/>
        <v>I</v>
      </c>
      <c r="B296" s="789">
        <f>B295+2</f>
        <v>12</v>
      </c>
      <c r="C296" s="790" t="str">
        <f t="shared" ca="1" si="111"/>
        <v/>
      </c>
      <c r="D296" s="791" t="str">
        <f ca="1">IF(C296="","",Voorblad!$X$71)</f>
        <v/>
      </c>
    </row>
    <row r="297" spans="1:4" s="796" customFormat="1" x14ac:dyDescent="0.3">
      <c r="A297" s="788" t="str">
        <f>A296</f>
        <v>I</v>
      </c>
      <c r="B297" s="789">
        <f>B296+1</f>
        <v>13</v>
      </c>
      <c r="C297" s="790" t="str">
        <f t="shared" ca="1" si="111"/>
        <v/>
      </c>
      <c r="D297" s="791" t="str">
        <f ca="1">IF(C297="","",Voorblad!$X$72)</f>
        <v/>
      </c>
    </row>
    <row r="298" spans="1:4" s="796" customFormat="1" x14ac:dyDescent="0.3">
      <c r="A298" s="788" t="str">
        <f t="shared" ref="A298:A300" si="114">A297</f>
        <v>I</v>
      </c>
      <c r="B298" s="789">
        <f t="shared" ref="B298:B299" si="115">B297+1</f>
        <v>14</v>
      </c>
      <c r="C298" s="790" t="str">
        <f t="shared" ca="1" si="111"/>
        <v/>
      </c>
      <c r="D298" s="791" t="str">
        <f ca="1">IF(C298="","",Voorblad!$X$73)</f>
        <v/>
      </c>
    </row>
    <row r="299" spans="1:4" s="796" customFormat="1" x14ac:dyDescent="0.3">
      <c r="A299" s="788" t="str">
        <f t="shared" si="114"/>
        <v>I</v>
      </c>
      <c r="B299" s="789">
        <f t="shared" si="115"/>
        <v>15</v>
      </c>
      <c r="C299" s="790" t="str">
        <f t="shared" ca="1" si="111"/>
        <v/>
      </c>
      <c r="D299" s="791" t="str">
        <f ca="1">IF(C299="","",Voorblad!$X$74)</f>
        <v/>
      </c>
    </row>
    <row r="300" spans="1:4" s="796" customFormat="1" x14ac:dyDescent="0.3">
      <c r="A300" s="788" t="str">
        <f t="shared" si="114"/>
        <v>I</v>
      </c>
      <c r="B300" s="789">
        <f>B299+2</f>
        <v>17</v>
      </c>
      <c r="C300" s="790" t="str">
        <f t="shared" ca="1" si="111"/>
        <v/>
      </c>
      <c r="D300" s="791" t="str">
        <f ca="1">IF(C300="","",Voorblad!$X$75)</f>
        <v/>
      </c>
    </row>
    <row r="301" spans="1:4" s="796" customFormat="1" x14ac:dyDescent="0.3">
      <c r="A301" s="788" t="str">
        <f>A300</f>
        <v>I</v>
      </c>
      <c r="B301" s="789">
        <f>B300+1</f>
        <v>18</v>
      </c>
      <c r="C301" s="790" t="str">
        <f t="shared" ca="1" si="111"/>
        <v/>
      </c>
      <c r="D301" s="791" t="str">
        <f ca="1">IF(C301="","",Voorblad!$X$76)</f>
        <v/>
      </c>
    </row>
    <row r="302" spans="1:4" s="796" customFormat="1" x14ac:dyDescent="0.3">
      <c r="A302" s="788" t="str">
        <f t="shared" ref="A302:A304" si="116">A301</f>
        <v>I</v>
      </c>
      <c r="B302" s="789">
        <f t="shared" ref="B302:B303" si="117">B301+1</f>
        <v>19</v>
      </c>
      <c r="C302" s="790" t="str">
        <f t="shared" ca="1" si="111"/>
        <v/>
      </c>
      <c r="D302" s="791" t="str">
        <f ca="1">IF(C302="","",Voorblad!$X$77)</f>
        <v/>
      </c>
    </row>
    <row r="303" spans="1:4" s="796" customFormat="1" x14ac:dyDescent="0.3">
      <c r="A303" s="788" t="str">
        <f t="shared" si="116"/>
        <v>I</v>
      </c>
      <c r="B303" s="789">
        <f t="shared" si="117"/>
        <v>20</v>
      </c>
      <c r="C303" s="790" t="str">
        <f t="shared" ca="1" si="111"/>
        <v/>
      </c>
      <c r="D303" s="791" t="str">
        <f ca="1">IF(C303="","",Voorblad!$X$78)</f>
        <v/>
      </c>
    </row>
    <row r="304" spans="1:4" s="796" customFormat="1" x14ac:dyDescent="0.3">
      <c r="A304" s="788" t="str">
        <f t="shared" si="116"/>
        <v>I</v>
      </c>
      <c r="B304" s="789">
        <f>B303+2</f>
        <v>22</v>
      </c>
      <c r="C304" s="790" t="str">
        <f t="shared" ca="1" si="111"/>
        <v/>
      </c>
      <c r="D304" s="791" t="str">
        <f ca="1">IF(C304="","",Voorblad!$X$79)</f>
        <v/>
      </c>
    </row>
    <row r="305" spans="1:4" s="796" customFormat="1" x14ac:dyDescent="0.3">
      <c r="A305" s="788" t="str">
        <f>A304</f>
        <v>I</v>
      </c>
      <c r="B305" s="789">
        <f>B304+1</f>
        <v>23</v>
      </c>
      <c r="C305" s="790" t="str">
        <f t="shared" ca="1" si="111"/>
        <v/>
      </c>
      <c r="D305" s="791" t="str">
        <f ca="1">IF(C305="","",Voorblad!$X$80)</f>
        <v/>
      </c>
    </row>
    <row r="306" spans="1:4" s="796" customFormat="1" x14ac:dyDescent="0.3">
      <c r="A306" s="788" t="str">
        <f t="shared" ref="A306:A308" si="118">A305</f>
        <v>I</v>
      </c>
      <c r="B306" s="789">
        <f t="shared" ref="B306:B307" si="119">B305+1</f>
        <v>24</v>
      </c>
      <c r="C306" s="790" t="str">
        <f t="shared" ca="1" si="111"/>
        <v/>
      </c>
      <c r="D306" s="791" t="str">
        <f ca="1">IF(C306="","",Voorblad!$X$81)</f>
        <v/>
      </c>
    </row>
    <row r="307" spans="1:4" s="796" customFormat="1" x14ac:dyDescent="0.3">
      <c r="A307" s="788" t="str">
        <f t="shared" si="118"/>
        <v>I</v>
      </c>
      <c r="B307" s="789">
        <f t="shared" si="119"/>
        <v>25</v>
      </c>
      <c r="C307" s="790" t="str">
        <f t="shared" ca="1" si="111"/>
        <v/>
      </c>
      <c r="D307" s="791" t="str">
        <f ca="1">IF(C307="","",Voorblad!$X$82)</f>
        <v/>
      </c>
    </row>
    <row r="308" spans="1:4" s="796" customFormat="1" x14ac:dyDescent="0.3">
      <c r="A308" s="788" t="str">
        <f t="shared" si="118"/>
        <v>I</v>
      </c>
      <c r="B308" s="789">
        <f>B307+2</f>
        <v>27</v>
      </c>
      <c r="C308" s="790" t="str">
        <f t="shared" ca="1" si="111"/>
        <v/>
      </c>
      <c r="D308" s="791" t="str">
        <f ca="1">IF(C308="","",Voorblad!$X$83)</f>
        <v/>
      </c>
    </row>
    <row r="309" spans="1:4" x14ac:dyDescent="0.3">
      <c r="A309" s="788" t="str">
        <f>A308</f>
        <v>I</v>
      </c>
      <c r="B309" s="789">
        <f>B308+1</f>
        <v>28</v>
      </c>
      <c r="C309" s="790" t="str">
        <f t="shared" ca="1" si="111"/>
        <v/>
      </c>
      <c r="D309" s="791" t="str">
        <f ca="1">IF(C309="","",Voorblad!$X$84)</f>
        <v/>
      </c>
    </row>
    <row r="310" spans="1:4" x14ac:dyDescent="0.3">
      <c r="A310" s="788" t="str">
        <f t="shared" ref="A310:A312" si="120">A309</f>
        <v>I</v>
      </c>
      <c r="B310" s="789">
        <f t="shared" ref="B310:B311" si="121">B309+1</f>
        <v>29</v>
      </c>
      <c r="C310" s="790" t="str">
        <f t="shared" ca="1" si="111"/>
        <v/>
      </c>
      <c r="D310" s="791" t="str">
        <f ca="1">IF(C310="","",Voorblad!$X$85)</f>
        <v/>
      </c>
    </row>
    <row r="311" spans="1:4" x14ac:dyDescent="0.3">
      <c r="A311" s="788" t="str">
        <f t="shared" si="120"/>
        <v>I</v>
      </c>
      <c r="B311" s="789">
        <f t="shared" si="121"/>
        <v>30</v>
      </c>
      <c r="C311" s="790" t="str">
        <f t="shared" ca="1" si="111"/>
        <v/>
      </c>
      <c r="D311" s="791" t="str">
        <f ca="1">IF(C311="","",Voorblad!$X$86)</f>
        <v/>
      </c>
    </row>
    <row r="312" spans="1:4" x14ac:dyDescent="0.3">
      <c r="A312" s="788" t="str">
        <f t="shared" si="120"/>
        <v>I</v>
      </c>
      <c r="B312" s="789">
        <f>B311+2</f>
        <v>32</v>
      </c>
      <c r="C312" s="790" t="str">
        <f t="shared" ca="1" si="111"/>
        <v/>
      </c>
      <c r="D312" s="791" t="str">
        <f ca="1">IF(C312="","",Voorblad!$X$87)</f>
        <v/>
      </c>
    </row>
    <row r="313" spans="1:4" x14ac:dyDescent="0.3">
      <c r="A313" s="788" t="str">
        <f>A312</f>
        <v>I</v>
      </c>
      <c r="B313" s="789">
        <f>B312+1</f>
        <v>33</v>
      </c>
      <c r="C313" s="790" t="str">
        <f t="shared" ca="1" si="111"/>
        <v/>
      </c>
      <c r="D313" s="791" t="str">
        <f ca="1">IF(C313="","",Voorblad!$X$88)</f>
        <v/>
      </c>
    </row>
    <row r="314" spans="1:4" x14ac:dyDescent="0.3">
      <c r="A314" s="788" t="str">
        <f t="shared" ref="A314:A316" si="122">A313</f>
        <v>I</v>
      </c>
      <c r="B314" s="789">
        <f t="shared" ref="B314:B315" si="123">B313+1</f>
        <v>34</v>
      </c>
      <c r="C314" s="790" t="str">
        <f t="shared" ca="1" si="111"/>
        <v/>
      </c>
      <c r="D314" s="791" t="str">
        <f ca="1">IF(C314="","",Voorblad!$X$89)</f>
        <v/>
      </c>
    </row>
    <row r="315" spans="1:4" x14ac:dyDescent="0.3">
      <c r="A315" s="788" t="str">
        <f t="shared" si="122"/>
        <v>I</v>
      </c>
      <c r="B315" s="789">
        <f t="shared" si="123"/>
        <v>35</v>
      </c>
      <c r="C315" s="790" t="str">
        <f t="shared" ca="1" si="111"/>
        <v/>
      </c>
      <c r="D315" s="791" t="str">
        <f ca="1">IF(C315="","",Voorblad!$X$90)</f>
        <v/>
      </c>
    </row>
    <row r="316" spans="1:4" x14ac:dyDescent="0.3">
      <c r="A316" s="788" t="str">
        <f t="shared" si="122"/>
        <v>I</v>
      </c>
      <c r="B316" s="789">
        <f>B315+2</f>
        <v>37</v>
      </c>
      <c r="C316" s="790" t="str">
        <f t="shared" ca="1" si="111"/>
        <v/>
      </c>
      <c r="D316" s="791" t="str">
        <f ca="1">IF(C316="","",Voorblad!$X$91)</f>
        <v/>
      </c>
    </row>
    <row r="317" spans="1:4" x14ac:dyDescent="0.3">
      <c r="A317" s="788" t="str">
        <f>A316</f>
        <v>I</v>
      </c>
      <c r="B317" s="789">
        <f>B316+1</f>
        <v>38</v>
      </c>
      <c r="C317" s="790" t="str">
        <f t="shared" ca="1" si="111"/>
        <v/>
      </c>
      <c r="D317" s="791" t="str">
        <f ca="1">IF(C317="","",Voorblad!$X$92)</f>
        <v/>
      </c>
    </row>
    <row r="318" spans="1:4" x14ac:dyDescent="0.3">
      <c r="A318" s="788" t="str">
        <f t="shared" ref="A318:A320" si="124">A317</f>
        <v>I</v>
      </c>
      <c r="B318" s="789">
        <f t="shared" ref="B318:B319" si="125">B317+1</f>
        <v>39</v>
      </c>
      <c r="C318" s="790" t="str">
        <f t="shared" ca="1" si="111"/>
        <v/>
      </c>
      <c r="D318" s="791" t="str">
        <f ca="1">IF(C318="","",Voorblad!$X$93)</f>
        <v/>
      </c>
    </row>
    <row r="319" spans="1:4" x14ac:dyDescent="0.3">
      <c r="A319" s="788" t="str">
        <f t="shared" si="124"/>
        <v>I</v>
      </c>
      <c r="B319" s="789">
        <f t="shared" si="125"/>
        <v>40</v>
      </c>
      <c r="C319" s="790" t="str">
        <f t="shared" ca="1" si="111"/>
        <v/>
      </c>
      <c r="D319" s="791" t="str">
        <f ca="1">IF(C319="","",Voorblad!$X$94)</f>
        <v/>
      </c>
    </row>
    <row r="320" spans="1:4" x14ac:dyDescent="0.3">
      <c r="A320" s="788" t="str">
        <f t="shared" si="124"/>
        <v>I</v>
      </c>
      <c r="B320" s="789">
        <f>B319+2</f>
        <v>42</v>
      </c>
      <c r="C320" s="790" t="str">
        <f t="shared" ca="1" si="111"/>
        <v/>
      </c>
      <c r="D320" s="791" t="str">
        <f ca="1">IF(C320="","",Voorblad!$X$95)</f>
        <v/>
      </c>
    </row>
    <row r="321" spans="1:4" x14ac:dyDescent="0.3">
      <c r="A321" s="788" t="str">
        <f>A320</f>
        <v>I</v>
      </c>
      <c r="B321" s="789">
        <f>B320+1</f>
        <v>43</v>
      </c>
      <c r="C321" s="790" t="str">
        <f t="shared" ca="1" si="111"/>
        <v/>
      </c>
      <c r="D321" s="791" t="str">
        <f ca="1">IF(C321="","",Voorblad!$X$96)</f>
        <v/>
      </c>
    </row>
    <row r="322" spans="1:4" x14ac:dyDescent="0.3">
      <c r="A322" s="788" t="str">
        <f t="shared" ref="A322:A323" si="126">A321</f>
        <v>I</v>
      </c>
      <c r="B322" s="789">
        <f t="shared" ref="B322:B323" si="127">B321+1</f>
        <v>44</v>
      </c>
      <c r="C322" s="790" t="str">
        <f t="shared" ca="1" si="111"/>
        <v/>
      </c>
      <c r="D322" s="791" t="str">
        <f ca="1">IF(C322="","",Voorblad!$X$97)</f>
        <v/>
      </c>
    </row>
    <row r="323" spans="1:4" x14ac:dyDescent="0.3">
      <c r="A323" s="792" t="str">
        <f t="shared" si="126"/>
        <v>I</v>
      </c>
      <c r="B323" s="793">
        <f t="shared" si="127"/>
        <v>45</v>
      </c>
      <c r="C323" s="794" t="str">
        <f t="shared" ca="1" si="111"/>
        <v/>
      </c>
      <c r="D323" s="795" t="str">
        <f ca="1">IF(C323="","",Voorblad!X$98)</f>
        <v/>
      </c>
    </row>
    <row r="324" spans="1:4" x14ac:dyDescent="0.3">
      <c r="A324" s="772" t="str">
        <f>CHAR(CODE(A292)+1)</f>
        <v>J</v>
      </c>
      <c r="B324" s="773">
        <v>7</v>
      </c>
      <c r="C324" s="774" t="str">
        <f t="shared" ca="1" si="111"/>
        <v/>
      </c>
      <c r="D324" s="775" t="str">
        <f ca="1">IF(C324="","",Voorblad!$X$67)</f>
        <v/>
      </c>
    </row>
    <row r="325" spans="1:4" x14ac:dyDescent="0.3">
      <c r="A325" s="776" t="str">
        <f>A324</f>
        <v>J</v>
      </c>
      <c r="B325" s="777">
        <f>B324+1</f>
        <v>8</v>
      </c>
      <c r="C325" s="778" t="str">
        <f t="shared" ca="1" si="111"/>
        <v/>
      </c>
      <c r="D325" s="779" t="str">
        <f ca="1">IF(C325="","",Voorblad!$X$68)</f>
        <v/>
      </c>
    </row>
    <row r="326" spans="1:4" x14ac:dyDescent="0.3">
      <c r="A326" s="776" t="str">
        <f t="shared" ref="A326:A328" si="128">A325</f>
        <v>J</v>
      </c>
      <c r="B326" s="777">
        <f t="shared" ref="B326:B327" si="129">B325+1</f>
        <v>9</v>
      </c>
      <c r="C326" s="778" t="str">
        <f t="shared" ca="1" si="111"/>
        <v/>
      </c>
      <c r="D326" s="779" t="str">
        <f ca="1">IF(C326="","",Voorblad!$X$69)</f>
        <v/>
      </c>
    </row>
    <row r="327" spans="1:4" x14ac:dyDescent="0.3">
      <c r="A327" s="776" t="str">
        <f t="shared" si="128"/>
        <v>J</v>
      </c>
      <c r="B327" s="777">
        <f t="shared" si="129"/>
        <v>10</v>
      </c>
      <c r="C327" s="778" t="str">
        <f t="shared" ca="1" si="111"/>
        <v/>
      </c>
      <c r="D327" s="779" t="str">
        <f ca="1">IF(C327="","",Voorblad!$X$70)</f>
        <v/>
      </c>
    </row>
    <row r="328" spans="1:4" x14ac:dyDescent="0.3">
      <c r="A328" s="776" t="str">
        <f t="shared" si="128"/>
        <v>J</v>
      </c>
      <c r="B328" s="777">
        <f>B327+2</f>
        <v>12</v>
      </c>
      <c r="C328" s="778" t="str">
        <f t="shared" ca="1" si="111"/>
        <v/>
      </c>
      <c r="D328" s="779" t="str">
        <f ca="1">IF(C328="","",Voorblad!$X$71)</f>
        <v/>
      </c>
    </row>
    <row r="329" spans="1:4" x14ac:dyDescent="0.3">
      <c r="A329" s="776" t="str">
        <f>A328</f>
        <v>J</v>
      </c>
      <c r="B329" s="777">
        <f>B328+1</f>
        <v>13</v>
      </c>
      <c r="C329" s="778" t="str">
        <f t="shared" ca="1" si="111"/>
        <v/>
      </c>
      <c r="D329" s="779" t="str">
        <f ca="1">IF(C329="","",Voorblad!$X$72)</f>
        <v/>
      </c>
    </row>
    <row r="330" spans="1:4" x14ac:dyDescent="0.3">
      <c r="A330" s="776" t="str">
        <f t="shared" ref="A330:A332" si="130">A329</f>
        <v>J</v>
      </c>
      <c r="B330" s="777">
        <f t="shared" ref="B330:B331" si="131">B329+1</f>
        <v>14</v>
      </c>
      <c r="C330" s="778" t="str">
        <f t="shared" ca="1" si="111"/>
        <v/>
      </c>
      <c r="D330" s="779" t="str">
        <f ca="1">IF(C330="","",Voorblad!$X$73)</f>
        <v/>
      </c>
    </row>
    <row r="331" spans="1:4" x14ac:dyDescent="0.3">
      <c r="A331" s="776" t="str">
        <f t="shared" si="130"/>
        <v>J</v>
      </c>
      <c r="B331" s="777">
        <f t="shared" si="131"/>
        <v>15</v>
      </c>
      <c r="C331" s="778" t="str">
        <f t="shared" ca="1" si="111"/>
        <v/>
      </c>
      <c r="D331" s="779" t="str">
        <f ca="1">IF(C331="","",Voorblad!$X$74)</f>
        <v/>
      </c>
    </row>
    <row r="332" spans="1:4" x14ac:dyDescent="0.3">
      <c r="A332" s="776" t="str">
        <f t="shared" si="130"/>
        <v>J</v>
      </c>
      <c r="B332" s="777">
        <f>B331+2</f>
        <v>17</v>
      </c>
      <c r="C332" s="778" t="str">
        <f t="shared" ca="1" si="111"/>
        <v/>
      </c>
      <c r="D332" s="779" t="str">
        <f ca="1">IF(C332="","",Voorblad!$X$75)</f>
        <v/>
      </c>
    </row>
    <row r="333" spans="1:4" x14ac:dyDescent="0.3">
      <c r="A333" s="776" t="str">
        <f>A332</f>
        <v>J</v>
      </c>
      <c r="B333" s="777">
        <f>B332+1</f>
        <v>18</v>
      </c>
      <c r="C333" s="778" t="str">
        <f t="shared" ca="1" si="111"/>
        <v/>
      </c>
      <c r="D333" s="779" t="str">
        <f ca="1">IF(C333="","",Voorblad!$X$76)</f>
        <v/>
      </c>
    </row>
    <row r="334" spans="1:4" x14ac:dyDescent="0.3">
      <c r="A334" s="776" t="str">
        <f t="shared" ref="A334:A336" si="132">A333</f>
        <v>J</v>
      </c>
      <c r="B334" s="777">
        <f t="shared" ref="B334:B335" si="133">B333+1</f>
        <v>19</v>
      </c>
      <c r="C334" s="778" t="str">
        <f t="shared" ca="1" si="111"/>
        <v/>
      </c>
      <c r="D334" s="779" t="str">
        <f ca="1">IF(C334="","",Voorblad!$X$77)</f>
        <v/>
      </c>
    </row>
    <row r="335" spans="1:4" x14ac:dyDescent="0.3">
      <c r="A335" s="776" t="str">
        <f t="shared" si="132"/>
        <v>J</v>
      </c>
      <c r="B335" s="777">
        <f t="shared" si="133"/>
        <v>20</v>
      </c>
      <c r="C335" s="778" t="str">
        <f t="shared" ca="1" si="111"/>
        <v/>
      </c>
      <c r="D335" s="779" t="str">
        <f ca="1">IF(C335="","",Voorblad!$X$78)</f>
        <v/>
      </c>
    </row>
    <row r="336" spans="1:4" x14ac:dyDescent="0.3">
      <c r="A336" s="776" t="str">
        <f t="shared" si="132"/>
        <v>J</v>
      </c>
      <c r="B336" s="777">
        <f>B335+2</f>
        <v>22</v>
      </c>
      <c r="C336" s="778" t="str">
        <f t="shared" ca="1" si="111"/>
        <v/>
      </c>
      <c r="D336" s="779" t="str">
        <f ca="1">IF(C336="","",Voorblad!$X$79)</f>
        <v/>
      </c>
    </row>
    <row r="337" spans="1:4" x14ac:dyDescent="0.3">
      <c r="A337" s="776" t="str">
        <f>A336</f>
        <v>J</v>
      </c>
      <c r="B337" s="777">
        <f>B336+1</f>
        <v>23</v>
      </c>
      <c r="C337" s="778" t="str">
        <f t="shared" ca="1" si="111"/>
        <v/>
      </c>
      <c r="D337" s="779" t="str">
        <f ca="1">IF(C337="","",Voorblad!$X$80)</f>
        <v/>
      </c>
    </row>
    <row r="338" spans="1:4" x14ac:dyDescent="0.3">
      <c r="A338" s="776" t="str">
        <f t="shared" ref="A338:A340" si="134">A337</f>
        <v>J</v>
      </c>
      <c r="B338" s="777">
        <f t="shared" ref="B338:B339" si="135">B337+1</f>
        <v>24</v>
      </c>
      <c r="C338" s="778" t="str">
        <f t="shared" ca="1" si="111"/>
        <v/>
      </c>
      <c r="D338" s="779" t="str">
        <f ca="1">IF(C338="","",Voorblad!$X$81)</f>
        <v/>
      </c>
    </row>
    <row r="339" spans="1:4" x14ac:dyDescent="0.3">
      <c r="A339" s="776" t="str">
        <f t="shared" si="134"/>
        <v>J</v>
      </c>
      <c r="B339" s="777">
        <f t="shared" si="135"/>
        <v>25</v>
      </c>
      <c r="C339" s="778" t="str">
        <f t="shared" ca="1" si="111"/>
        <v/>
      </c>
      <c r="D339" s="779" t="str">
        <f ca="1">IF(C339="","",Voorblad!$X$82)</f>
        <v/>
      </c>
    </row>
    <row r="340" spans="1:4" x14ac:dyDescent="0.3">
      <c r="A340" s="776" t="str">
        <f t="shared" si="134"/>
        <v>J</v>
      </c>
      <c r="B340" s="777">
        <f>B339+2</f>
        <v>27</v>
      </c>
      <c r="C340" s="778" t="str">
        <f t="shared" ca="1" si="111"/>
        <v/>
      </c>
      <c r="D340" s="779" t="str">
        <f ca="1">IF(C340="","",Voorblad!$X$83)</f>
        <v/>
      </c>
    </row>
    <row r="341" spans="1:4" x14ac:dyDescent="0.3">
      <c r="A341" s="776" t="str">
        <f>A340</f>
        <v>J</v>
      </c>
      <c r="B341" s="777">
        <f>B340+1</f>
        <v>28</v>
      </c>
      <c r="C341" s="778" t="str">
        <f t="shared" ca="1" si="111"/>
        <v/>
      </c>
      <c r="D341" s="779" t="str">
        <f ca="1">IF(C341="","",Voorblad!$X$84)</f>
        <v/>
      </c>
    </row>
    <row r="342" spans="1:4" x14ac:dyDescent="0.3">
      <c r="A342" s="776" t="str">
        <f t="shared" ref="A342:A344" si="136">A341</f>
        <v>J</v>
      </c>
      <c r="B342" s="777">
        <f t="shared" ref="B342:B343" si="137">B341+1</f>
        <v>29</v>
      </c>
      <c r="C342" s="778" t="str">
        <f t="shared" ca="1" si="111"/>
        <v/>
      </c>
      <c r="D342" s="779" t="str">
        <f ca="1">IF(C342="","",Voorblad!$X$85)</f>
        <v/>
      </c>
    </row>
    <row r="343" spans="1:4" x14ac:dyDescent="0.3">
      <c r="A343" s="776" t="str">
        <f t="shared" si="136"/>
        <v>J</v>
      </c>
      <c r="B343" s="777">
        <f t="shared" si="137"/>
        <v>30</v>
      </c>
      <c r="C343" s="778" t="str">
        <f t="shared" ca="1" si="111"/>
        <v/>
      </c>
      <c r="D343" s="779" t="str">
        <f ca="1">IF(C343="","",Voorblad!$X$86)</f>
        <v/>
      </c>
    </row>
    <row r="344" spans="1:4" x14ac:dyDescent="0.3">
      <c r="A344" s="776" t="str">
        <f t="shared" si="136"/>
        <v>J</v>
      </c>
      <c r="B344" s="777">
        <f>B343+2</f>
        <v>32</v>
      </c>
      <c r="C344" s="778" t="str">
        <f t="shared" ca="1" si="111"/>
        <v/>
      </c>
      <c r="D344" s="779" t="str">
        <f ca="1">IF(C344="","",Voorblad!$X$87)</f>
        <v/>
      </c>
    </row>
    <row r="345" spans="1:4" x14ac:dyDescent="0.3">
      <c r="A345" s="776" t="str">
        <f>A344</f>
        <v>J</v>
      </c>
      <c r="B345" s="777">
        <f>B344+1</f>
        <v>33</v>
      </c>
      <c r="C345" s="778" t="str">
        <f t="shared" ca="1" si="111"/>
        <v/>
      </c>
      <c r="D345" s="779" t="str">
        <f ca="1">IF(C345="","",Voorblad!$X$88)</f>
        <v/>
      </c>
    </row>
    <row r="346" spans="1:4" x14ac:dyDescent="0.3">
      <c r="A346" s="776" t="str">
        <f t="shared" ref="A346:A348" si="138">A345</f>
        <v>J</v>
      </c>
      <c r="B346" s="777">
        <f t="shared" ref="B346:B347" si="139">B345+1</f>
        <v>34</v>
      </c>
      <c r="C346" s="778" t="str">
        <f t="shared" ca="1" si="111"/>
        <v/>
      </c>
      <c r="D346" s="779" t="str">
        <f ca="1">IF(C346="","",Voorblad!$X$89)</f>
        <v/>
      </c>
    </row>
    <row r="347" spans="1:4" x14ac:dyDescent="0.3">
      <c r="A347" s="776" t="str">
        <f t="shared" si="138"/>
        <v>J</v>
      </c>
      <c r="B347" s="777">
        <f t="shared" si="139"/>
        <v>35</v>
      </c>
      <c r="C347" s="778" t="str">
        <f t="shared" ca="1" si="111"/>
        <v/>
      </c>
      <c r="D347" s="779" t="str">
        <f ca="1">IF(C347="","",Voorblad!$X$90)</f>
        <v/>
      </c>
    </row>
    <row r="348" spans="1:4" x14ac:dyDescent="0.3">
      <c r="A348" s="776" t="str">
        <f t="shared" si="138"/>
        <v>J</v>
      </c>
      <c r="B348" s="777">
        <f>B347+2</f>
        <v>37</v>
      </c>
      <c r="C348" s="778" t="str">
        <f t="shared" ca="1" si="111"/>
        <v/>
      </c>
      <c r="D348" s="779" t="str">
        <f ca="1">IF(C348="","",Voorblad!$X$91)</f>
        <v/>
      </c>
    </row>
    <row r="349" spans="1:4" x14ac:dyDescent="0.3">
      <c r="A349" s="776" t="str">
        <f>A348</f>
        <v>J</v>
      </c>
      <c r="B349" s="777">
        <f>B348+1</f>
        <v>38</v>
      </c>
      <c r="C349" s="778" t="str">
        <f t="shared" ca="1" si="111"/>
        <v/>
      </c>
      <c r="D349" s="779" t="str">
        <f ca="1">IF(C349="","",Voorblad!$X$92)</f>
        <v/>
      </c>
    </row>
    <row r="350" spans="1:4" x14ac:dyDescent="0.3">
      <c r="A350" s="776" t="str">
        <f t="shared" ref="A350:A352" si="140">A349</f>
        <v>J</v>
      </c>
      <c r="B350" s="777">
        <f t="shared" ref="B350:B351" si="141">B349+1</f>
        <v>39</v>
      </c>
      <c r="C350" s="778" t="str">
        <f t="shared" ca="1" si="111"/>
        <v/>
      </c>
      <c r="D350" s="779" t="str">
        <f ca="1">IF(C350="","",Voorblad!$X$93)</f>
        <v/>
      </c>
    </row>
    <row r="351" spans="1:4" x14ac:dyDescent="0.3">
      <c r="A351" s="776" t="str">
        <f t="shared" si="140"/>
        <v>J</v>
      </c>
      <c r="B351" s="777">
        <f t="shared" si="141"/>
        <v>40</v>
      </c>
      <c r="C351" s="778" t="str">
        <f t="shared" ca="1" si="111"/>
        <v/>
      </c>
      <c r="D351" s="779" t="str">
        <f ca="1">IF(C351="","",Voorblad!$X$94)</f>
        <v/>
      </c>
    </row>
    <row r="352" spans="1:4" x14ac:dyDescent="0.3">
      <c r="A352" s="776" t="str">
        <f t="shared" si="140"/>
        <v>J</v>
      </c>
      <c r="B352" s="777">
        <f>B351+2</f>
        <v>42</v>
      </c>
      <c r="C352" s="778" t="str">
        <f t="shared" ca="1" si="111"/>
        <v/>
      </c>
      <c r="D352" s="779" t="str">
        <f ca="1">IF(C352="","",Voorblad!$X$95)</f>
        <v/>
      </c>
    </row>
    <row r="353" spans="1:4" x14ac:dyDescent="0.3">
      <c r="A353" s="776" t="str">
        <f>A352</f>
        <v>J</v>
      </c>
      <c r="B353" s="777">
        <f>B352+1</f>
        <v>43</v>
      </c>
      <c r="C353" s="778" t="str">
        <f t="shared" ca="1" si="111"/>
        <v/>
      </c>
      <c r="D353" s="779" t="str">
        <f ca="1">IF(C353="","",Voorblad!$X$96)</f>
        <v/>
      </c>
    </row>
    <row r="354" spans="1:4" x14ac:dyDescent="0.3">
      <c r="A354" s="776" t="str">
        <f t="shared" ref="A354:A355" si="142">A353</f>
        <v>J</v>
      </c>
      <c r="B354" s="777">
        <f t="shared" ref="B354:B355" si="143">B353+1</f>
        <v>44</v>
      </c>
      <c r="C354" s="778" t="str">
        <f t="shared" ca="1" si="111"/>
        <v/>
      </c>
      <c r="D354" s="779" t="str">
        <f ca="1">IF(C354="","",Voorblad!$X$97)</f>
        <v/>
      </c>
    </row>
    <row r="355" spans="1:4" x14ac:dyDescent="0.3">
      <c r="A355" s="780" t="str">
        <f t="shared" si="142"/>
        <v>J</v>
      </c>
      <c r="B355" s="781">
        <f t="shared" si="143"/>
        <v>45</v>
      </c>
      <c r="C355" s="782" t="str">
        <f t="shared" ca="1" si="111"/>
        <v/>
      </c>
      <c r="D355" s="783" t="str">
        <f ca="1">IF(C355="","",Voorblad!X$98)</f>
        <v/>
      </c>
    </row>
    <row r="356" spans="1:4" x14ac:dyDescent="0.3">
      <c r="A356" s="784" t="str">
        <f>CHAR(CODE(A324)+1)</f>
        <v>K</v>
      </c>
      <c r="B356" s="785">
        <v>7</v>
      </c>
      <c r="C356" s="786" t="str">
        <f t="shared" ca="1" si="111"/>
        <v/>
      </c>
      <c r="D356" s="787" t="str">
        <f ca="1">IF(C356="","",Voorblad!$X$67)</f>
        <v/>
      </c>
    </row>
    <row r="357" spans="1:4" x14ac:dyDescent="0.3">
      <c r="A357" s="788" t="str">
        <f>A356</f>
        <v>K</v>
      </c>
      <c r="B357" s="789">
        <f>B356+1</f>
        <v>8</v>
      </c>
      <c r="C357" s="790" t="str">
        <f t="shared" ref="C357:C419" ca="1" si="144">IF(ISBLANK(INDIRECT(A357&amp;B357)),"",INDIRECT(A357&amp;B357))</f>
        <v/>
      </c>
      <c r="D357" s="791" t="str">
        <f ca="1">IF(C357="","",Voorblad!$X$68)</f>
        <v/>
      </c>
    </row>
    <row r="358" spans="1:4" x14ac:dyDescent="0.3">
      <c r="A358" s="788" t="str">
        <f t="shared" ref="A358:A360" si="145">A357</f>
        <v>K</v>
      </c>
      <c r="B358" s="789">
        <f t="shared" ref="B358:B359" si="146">B357+1</f>
        <v>9</v>
      </c>
      <c r="C358" s="790" t="str">
        <f t="shared" ca="1" si="144"/>
        <v/>
      </c>
      <c r="D358" s="791" t="str">
        <f ca="1">IF(C358="","",Voorblad!$X$69)</f>
        <v/>
      </c>
    </row>
    <row r="359" spans="1:4" x14ac:dyDescent="0.3">
      <c r="A359" s="788" t="str">
        <f t="shared" si="145"/>
        <v>K</v>
      </c>
      <c r="B359" s="789">
        <f t="shared" si="146"/>
        <v>10</v>
      </c>
      <c r="C359" s="790" t="str">
        <f t="shared" ca="1" si="144"/>
        <v/>
      </c>
      <c r="D359" s="791" t="str">
        <f ca="1">IF(C359="","",Voorblad!$X$70)</f>
        <v/>
      </c>
    </row>
    <row r="360" spans="1:4" x14ac:dyDescent="0.3">
      <c r="A360" s="788" t="str">
        <f t="shared" si="145"/>
        <v>K</v>
      </c>
      <c r="B360" s="789">
        <f>B359+2</f>
        <v>12</v>
      </c>
      <c r="C360" s="790" t="str">
        <f t="shared" ca="1" si="144"/>
        <v/>
      </c>
      <c r="D360" s="791" t="str">
        <f ca="1">IF(C360="","",Voorblad!$X$71)</f>
        <v/>
      </c>
    </row>
    <row r="361" spans="1:4" x14ac:dyDescent="0.3">
      <c r="A361" s="788" t="str">
        <f>A360</f>
        <v>K</v>
      </c>
      <c r="B361" s="789">
        <f>B360+1</f>
        <v>13</v>
      </c>
      <c r="C361" s="790" t="str">
        <f t="shared" ca="1" si="144"/>
        <v/>
      </c>
      <c r="D361" s="791" t="str">
        <f ca="1">IF(C361="","",Voorblad!$X$72)</f>
        <v/>
      </c>
    </row>
    <row r="362" spans="1:4" x14ac:dyDescent="0.3">
      <c r="A362" s="788" t="str">
        <f t="shared" ref="A362:A364" si="147">A361</f>
        <v>K</v>
      </c>
      <c r="B362" s="789">
        <f t="shared" ref="B362:B363" si="148">B361+1</f>
        <v>14</v>
      </c>
      <c r="C362" s="790" t="str">
        <f t="shared" ca="1" si="144"/>
        <v/>
      </c>
      <c r="D362" s="791" t="str">
        <f ca="1">IF(C362="","",Voorblad!$X$73)</f>
        <v/>
      </c>
    </row>
    <row r="363" spans="1:4" x14ac:dyDescent="0.3">
      <c r="A363" s="788" t="str">
        <f t="shared" si="147"/>
        <v>K</v>
      </c>
      <c r="B363" s="789">
        <f t="shared" si="148"/>
        <v>15</v>
      </c>
      <c r="C363" s="790" t="str">
        <f t="shared" ca="1" si="144"/>
        <v/>
      </c>
      <c r="D363" s="791" t="str">
        <f ca="1">IF(C363="","",Voorblad!$X$74)</f>
        <v/>
      </c>
    </row>
    <row r="364" spans="1:4" x14ac:dyDescent="0.3">
      <c r="A364" s="788" t="str">
        <f t="shared" si="147"/>
        <v>K</v>
      </c>
      <c r="B364" s="789">
        <f>B363+2</f>
        <v>17</v>
      </c>
      <c r="C364" s="790" t="str">
        <f t="shared" ca="1" si="144"/>
        <v/>
      </c>
      <c r="D364" s="791" t="str">
        <f ca="1">IF(C364="","",Voorblad!$X$75)</f>
        <v/>
      </c>
    </row>
    <row r="365" spans="1:4" x14ac:dyDescent="0.3">
      <c r="A365" s="788" t="str">
        <f>A364</f>
        <v>K</v>
      </c>
      <c r="B365" s="789">
        <f>B364+1</f>
        <v>18</v>
      </c>
      <c r="C365" s="790" t="str">
        <f t="shared" ca="1" si="144"/>
        <v/>
      </c>
      <c r="D365" s="791" t="str">
        <f ca="1">IF(C365="","",Voorblad!$X$76)</f>
        <v/>
      </c>
    </row>
    <row r="366" spans="1:4" x14ac:dyDescent="0.3">
      <c r="A366" s="788" t="str">
        <f t="shared" ref="A366:A368" si="149">A365</f>
        <v>K</v>
      </c>
      <c r="B366" s="789">
        <f t="shared" ref="B366:B367" si="150">B365+1</f>
        <v>19</v>
      </c>
      <c r="C366" s="790" t="str">
        <f t="shared" ca="1" si="144"/>
        <v/>
      </c>
      <c r="D366" s="791" t="str">
        <f ca="1">IF(C366="","",Voorblad!$X$77)</f>
        <v/>
      </c>
    </row>
    <row r="367" spans="1:4" x14ac:dyDescent="0.3">
      <c r="A367" s="788" t="str">
        <f t="shared" si="149"/>
        <v>K</v>
      </c>
      <c r="B367" s="789">
        <f t="shared" si="150"/>
        <v>20</v>
      </c>
      <c r="C367" s="790" t="str">
        <f t="shared" ca="1" si="144"/>
        <v/>
      </c>
      <c r="D367" s="791" t="str">
        <f ca="1">IF(C367="","",Voorblad!$X$78)</f>
        <v/>
      </c>
    </row>
    <row r="368" spans="1:4" x14ac:dyDescent="0.3">
      <c r="A368" s="788" t="str">
        <f t="shared" si="149"/>
        <v>K</v>
      </c>
      <c r="B368" s="789">
        <f>B367+2</f>
        <v>22</v>
      </c>
      <c r="C368" s="790" t="str">
        <f t="shared" ca="1" si="144"/>
        <v/>
      </c>
      <c r="D368" s="791" t="str">
        <f ca="1">IF(C368="","",Voorblad!$X$79)</f>
        <v/>
      </c>
    </row>
    <row r="369" spans="1:4" x14ac:dyDescent="0.3">
      <c r="A369" s="788" t="str">
        <f>A368</f>
        <v>K</v>
      </c>
      <c r="B369" s="789">
        <f>B368+1</f>
        <v>23</v>
      </c>
      <c r="C369" s="790" t="str">
        <f t="shared" ca="1" si="144"/>
        <v/>
      </c>
      <c r="D369" s="791" t="str">
        <f ca="1">IF(C369="","",Voorblad!$X$80)</f>
        <v/>
      </c>
    </row>
    <row r="370" spans="1:4" x14ac:dyDescent="0.3">
      <c r="A370" s="788" t="str">
        <f t="shared" ref="A370:A372" si="151">A369</f>
        <v>K</v>
      </c>
      <c r="B370" s="789">
        <f t="shared" ref="B370:B371" si="152">B369+1</f>
        <v>24</v>
      </c>
      <c r="C370" s="790" t="str">
        <f t="shared" ca="1" si="144"/>
        <v/>
      </c>
      <c r="D370" s="791" t="str">
        <f ca="1">IF(C370="","",Voorblad!$X$81)</f>
        <v/>
      </c>
    </row>
    <row r="371" spans="1:4" x14ac:dyDescent="0.3">
      <c r="A371" s="788" t="str">
        <f t="shared" si="151"/>
        <v>K</v>
      </c>
      <c r="B371" s="789">
        <f t="shared" si="152"/>
        <v>25</v>
      </c>
      <c r="C371" s="790" t="str">
        <f t="shared" ca="1" si="144"/>
        <v/>
      </c>
      <c r="D371" s="791" t="str">
        <f ca="1">IF(C371="","",Voorblad!$X$82)</f>
        <v/>
      </c>
    </row>
    <row r="372" spans="1:4" x14ac:dyDescent="0.3">
      <c r="A372" s="788" t="str">
        <f t="shared" si="151"/>
        <v>K</v>
      </c>
      <c r="B372" s="789">
        <f>B371+2</f>
        <v>27</v>
      </c>
      <c r="C372" s="790" t="str">
        <f t="shared" ca="1" si="144"/>
        <v/>
      </c>
      <c r="D372" s="791" t="str">
        <f ca="1">IF(C372="","",Voorblad!$X$83)</f>
        <v/>
      </c>
    </row>
    <row r="373" spans="1:4" x14ac:dyDescent="0.3">
      <c r="A373" s="788" t="str">
        <f>A372</f>
        <v>K</v>
      </c>
      <c r="B373" s="789">
        <f>B372+1</f>
        <v>28</v>
      </c>
      <c r="C373" s="790" t="str">
        <f t="shared" ca="1" si="144"/>
        <v/>
      </c>
      <c r="D373" s="791" t="str">
        <f ca="1">IF(C373="","",Voorblad!$X$84)</f>
        <v/>
      </c>
    </row>
    <row r="374" spans="1:4" x14ac:dyDescent="0.3">
      <c r="A374" s="788" t="str">
        <f t="shared" ref="A374:A376" si="153">A373</f>
        <v>K</v>
      </c>
      <c r="B374" s="789">
        <f t="shared" ref="B374:B375" si="154">B373+1</f>
        <v>29</v>
      </c>
      <c r="C374" s="790" t="str">
        <f t="shared" ca="1" si="144"/>
        <v/>
      </c>
      <c r="D374" s="791" t="str">
        <f ca="1">IF(C374="","",Voorblad!$X$85)</f>
        <v/>
      </c>
    </row>
    <row r="375" spans="1:4" x14ac:dyDescent="0.3">
      <c r="A375" s="788" t="str">
        <f t="shared" si="153"/>
        <v>K</v>
      </c>
      <c r="B375" s="789">
        <f t="shared" si="154"/>
        <v>30</v>
      </c>
      <c r="C375" s="790" t="str">
        <f t="shared" ca="1" si="144"/>
        <v/>
      </c>
      <c r="D375" s="791" t="str">
        <f ca="1">IF(C375="","",Voorblad!$X$86)</f>
        <v/>
      </c>
    </row>
    <row r="376" spans="1:4" x14ac:dyDescent="0.3">
      <c r="A376" s="788" t="str">
        <f t="shared" si="153"/>
        <v>K</v>
      </c>
      <c r="B376" s="789">
        <f>B375+2</f>
        <v>32</v>
      </c>
      <c r="C376" s="790" t="str">
        <f t="shared" ca="1" si="144"/>
        <v/>
      </c>
      <c r="D376" s="791" t="str">
        <f ca="1">IF(C376="","",Voorblad!$X$87)</f>
        <v/>
      </c>
    </row>
    <row r="377" spans="1:4" x14ac:dyDescent="0.3">
      <c r="A377" s="788" t="str">
        <f>A376</f>
        <v>K</v>
      </c>
      <c r="B377" s="789">
        <f>B376+1</f>
        <v>33</v>
      </c>
      <c r="C377" s="790" t="str">
        <f t="shared" ca="1" si="144"/>
        <v/>
      </c>
      <c r="D377" s="791" t="str">
        <f ca="1">IF(C377="","",Voorblad!$X$88)</f>
        <v/>
      </c>
    </row>
    <row r="378" spans="1:4" x14ac:dyDescent="0.3">
      <c r="A378" s="788" t="str">
        <f t="shared" ref="A378:A380" si="155">A377</f>
        <v>K</v>
      </c>
      <c r="B378" s="789">
        <f t="shared" ref="B378:B379" si="156">B377+1</f>
        <v>34</v>
      </c>
      <c r="C378" s="790" t="str">
        <f t="shared" ca="1" si="144"/>
        <v/>
      </c>
      <c r="D378" s="791" t="str">
        <f ca="1">IF(C378="","",Voorblad!$X$89)</f>
        <v/>
      </c>
    </row>
    <row r="379" spans="1:4" x14ac:dyDescent="0.3">
      <c r="A379" s="788" t="str">
        <f t="shared" si="155"/>
        <v>K</v>
      </c>
      <c r="B379" s="789">
        <f t="shared" si="156"/>
        <v>35</v>
      </c>
      <c r="C379" s="790" t="str">
        <f t="shared" ca="1" si="144"/>
        <v/>
      </c>
      <c r="D379" s="791" t="str">
        <f ca="1">IF(C379="","",Voorblad!$X$90)</f>
        <v/>
      </c>
    </row>
    <row r="380" spans="1:4" x14ac:dyDescent="0.3">
      <c r="A380" s="788" t="str">
        <f t="shared" si="155"/>
        <v>K</v>
      </c>
      <c r="B380" s="789">
        <f>B379+2</f>
        <v>37</v>
      </c>
      <c r="C380" s="790" t="str">
        <f t="shared" ca="1" si="144"/>
        <v/>
      </c>
      <c r="D380" s="791" t="str">
        <f ca="1">IF(C380="","",Voorblad!$X$91)</f>
        <v/>
      </c>
    </row>
    <row r="381" spans="1:4" x14ac:dyDescent="0.3">
      <c r="A381" s="788" t="str">
        <f>A380</f>
        <v>K</v>
      </c>
      <c r="B381" s="789">
        <f>B380+1</f>
        <v>38</v>
      </c>
      <c r="C381" s="790" t="str">
        <f t="shared" ca="1" si="144"/>
        <v/>
      </c>
      <c r="D381" s="791" t="str">
        <f ca="1">IF(C381="","",Voorblad!$X$92)</f>
        <v/>
      </c>
    </row>
    <row r="382" spans="1:4" x14ac:dyDescent="0.3">
      <c r="A382" s="788" t="str">
        <f t="shared" ref="A382:A384" si="157">A381</f>
        <v>K</v>
      </c>
      <c r="B382" s="789">
        <f t="shared" ref="B382:B383" si="158">B381+1</f>
        <v>39</v>
      </c>
      <c r="C382" s="790" t="str">
        <f t="shared" ca="1" si="144"/>
        <v/>
      </c>
      <c r="D382" s="791" t="str">
        <f ca="1">IF(C382="","",Voorblad!$X$93)</f>
        <v/>
      </c>
    </row>
    <row r="383" spans="1:4" x14ac:dyDescent="0.3">
      <c r="A383" s="788" t="str">
        <f t="shared" si="157"/>
        <v>K</v>
      </c>
      <c r="B383" s="789">
        <f t="shared" si="158"/>
        <v>40</v>
      </c>
      <c r="C383" s="790" t="str">
        <f t="shared" ca="1" si="144"/>
        <v/>
      </c>
      <c r="D383" s="791" t="str">
        <f ca="1">IF(C383="","",Voorblad!$X$94)</f>
        <v/>
      </c>
    </row>
    <row r="384" spans="1:4" x14ac:dyDescent="0.3">
      <c r="A384" s="788" t="str">
        <f t="shared" si="157"/>
        <v>K</v>
      </c>
      <c r="B384" s="789">
        <f>B383+2</f>
        <v>42</v>
      </c>
      <c r="C384" s="790" t="str">
        <f t="shared" ca="1" si="144"/>
        <v/>
      </c>
      <c r="D384" s="791" t="str">
        <f ca="1">IF(C384="","",Voorblad!$X$95)</f>
        <v/>
      </c>
    </row>
    <row r="385" spans="1:4" x14ac:dyDescent="0.3">
      <c r="A385" s="788" t="str">
        <f>A384</f>
        <v>K</v>
      </c>
      <c r="B385" s="789">
        <f>B384+1</f>
        <v>43</v>
      </c>
      <c r="C385" s="790" t="str">
        <f t="shared" ca="1" si="144"/>
        <v/>
      </c>
      <c r="D385" s="791" t="str">
        <f ca="1">IF(C385="","",Voorblad!$X$96)</f>
        <v/>
      </c>
    </row>
    <row r="386" spans="1:4" x14ac:dyDescent="0.3">
      <c r="A386" s="788" t="str">
        <f t="shared" ref="A386:A387" si="159">A385</f>
        <v>K</v>
      </c>
      <c r="B386" s="789">
        <f t="shared" ref="B386:B387" si="160">B385+1</f>
        <v>44</v>
      </c>
      <c r="C386" s="790" t="str">
        <f t="shared" ca="1" si="144"/>
        <v/>
      </c>
      <c r="D386" s="791" t="str">
        <f ca="1">IF(C386="","",Voorblad!$X$97)</f>
        <v/>
      </c>
    </row>
    <row r="387" spans="1:4" x14ac:dyDescent="0.3">
      <c r="A387" s="792" t="str">
        <f t="shared" si="159"/>
        <v>K</v>
      </c>
      <c r="B387" s="793">
        <f t="shared" si="160"/>
        <v>45</v>
      </c>
      <c r="C387" s="794" t="str">
        <f t="shared" ca="1" si="144"/>
        <v/>
      </c>
      <c r="D387" s="795" t="str">
        <f ca="1">IF(C387="","",Voorblad!X$98)</f>
        <v/>
      </c>
    </row>
    <row r="388" spans="1:4" x14ac:dyDescent="0.3">
      <c r="A388" s="772" t="str">
        <f>CHAR(CODE(A356)+1)</f>
        <v>L</v>
      </c>
      <c r="B388" s="773">
        <v>7</v>
      </c>
      <c r="C388" s="774" t="str">
        <f t="shared" ca="1" si="144"/>
        <v/>
      </c>
      <c r="D388" s="775" t="str">
        <f ca="1">IF(C388="","",Voorblad!$X$67)</f>
        <v/>
      </c>
    </row>
    <row r="389" spans="1:4" x14ac:dyDescent="0.3">
      <c r="A389" s="776" t="str">
        <f>A388</f>
        <v>L</v>
      </c>
      <c r="B389" s="777">
        <f>B388+1</f>
        <v>8</v>
      </c>
      <c r="C389" s="778" t="str">
        <f t="shared" ca="1" si="144"/>
        <v/>
      </c>
      <c r="D389" s="779" t="str">
        <f ca="1">IF(C389="","",Voorblad!$X$68)</f>
        <v/>
      </c>
    </row>
    <row r="390" spans="1:4" x14ac:dyDescent="0.3">
      <c r="A390" s="776" t="str">
        <f t="shared" ref="A390:A392" si="161">A389</f>
        <v>L</v>
      </c>
      <c r="B390" s="777">
        <f t="shared" ref="B390:B391" si="162">B389+1</f>
        <v>9</v>
      </c>
      <c r="C390" s="778" t="str">
        <f t="shared" ca="1" si="144"/>
        <v/>
      </c>
      <c r="D390" s="779" t="str">
        <f ca="1">IF(C390="","",Voorblad!$X$69)</f>
        <v/>
      </c>
    </row>
    <row r="391" spans="1:4" x14ac:dyDescent="0.3">
      <c r="A391" s="776" t="str">
        <f t="shared" si="161"/>
        <v>L</v>
      </c>
      <c r="B391" s="777">
        <f t="shared" si="162"/>
        <v>10</v>
      </c>
      <c r="C391" s="778" t="str">
        <f t="shared" ca="1" si="144"/>
        <v/>
      </c>
      <c r="D391" s="779" t="str">
        <f ca="1">IF(C391="","",Voorblad!$X$70)</f>
        <v/>
      </c>
    </row>
    <row r="392" spans="1:4" x14ac:dyDescent="0.3">
      <c r="A392" s="776" t="str">
        <f t="shared" si="161"/>
        <v>L</v>
      </c>
      <c r="B392" s="777">
        <f>B391+2</f>
        <v>12</v>
      </c>
      <c r="C392" s="778" t="str">
        <f t="shared" ca="1" si="144"/>
        <v/>
      </c>
      <c r="D392" s="779" t="str">
        <f ca="1">IF(C392="","",Voorblad!$X$71)</f>
        <v/>
      </c>
    </row>
    <row r="393" spans="1:4" x14ac:dyDescent="0.3">
      <c r="A393" s="776" t="str">
        <f>A392</f>
        <v>L</v>
      </c>
      <c r="B393" s="777">
        <f>B392+1</f>
        <v>13</v>
      </c>
      <c r="C393" s="778" t="str">
        <f t="shared" ca="1" si="144"/>
        <v/>
      </c>
      <c r="D393" s="779" t="str">
        <f ca="1">IF(C393="","",Voorblad!$X$72)</f>
        <v/>
      </c>
    </row>
    <row r="394" spans="1:4" x14ac:dyDescent="0.3">
      <c r="A394" s="776" t="str">
        <f t="shared" ref="A394:A396" si="163">A393</f>
        <v>L</v>
      </c>
      <c r="B394" s="777">
        <f t="shared" ref="B394:B395" si="164">B393+1</f>
        <v>14</v>
      </c>
      <c r="C394" s="778" t="str">
        <f t="shared" ca="1" si="144"/>
        <v/>
      </c>
      <c r="D394" s="779" t="str">
        <f ca="1">IF(C394="","",Voorblad!$X$73)</f>
        <v/>
      </c>
    </row>
    <row r="395" spans="1:4" x14ac:dyDescent="0.3">
      <c r="A395" s="776" t="str">
        <f t="shared" si="163"/>
        <v>L</v>
      </c>
      <c r="B395" s="777">
        <f t="shared" si="164"/>
        <v>15</v>
      </c>
      <c r="C395" s="778" t="str">
        <f t="shared" ca="1" si="144"/>
        <v/>
      </c>
      <c r="D395" s="779" t="str">
        <f ca="1">IF(C395="","",Voorblad!$X$74)</f>
        <v/>
      </c>
    </row>
    <row r="396" spans="1:4" x14ac:dyDescent="0.3">
      <c r="A396" s="776" t="str">
        <f t="shared" si="163"/>
        <v>L</v>
      </c>
      <c r="B396" s="777">
        <f>B395+2</f>
        <v>17</v>
      </c>
      <c r="C396" s="778" t="str">
        <f t="shared" ca="1" si="144"/>
        <v/>
      </c>
      <c r="D396" s="779" t="str">
        <f ca="1">IF(C396="","",Voorblad!$X$75)</f>
        <v/>
      </c>
    </row>
    <row r="397" spans="1:4" x14ac:dyDescent="0.3">
      <c r="A397" s="776" t="str">
        <f>A396</f>
        <v>L</v>
      </c>
      <c r="B397" s="777">
        <f>B396+1</f>
        <v>18</v>
      </c>
      <c r="C397" s="778" t="str">
        <f t="shared" ca="1" si="144"/>
        <v/>
      </c>
      <c r="D397" s="779" t="str">
        <f ca="1">IF(C397="","",Voorblad!$X$76)</f>
        <v/>
      </c>
    </row>
    <row r="398" spans="1:4" x14ac:dyDescent="0.3">
      <c r="A398" s="776" t="str">
        <f t="shared" ref="A398:A400" si="165">A397</f>
        <v>L</v>
      </c>
      <c r="B398" s="777">
        <f t="shared" ref="B398:B399" si="166">B397+1</f>
        <v>19</v>
      </c>
      <c r="C398" s="778" t="str">
        <f t="shared" ca="1" si="144"/>
        <v/>
      </c>
      <c r="D398" s="779" t="str">
        <f ca="1">IF(C398="","",Voorblad!$X$77)</f>
        <v/>
      </c>
    </row>
    <row r="399" spans="1:4" x14ac:dyDescent="0.3">
      <c r="A399" s="776" t="str">
        <f t="shared" si="165"/>
        <v>L</v>
      </c>
      <c r="B399" s="777">
        <f t="shared" si="166"/>
        <v>20</v>
      </c>
      <c r="C399" s="778" t="str">
        <f t="shared" ca="1" si="144"/>
        <v/>
      </c>
      <c r="D399" s="779" t="str">
        <f ca="1">IF(C399="","",Voorblad!$X$78)</f>
        <v/>
      </c>
    </row>
    <row r="400" spans="1:4" x14ac:dyDescent="0.3">
      <c r="A400" s="776" t="str">
        <f t="shared" si="165"/>
        <v>L</v>
      </c>
      <c r="B400" s="777">
        <f>B399+2</f>
        <v>22</v>
      </c>
      <c r="C400" s="778" t="str">
        <f t="shared" ca="1" si="144"/>
        <v/>
      </c>
      <c r="D400" s="779" t="str">
        <f ca="1">IF(C400="","",Voorblad!$X$79)</f>
        <v/>
      </c>
    </row>
    <row r="401" spans="1:4" x14ac:dyDescent="0.3">
      <c r="A401" s="776" t="str">
        <f>A400</f>
        <v>L</v>
      </c>
      <c r="B401" s="777">
        <f>B400+1</f>
        <v>23</v>
      </c>
      <c r="C401" s="778" t="str">
        <f t="shared" ca="1" si="144"/>
        <v/>
      </c>
      <c r="D401" s="779" t="str">
        <f ca="1">IF(C401="","",Voorblad!$X$80)</f>
        <v/>
      </c>
    </row>
    <row r="402" spans="1:4" x14ac:dyDescent="0.3">
      <c r="A402" s="776" t="str">
        <f t="shared" ref="A402:A404" si="167">A401</f>
        <v>L</v>
      </c>
      <c r="B402" s="777">
        <f t="shared" ref="B402:B403" si="168">B401+1</f>
        <v>24</v>
      </c>
      <c r="C402" s="778" t="str">
        <f t="shared" ca="1" si="144"/>
        <v/>
      </c>
      <c r="D402" s="779" t="str">
        <f ca="1">IF(C402="","",Voorblad!$X$81)</f>
        <v/>
      </c>
    </row>
    <row r="403" spans="1:4" x14ac:dyDescent="0.3">
      <c r="A403" s="776" t="str">
        <f t="shared" si="167"/>
        <v>L</v>
      </c>
      <c r="B403" s="777">
        <f t="shared" si="168"/>
        <v>25</v>
      </c>
      <c r="C403" s="778" t="str">
        <f t="shared" ca="1" si="144"/>
        <v/>
      </c>
      <c r="D403" s="779" t="str">
        <f ca="1">IF(C403="","",Voorblad!$X$82)</f>
        <v/>
      </c>
    </row>
    <row r="404" spans="1:4" x14ac:dyDescent="0.3">
      <c r="A404" s="776" t="str">
        <f t="shared" si="167"/>
        <v>L</v>
      </c>
      <c r="B404" s="777">
        <f>B403+2</f>
        <v>27</v>
      </c>
      <c r="C404" s="778" t="str">
        <f t="shared" ca="1" si="144"/>
        <v/>
      </c>
      <c r="D404" s="779" t="str">
        <f ca="1">IF(C404="","",Voorblad!$X$83)</f>
        <v/>
      </c>
    </row>
    <row r="405" spans="1:4" x14ac:dyDescent="0.3">
      <c r="A405" s="776" t="str">
        <f>A404</f>
        <v>L</v>
      </c>
      <c r="B405" s="777">
        <f>B404+1</f>
        <v>28</v>
      </c>
      <c r="C405" s="778" t="str">
        <f t="shared" ca="1" si="144"/>
        <v/>
      </c>
      <c r="D405" s="779" t="str">
        <f ca="1">IF(C405="","",Voorblad!$X$84)</f>
        <v/>
      </c>
    </row>
    <row r="406" spans="1:4" x14ac:dyDescent="0.3">
      <c r="A406" s="776" t="str">
        <f t="shared" ref="A406:A408" si="169">A405</f>
        <v>L</v>
      </c>
      <c r="B406" s="777">
        <f t="shared" ref="B406:B407" si="170">B405+1</f>
        <v>29</v>
      </c>
      <c r="C406" s="778" t="str">
        <f t="shared" ca="1" si="144"/>
        <v/>
      </c>
      <c r="D406" s="779" t="str">
        <f ca="1">IF(C406="","",Voorblad!$X$85)</f>
        <v/>
      </c>
    </row>
    <row r="407" spans="1:4" x14ac:dyDescent="0.3">
      <c r="A407" s="776" t="str">
        <f t="shared" si="169"/>
        <v>L</v>
      </c>
      <c r="B407" s="777">
        <f t="shared" si="170"/>
        <v>30</v>
      </c>
      <c r="C407" s="778" t="str">
        <f t="shared" ca="1" si="144"/>
        <v/>
      </c>
      <c r="D407" s="779" t="str">
        <f ca="1">IF(C407="","",Voorblad!$X$86)</f>
        <v/>
      </c>
    </row>
    <row r="408" spans="1:4" x14ac:dyDescent="0.3">
      <c r="A408" s="776" t="str">
        <f t="shared" si="169"/>
        <v>L</v>
      </c>
      <c r="B408" s="777">
        <f>B407+2</f>
        <v>32</v>
      </c>
      <c r="C408" s="778" t="str">
        <f t="shared" ca="1" si="144"/>
        <v/>
      </c>
      <c r="D408" s="779" t="str">
        <f ca="1">IF(C408="","",Voorblad!$X$87)</f>
        <v/>
      </c>
    </row>
    <row r="409" spans="1:4" x14ac:dyDescent="0.3">
      <c r="A409" s="776" t="str">
        <f>A408</f>
        <v>L</v>
      </c>
      <c r="B409" s="777">
        <f>B408+1</f>
        <v>33</v>
      </c>
      <c r="C409" s="778" t="str">
        <f t="shared" ca="1" si="144"/>
        <v/>
      </c>
      <c r="D409" s="779" t="str">
        <f ca="1">IF(C409="","",Voorblad!$X$88)</f>
        <v/>
      </c>
    </row>
    <row r="410" spans="1:4" x14ac:dyDescent="0.3">
      <c r="A410" s="776" t="str">
        <f t="shared" ref="A410:A412" si="171">A409</f>
        <v>L</v>
      </c>
      <c r="B410" s="777">
        <f t="shared" ref="B410:B411" si="172">B409+1</f>
        <v>34</v>
      </c>
      <c r="C410" s="778" t="str">
        <f t="shared" ca="1" si="144"/>
        <v/>
      </c>
      <c r="D410" s="779" t="str">
        <f ca="1">IF(C410="","",Voorblad!$X$89)</f>
        <v/>
      </c>
    </row>
    <row r="411" spans="1:4" x14ac:dyDescent="0.3">
      <c r="A411" s="776" t="str">
        <f t="shared" si="171"/>
        <v>L</v>
      </c>
      <c r="B411" s="777">
        <f t="shared" si="172"/>
        <v>35</v>
      </c>
      <c r="C411" s="778" t="str">
        <f t="shared" ca="1" si="144"/>
        <v/>
      </c>
      <c r="D411" s="779" t="str">
        <f ca="1">IF(C411="","",Voorblad!$X$90)</f>
        <v/>
      </c>
    </row>
    <row r="412" spans="1:4" x14ac:dyDescent="0.3">
      <c r="A412" s="776" t="str">
        <f t="shared" si="171"/>
        <v>L</v>
      </c>
      <c r="B412" s="777">
        <f>B411+2</f>
        <v>37</v>
      </c>
      <c r="C412" s="778" t="str">
        <f t="shared" ca="1" si="144"/>
        <v/>
      </c>
      <c r="D412" s="779" t="str">
        <f ca="1">IF(C412="","",Voorblad!$X$91)</f>
        <v/>
      </c>
    </row>
    <row r="413" spans="1:4" x14ac:dyDescent="0.3">
      <c r="A413" s="776" t="str">
        <f>A412</f>
        <v>L</v>
      </c>
      <c r="B413" s="777">
        <f>B412+1</f>
        <v>38</v>
      </c>
      <c r="C413" s="778" t="str">
        <f t="shared" ca="1" si="144"/>
        <v/>
      </c>
      <c r="D413" s="779" t="str">
        <f ca="1">IF(C413="","",Voorblad!$X$92)</f>
        <v/>
      </c>
    </row>
    <row r="414" spans="1:4" x14ac:dyDescent="0.3">
      <c r="A414" s="776" t="str">
        <f t="shared" ref="A414:A416" si="173">A413</f>
        <v>L</v>
      </c>
      <c r="B414" s="777">
        <f t="shared" ref="B414:B415" si="174">B413+1</f>
        <v>39</v>
      </c>
      <c r="C414" s="778" t="str">
        <f t="shared" ca="1" si="144"/>
        <v/>
      </c>
      <c r="D414" s="779" t="str">
        <f ca="1">IF(C414="","",Voorblad!$X$93)</f>
        <v/>
      </c>
    </row>
    <row r="415" spans="1:4" x14ac:dyDescent="0.3">
      <c r="A415" s="776" t="str">
        <f t="shared" si="173"/>
        <v>L</v>
      </c>
      <c r="B415" s="777">
        <f t="shared" si="174"/>
        <v>40</v>
      </c>
      <c r="C415" s="778" t="str">
        <f t="shared" ca="1" si="144"/>
        <v/>
      </c>
      <c r="D415" s="779" t="str">
        <f ca="1">IF(C415="","",Voorblad!$X$94)</f>
        <v/>
      </c>
    </row>
    <row r="416" spans="1:4" x14ac:dyDescent="0.3">
      <c r="A416" s="776" t="str">
        <f t="shared" si="173"/>
        <v>L</v>
      </c>
      <c r="B416" s="777">
        <f>B415+2</f>
        <v>42</v>
      </c>
      <c r="C416" s="778" t="str">
        <f t="shared" ca="1" si="144"/>
        <v/>
      </c>
      <c r="D416" s="779" t="str">
        <f ca="1">IF(C416="","",Voorblad!$X$95)</f>
        <v/>
      </c>
    </row>
    <row r="417" spans="1:4" x14ac:dyDescent="0.3">
      <c r="A417" s="776" t="str">
        <f>A416</f>
        <v>L</v>
      </c>
      <c r="B417" s="777">
        <f>B416+1</f>
        <v>43</v>
      </c>
      <c r="C417" s="778" t="str">
        <f t="shared" ca="1" si="144"/>
        <v/>
      </c>
      <c r="D417" s="779" t="str">
        <f ca="1">IF(C417="","",Voorblad!$X$96)</f>
        <v/>
      </c>
    </row>
    <row r="418" spans="1:4" x14ac:dyDescent="0.3">
      <c r="A418" s="776" t="str">
        <f t="shared" ref="A418:A419" si="175">A417</f>
        <v>L</v>
      </c>
      <c r="B418" s="777">
        <f t="shared" ref="B418:B419" si="176">B417+1</f>
        <v>44</v>
      </c>
      <c r="C418" s="778" t="str">
        <f t="shared" ca="1" si="144"/>
        <v/>
      </c>
      <c r="D418" s="779" t="str">
        <f ca="1">IF(C418="","",Voorblad!$X$97)</f>
        <v/>
      </c>
    </row>
    <row r="419" spans="1:4" x14ac:dyDescent="0.3">
      <c r="A419" s="780" t="str">
        <f t="shared" si="175"/>
        <v>L</v>
      </c>
      <c r="B419" s="781">
        <f t="shared" si="176"/>
        <v>45</v>
      </c>
      <c r="C419" s="782" t="str">
        <f t="shared" ca="1" si="144"/>
        <v/>
      </c>
      <c r="D419" s="783" t="str">
        <f ca="1">IF(C419="","",Voorblad!X$98)</f>
        <v/>
      </c>
    </row>
  </sheetData>
  <mergeCells count="45">
    <mergeCell ref="A90:D97"/>
    <mergeCell ref="C98:D99"/>
    <mergeCell ref="F98:F99"/>
    <mergeCell ref="E98:E99"/>
    <mergeCell ref="G98:G99"/>
    <mergeCell ref="E92:F97"/>
    <mergeCell ref="E90:F91"/>
    <mergeCell ref="H98:H99"/>
    <mergeCell ref="L90:L91"/>
    <mergeCell ref="I98:I99"/>
    <mergeCell ref="J98:J99"/>
    <mergeCell ref="G92:G97"/>
    <mergeCell ref="H92:H97"/>
    <mergeCell ref="I92:I97"/>
    <mergeCell ref="J92:J97"/>
    <mergeCell ref="G90:G91"/>
    <mergeCell ref="H90:H91"/>
    <mergeCell ref="I90:I91"/>
    <mergeCell ref="J90:J91"/>
    <mergeCell ref="K90:K91"/>
    <mergeCell ref="K98:K99"/>
    <mergeCell ref="L98:L99"/>
    <mergeCell ref="K92:K97"/>
    <mergeCell ref="M92:M97"/>
    <mergeCell ref="N92:N97"/>
    <mergeCell ref="O92:O97"/>
    <mergeCell ref="P92:P97"/>
    <mergeCell ref="M98:M99"/>
    <mergeCell ref="N98:N99"/>
    <mergeCell ref="L92:L97"/>
    <mergeCell ref="S98:S99"/>
    <mergeCell ref="Q98:Q99"/>
    <mergeCell ref="R98:R99"/>
    <mergeCell ref="S90:S91"/>
    <mergeCell ref="S92:S97"/>
    <mergeCell ref="Q90:Q91"/>
    <mergeCell ref="R90:R91"/>
    <mergeCell ref="Q92:Q97"/>
    <mergeCell ref="R92:R97"/>
    <mergeCell ref="O90:O91"/>
    <mergeCell ref="P90:P91"/>
    <mergeCell ref="O98:O99"/>
    <mergeCell ref="P98:P99"/>
    <mergeCell ref="M90:M91"/>
    <mergeCell ref="N90:N9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rgb="FFFFC000"/>
  </sheetPr>
  <dimension ref="A1:D252"/>
  <sheetViews>
    <sheetView workbookViewId="0">
      <pane xSplit="2" ySplit="3" topLeftCell="C34" activePane="bottomRight" state="frozen"/>
      <selection activeCell="V2" sqref="V2:Z4"/>
      <selection pane="topRight" activeCell="V2" sqref="V2:Z4"/>
      <selection pane="bottomLeft" activeCell="V2" sqref="V2:Z4"/>
      <selection pane="bottomRight"/>
    </sheetView>
  </sheetViews>
  <sheetFormatPr defaultColWidth="9" defaultRowHeight="14.4" x14ac:dyDescent="0.3"/>
  <cols>
    <col min="1" max="1" width="8.6640625" style="698" customWidth="1"/>
    <col min="2" max="2" width="10.6640625" style="955" customWidth="1"/>
    <col min="3" max="3" width="50.6640625" style="956" customWidth="1"/>
    <col min="4" max="27" width="50.6640625" style="699" customWidth="1"/>
    <col min="28" max="16384" width="9" style="699"/>
  </cols>
  <sheetData>
    <row r="1" spans="1:4" s="687" customFormat="1" x14ac:dyDescent="0.3">
      <c r="A1" s="688" t="s">
        <v>613</v>
      </c>
      <c r="B1" s="946"/>
      <c r="C1" s="947">
        <f>Taal01!$C$1</f>
        <v>1</v>
      </c>
    </row>
    <row r="2" spans="1:4" s="687" customFormat="1" x14ac:dyDescent="0.3">
      <c r="A2" s="688" t="s">
        <v>614</v>
      </c>
      <c r="B2" s="946"/>
      <c r="C2" s="947">
        <f>$C$1+2</f>
        <v>3</v>
      </c>
    </row>
    <row r="3" spans="1:4" s="691" customFormat="1" x14ac:dyDescent="0.3">
      <c r="A3" s="690" t="s">
        <v>546</v>
      </c>
      <c r="B3" s="957" t="s">
        <v>605</v>
      </c>
      <c r="C3" s="691" t="s">
        <v>547</v>
      </c>
      <c r="D3" s="691" t="s">
        <v>412</v>
      </c>
    </row>
    <row r="4" spans="1:4" s="666" customFormat="1" x14ac:dyDescent="0.3">
      <c r="A4" s="692"/>
      <c r="B4" s="958"/>
      <c r="C4" s="712"/>
    </row>
    <row r="5" spans="1:4" s="667" customFormat="1" x14ac:dyDescent="0.3">
      <c r="A5" s="693" t="s">
        <v>949</v>
      </c>
      <c r="B5" s="959"/>
      <c r="C5" s="713"/>
    </row>
    <row r="6" spans="1:4" s="697" customFormat="1" x14ac:dyDescent="0.3">
      <c r="A6" s="696" t="str">
        <f>"03-C-001"</f>
        <v>03-C-001</v>
      </c>
      <c r="B6" s="960" t="str">
        <f t="shared" ref="B6:B29" ca="1" si="0">TRIM(INDIRECT(CHAR(64+$C$2)&amp;ROW()))</f>
        <v>Het Algemeen Reglement</v>
      </c>
      <c r="C6" s="948" t="s">
        <v>1369</v>
      </c>
      <c r="D6" s="697" t="s">
        <v>651</v>
      </c>
    </row>
    <row r="7" spans="1:4" s="667" customFormat="1" x14ac:dyDescent="0.3">
      <c r="A7" s="681" t="str">
        <f t="shared" ref="A7:A74" si="1">LEFT(A6,5)&amp;RIGHT("000"&amp;RIGHT(A6,3)*1+1,3)</f>
        <v>03-C-002</v>
      </c>
      <c r="B7" s="964" t="str">
        <f t="shared" ca="1" si="0"/>
        <v>(pagina #)</v>
      </c>
      <c r="C7" s="713" t="s">
        <v>691</v>
      </c>
      <c r="D7" s="667" t="s">
        <v>692</v>
      </c>
    </row>
    <row r="8" spans="1:4" s="697" customFormat="1" x14ac:dyDescent="0.3">
      <c r="A8" s="696" t="str">
        <f t="shared" si="1"/>
        <v>03-C-003</v>
      </c>
      <c r="B8" s="960" t="str">
        <f t="shared" ca="1" si="0"/>
        <v>De Regels</v>
      </c>
      <c r="C8" s="948" t="s">
        <v>29</v>
      </c>
      <c r="D8" s="697" t="s">
        <v>650</v>
      </c>
    </row>
    <row r="9" spans="1:4" s="667" customFormat="1" x14ac:dyDescent="0.3">
      <c r="A9" s="681" t="str">
        <f t="shared" si="1"/>
        <v>03-C-004</v>
      </c>
      <c r="B9" s="964" t="str">
        <f t="shared" ca="1" si="0"/>
        <v>De Deelnamecode en/of het Deelname Formulier dienen voor ### ingeleverd worden bij $$$ (&amp;&amp;&amp;).</v>
      </c>
      <c r="C9" s="713" t="s">
        <v>1371</v>
      </c>
      <c r="D9" s="667" t="s">
        <v>654</v>
      </c>
    </row>
    <row r="10" spans="1:4" s="666" customFormat="1" x14ac:dyDescent="0.3">
      <c r="A10" s="682" t="str">
        <f t="shared" si="1"/>
        <v>03-C-005</v>
      </c>
      <c r="B10" s="963" t="str">
        <f t="shared" ca="1" si="0"/>
        <v>De Deelnamecode en/of het Deelname Formulier dienen voor ### gemaild worden naar &amp;&amp;&amp;.</v>
      </c>
      <c r="C10" s="712" t="s">
        <v>1370</v>
      </c>
      <c r="D10" s="666" t="s">
        <v>688</v>
      </c>
    </row>
    <row r="11" spans="1:4" s="670" customFormat="1" x14ac:dyDescent="0.3">
      <c r="A11" s="668" t="str">
        <f t="shared" si="1"/>
        <v>03-C-006</v>
      </c>
      <c r="B11" s="967" t="str">
        <f t="shared" ca="1" si="0"/>
        <v>Ook de inleg dient voor de sluitingsdatum betaald te worden.</v>
      </c>
      <c r="C11" s="954" t="s">
        <v>652</v>
      </c>
      <c r="D11" s="670" t="s">
        <v>655</v>
      </c>
    </row>
    <row r="12" spans="1:4" s="673" customFormat="1" x14ac:dyDescent="0.3">
      <c r="A12" s="671" t="str">
        <f t="shared" si="1"/>
        <v>03-C-007</v>
      </c>
      <c r="B12" s="966" t="str">
        <f t="shared" ca="1" si="0"/>
        <v>Wanneer dit niet tijdig is gebeurd wordt de deelname ongeldig verklaard.</v>
      </c>
      <c r="C12" s="953" t="s">
        <v>653</v>
      </c>
      <c r="D12" s="673" t="s">
        <v>656</v>
      </c>
    </row>
    <row r="13" spans="1:4" s="670" customFormat="1" x14ac:dyDescent="0.3">
      <c r="A13" s="681" t="str">
        <f t="shared" si="1"/>
        <v>03-C-008</v>
      </c>
      <c r="B13" s="964" t="str">
        <f t="shared" ca="1" si="0"/>
        <v>Na de start van de openingsceremonie is het niet meer mogelijk om uw voorspellingen aan te passen.</v>
      </c>
      <c r="C13" s="713" t="s">
        <v>841</v>
      </c>
      <c r="D13" s="667" t="s">
        <v>842</v>
      </c>
    </row>
    <row r="14" spans="1:4" s="673" customFormat="1" x14ac:dyDescent="0.3">
      <c r="A14" s="671" t="str">
        <f t="shared" si="1"/>
        <v>03-C-009</v>
      </c>
      <c r="B14" s="966" t="str">
        <f t="shared" ca="1" si="0"/>
        <v>Voor aanvang van de eerste 1/8 finale is het eenmalige mogelijk om uw voorspellingen voor de finalewedstrijden aan te passen.</v>
      </c>
      <c r="C14" s="953" t="s">
        <v>843</v>
      </c>
      <c r="D14" s="673" t="s">
        <v>966</v>
      </c>
    </row>
    <row r="15" spans="1:4" s="667" customFormat="1" x14ac:dyDescent="0.3">
      <c r="A15" s="681" t="str">
        <f t="shared" si="1"/>
        <v>03-C-010</v>
      </c>
      <c r="B15" s="964" t="str">
        <f t="shared" ca="1" si="0"/>
        <v>Bij deze pool is deelname gratis en is er dus geen inleg verplicht om mee te spelen.</v>
      </c>
      <c r="C15" s="713" t="s">
        <v>658</v>
      </c>
      <c r="D15" s="667" t="s">
        <v>657</v>
      </c>
    </row>
    <row r="16" spans="1:4" s="666" customFormat="1" x14ac:dyDescent="0.3">
      <c r="A16" s="682" t="str">
        <f t="shared" si="1"/>
        <v>03-C-011</v>
      </c>
      <c r="B16" s="963" t="str">
        <f t="shared" ca="1" si="0"/>
        <v>Ondanks de prijzenpot is deelname aan deze pool gratis</v>
      </c>
      <c r="C16" s="712" t="s">
        <v>839</v>
      </c>
      <c r="D16" s="666" t="s">
        <v>840</v>
      </c>
    </row>
    <row r="17" spans="1:4" s="667" customFormat="1" x14ac:dyDescent="0.3">
      <c r="A17" s="681" t="str">
        <f t="shared" si="1"/>
        <v>03-C-012</v>
      </c>
      <c r="B17" s="964" t="str">
        <f t="shared" ca="1" si="0"/>
        <v>Deze pool heeft voor deelname een verplichte inleg van €###</v>
      </c>
      <c r="C17" s="713" t="s">
        <v>690</v>
      </c>
      <c r="D17" s="667" t="s">
        <v>689</v>
      </c>
    </row>
    <row r="18" spans="1:4" s="666" customFormat="1" x14ac:dyDescent="0.3">
      <c r="A18" s="682" t="str">
        <f t="shared" si="1"/>
        <v>03-C-013</v>
      </c>
      <c r="B18" s="963" t="str">
        <f t="shared" ca="1" si="0"/>
        <v>Deze pool heeft voor deelname een optionele inleg van €###</v>
      </c>
      <c r="C18" s="712" t="s">
        <v>837</v>
      </c>
      <c r="D18" s="666" t="s">
        <v>838</v>
      </c>
    </row>
    <row r="19" spans="1:4" s="667" customFormat="1" x14ac:dyDescent="0.3">
      <c r="A19" s="681" t="str">
        <f t="shared" si="1"/>
        <v>03-C-014</v>
      </c>
      <c r="B19" s="964" t="str">
        <f t="shared" ca="1" si="0"/>
        <v>(zie werkblad 'Prijzenpot' voor meer info).</v>
      </c>
      <c r="C19" s="713" t="s">
        <v>659</v>
      </c>
      <c r="D19" s="667" t="s">
        <v>752</v>
      </c>
    </row>
    <row r="20" spans="1:4" s="666" customFormat="1" x14ac:dyDescent="0.3">
      <c r="A20" s="682" t="str">
        <f t="shared" si="1"/>
        <v>03-C-015</v>
      </c>
      <c r="B20" s="963" t="str">
        <f t="shared" ca="1" si="0"/>
        <v>(zie de volgende pagina voor meer info).</v>
      </c>
      <c r="C20" s="712" t="s">
        <v>660</v>
      </c>
      <c r="D20" s="666" t="s">
        <v>661</v>
      </c>
    </row>
    <row r="21" spans="1:4" s="667" customFormat="1" x14ac:dyDescent="0.3">
      <c r="A21" s="681" t="str">
        <f t="shared" si="1"/>
        <v>03-C-016</v>
      </c>
      <c r="B21" s="964" t="str">
        <f t="shared" ca="1" si="0"/>
        <v>Het is wel toegestaan om als deelnemer meerdere deelname formulieren in te leveren.</v>
      </c>
      <c r="C21" s="713" t="s">
        <v>664</v>
      </c>
      <c r="D21" s="667" t="s">
        <v>662</v>
      </c>
    </row>
    <row r="22" spans="1:4" s="666" customFormat="1" x14ac:dyDescent="0.3">
      <c r="A22" s="682" t="str">
        <f t="shared" si="1"/>
        <v>03-C-017</v>
      </c>
      <c r="B22" s="963" t="str">
        <f t="shared" ca="1" si="0"/>
        <v>Het is niet toegestaan om als deelnemer meerdere deelname formulieren in te leveren.</v>
      </c>
      <c r="C22" s="712" t="s">
        <v>665</v>
      </c>
      <c r="D22" s="666" t="s">
        <v>663</v>
      </c>
    </row>
    <row r="23" spans="1:4" s="667" customFormat="1" x14ac:dyDescent="0.3">
      <c r="A23" s="681" t="str">
        <f t="shared" si="1"/>
        <v>03-C-018</v>
      </c>
      <c r="B23" s="964" t="str">
        <f t="shared" ca="1" si="0"/>
        <v>Het is niet mogelijk om uitslagen te voorspellen waarin één land meer dan 9 doelpunten maakt. Wanneer een land toch meer dan 9 doelpunten maakt tijdens één wedstrijd zal bij de uitslag 9 doelpunten genoteerd worden.</v>
      </c>
      <c r="C23" s="713" t="s">
        <v>666</v>
      </c>
      <c r="D23" s="667" t="s">
        <v>667</v>
      </c>
    </row>
    <row r="24" spans="1:4" s="666" customFormat="1" x14ac:dyDescent="0.3">
      <c r="A24" s="682" t="str">
        <f t="shared" si="1"/>
        <v>03-C-019</v>
      </c>
      <c r="B24" s="963" t="str">
        <f t="shared" ca="1" si="0"/>
        <v>Voor het voorspellen van de TOTO vult men een 1 in wanneer men denkt dat de thuisploeg zal winnen, een 2 als men denkt dat de uitploeg zal winnen en wanneer men een gelijkspel verwacht vult men een 3 in.</v>
      </c>
      <c r="C24" s="712" t="s">
        <v>273</v>
      </c>
      <c r="D24" s="666" t="s">
        <v>668</v>
      </c>
    </row>
    <row r="25" spans="1:4" s="667" customFormat="1" x14ac:dyDescent="0.3">
      <c r="A25" s="681" t="str">
        <f t="shared" si="1"/>
        <v>03-C-020</v>
      </c>
      <c r="B25" s="964" t="str">
        <f t="shared" ca="1" si="0"/>
        <v>In de finalewedstrijden wordt de uitslag aangehouden die bereikt is na het verstrijken van de reguliere speeltijd inclusief de blessuretijd.</v>
      </c>
      <c r="C25" s="713" t="s">
        <v>669</v>
      </c>
      <c r="D25" s="667" t="s">
        <v>967</v>
      </c>
    </row>
    <row r="26" spans="1:4" s="666" customFormat="1" x14ac:dyDescent="0.3">
      <c r="A26" s="682" t="str">
        <f t="shared" si="1"/>
        <v>03-C-021</v>
      </c>
      <c r="B26" s="963" t="str">
        <f t="shared" ca="1" si="0"/>
        <v>In de finalewedstrijden wordt de uitslag aangehouden die bereikt is na het verstrijken van de eventuele verlenging inclusief de blessuretijd.</v>
      </c>
      <c r="C26" s="712" t="s">
        <v>670</v>
      </c>
      <c r="D26" s="666" t="s">
        <v>974</v>
      </c>
    </row>
    <row r="27" spans="1:4" s="667" customFormat="1" x14ac:dyDescent="0.3">
      <c r="A27" s="681" t="str">
        <f t="shared" si="1"/>
        <v>03-C-022</v>
      </c>
      <c r="B27" s="964" t="str">
        <f t="shared" ca="1" si="0"/>
        <v>Een gelijkspel in de finalewedstrijden is dus ook mogelijk.</v>
      </c>
      <c r="C27" s="713" t="s">
        <v>671</v>
      </c>
      <c r="D27" s="667" t="s">
        <v>968</v>
      </c>
    </row>
    <row r="28" spans="1:4" s="666" customFormat="1" x14ac:dyDescent="0.3">
      <c r="A28" s="682" t="str">
        <f t="shared" si="1"/>
        <v>03-C-023</v>
      </c>
      <c r="B28" s="963" t="str">
        <f t="shared" ca="1" si="0"/>
        <v>In gevallen waar het reglement niet in voorziet, beslist de wedstrijdleiding.</v>
      </c>
      <c r="C28" s="712" t="s">
        <v>30</v>
      </c>
      <c r="D28" s="666" t="s">
        <v>672</v>
      </c>
    </row>
    <row r="29" spans="1:4" s="667" customFormat="1" x14ac:dyDescent="0.3">
      <c r="A29" s="681" t="str">
        <f t="shared" si="1"/>
        <v>03-C-024</v>
      </c>
      <c r="B29" s="964" t="str">
        <f t="shared" ca="1" si="0"/>
        <v>Door het inleveren van het deelname formulier gaat u akkoord met dit wedstrijdreglement.</v>
      </c>
      <c r="C29" s="713" t="s">
        <v>674</v>
      </c>
      <c r="D29" s="667" t="s">
        <v>673</v>
      </c>
    </row>
    <row r="30" spans="1:4" s="673" customFormat="1" x14ac:dyDescent="0.3">
      <c r="A30" s="671" t="str">
        <f t="shared" si="1"/>
        <v>03-C-025</v>
      </c>
      <c r="B30" s="966"/>
      <c r="C30" s="953"/>
    </row>
    <row r="31" spans="1:4" s="670" customFormat="1" x14ac:dyDescent="0.3">
      <c r="A31" s="668" t="str">
        <f t="shared" si="1"/>
        <v>03-C-026</v>
      </c>
      <c r="B31" s="964"/>
      <c r="C31" s="954"/>
    </row>
    <row r="32" spans="1:4" s="673" customFormat="1" x14ac:dyDescent="0.3">
      <c r="A32" s="671" t="str">
        <f t="shared" si="1"/>
        <v>03-C-027</v>
      </c>
      <c r="B32" s="963"/>
      <c r="C32" s="953"/>
    </row>
    <row r="33" spans="1:4" s="670" customFormat="1" x14ac:dyDescent="0.3">
      <c r="A33" s="668" t="str">
        <f t="shared" si="1"/>
        <v>03-C-028</v>
      </c>
      <c r="B33" s="967"/>
      <c r="C33" s="954"/>
    </row>
    <row r="34" spans="1:4" s="673" customFormat="1" x14ac:dyDescent="0.3">
      <c r="A34" s="671" t="str">
        <f t="shared" si="1"/>
        <v>03-C-029</v>
      </c>
      <c r="B34" s="966"/>
      <c r="C34" s="953"/>
    </row>
    <row r="35" spans="1:4" s="667" customFormat="1" x14ac:dyDescent="0.3">
      <c r="A35" s="681" t="str">
        <f t="shared" si="1"/>
        <v>03-C-030</v>
      </c>
      <c r="B35" s="964" t="str">
        <f t="shared" ref="B35:B46" ca="1" si="2">TRIM(INDIRECT(CHAR(64+$C$2)&amp;ROW()))</f>
        <v>januari</v>
      </c>
      <c r="C35" s="713" t="s">
        <v>51</v>
      </c>
      <c r="D35" s="667" t="s">
        <v>675</v>
      </c>
    </row>
    <row r="36" spans="1:4" s="666" customFormat="1" x14ac:dyDescent="0.3">
      <c r="A36" s="682" t="str">
        <f t="shared" si="1"/>
        <v>03-C-031</v>
      </c>
      <c r="B36" s="963" t="str">
        <f t="shared" ca="1" si="2"/>
        <v>februari</v>
      </c>
      <c r="C36" s="712" t="s">
        <v>52</v>
      </c>
      <c r="D36" s="666" t="s">
        <v>676</v>
      </c>
    </row>
    <row r="37" spans="1:4" s="667" customFormat="1" x14ac:dyDescent="0.3">
      <c r="A37" s="681" t="str">
        <f t="shared" si="1"/>
        <v>03-C-032</v>
      </c>
      <c r="B37" s="964" t="str">
        <f t="shared" ca="1" si="2"/>
        <v>maart</v>
      </c>
      <c r="C37" s="713" t="s">
        <v>53</v>
      </c>
      <c r="D37" s="667" t="s">
        <v>677</v>
      </c>
    </row>
    <row r="38" spans="1:4" s="666" customFormat="1" x14ac:dyDescent="0.3">
      <c r="A38" s="682" t="str">
        <f t="shared" si="1"/>
        <v>03-C-033</v>
      </c>
      <c r="B38" s="963" t="str">
        <f t="shared" ca="1" si="2"/>
        <v>april</v>
      </c>
      <c r="C38" s="712" t="s">
        <v>54</v>
      </c>
      <c r="D38" s="666" t="s">
        <v>678</v>
      </c>
    </row>
    <row r="39" spans="1:4" s="667" customFormat="1" x14ac:dyDescent="0.3">
      <c r="A39" s="681" t="str">
        <f t="shared" si="1"/>
        <v>03-C-034</v>
      </c>
      <c r="B39" s="964" t="str">
        <f t="shared" ca="1" si="2"/>
        <v>mei</v>
      </c>
      <c r="C39" s="713" t="s">
        <v>50</v>
      </c>
      <c r="D39" s="667" t="s">
        <v>679</v>
      </c>
    </row>
    <row r="40" spans="1:4" s="666" customFormat="1" x14ac:dyDescent="0.3">
      <c r="A40" s="682" t="str">
        <f t="shared" si="1"/>
        <v>03-C-035</v>
      </c>
      <c r="B40" s="963" t="str">
        <f t="shared" ca="1" si="2"/>
        <v>juni</v>
      </c>
      <c r="C40" s="712" t="s">
        <v>55</v>
      </c>
      <c r="D40" s="666" t="s">
        <v>680</v>
      </c>
    </row>
    <row r="41" spans="1:4" s="667" customFormat="1" x14ac:dyDescent="0.3">
      <c r="A41" s="681" t="str">
        <f t="shared" si="1"/>
        <v>03-C-036</v>
      </c>
      <c r="B41" s="964" t="str">
        <f t="shared" ca="1" si="2"/>
        <v>juli</v>
      </c>
      <c r="C41" s="713" t="s">
        <v>56</v>
      </c>
      <c r="D41" s="667" t="s">
        <v>681</v>
      </c>
    </row>
    <row r="42" spans="1:4" s="666" customFormat="1" x14ac:dyDescent="0.3">
      <c r="A42" s="682" t="str">
        <f t="shared" si="1"/>
        <v>03-C-037</v>
      </c>
      <c r="B42" s="963" t="str">
        <f t="shared" ca="1" si="2"/>
        <v>augustus</v>
      </c>
      <c r="C42" s="712" t="s">
        <v>57</v>
      </c>
      <c r="D42" s="666" t="s">
        <v>682</v>
      </c>
    </row>
    <row r="43" spans="1:4" s="667" customFormat="1" x14ac:dyDescent="0.3">
      <c r="A43" s="681" t="str">
        <f t="shared" si="1"/>
        <v>03-C-038</v>
      </c>
      <c r="B43" s="964" t="str">
        <f t="shared" ca="1" si="2"/>
        <v>september</v>
      </c>
      <c r="C43" s="713" t="s">
        <v>58</v>
      </c>
      <c r="D43" s="667" t="s">
        <v>683</v>
      </c>
    </row>
    <row r="44" spans="1:4" s="666" customFormat="1" x14ac:dyDescent="0.3">
      <c r="A44" s="682" t="str">
        <f t="shared" si="1"/>
        <v>03-C-039</v>
      </c>
      <c r="B44" s="963" t="str">
        <f t="shared" ca="1" si="2"/>
        <v>oktober</v>
      </c>
      <c r="C44" s="712" t="s">
        <v>59</v>
      </c>
      <c r="D44" s="666" t="s">
        <v>684</v>
      </c>
    </row>
    <row r="45" spans="1:4" s="667" customFormat="1" x14ac:dyDescent="0.3">
      <c r="A45" s="681" t="str">
        <f t="shared" si="1"/>
        <v>03-C-040</v>
      </c>
      <c r="B45" s="964" t="str">
        <f t="shared" ca="1" si="2"/>
        <v>november</v>
      </c>
      <c r="C45" s="713" t="s">
        <v>60</v>
      </c>
      <c r="D45" s="667" t="s">
        <v>685</v>
      </c>
    </row>
    <row r="46" spans="1:4" s="666" customFormat="1" x14ac:dyDescent="0.3">
      <c r="A46" s="682" t="str">
        <f t="shared" si="1"/>
        <v>03-C-041</v>
      </c>
      <c r="B46" s="963" t="str">
        <f t="shared" ca="1" si="2"/>
        <v>december</v>
      </c>
      <c r="C46" s="712" t="s">
        <v>61</v>
      </c>
      <c r="D46" s="666" t="s">
        <v>686</v>
      </c>
    </row>
    <row r="47" spans="1:4" s="670" customFormat="1" x14ac:dyDescent="0.3">
      <c r="A47" s="668" t="str">
        <f t="shared" si="1"/>
        <v>03-C-042</v>
      </c>
      <c r="B47" s="967"/>
      <c r="C47" s="954"/>
    </row>
    <row r="48" spans="1:4" s="673" customFormat="1" x14ac:dyDescent="0.3">
      <c r="A48" s="671" t="str">
        <f t="shared" si="1"/>
        <v>03-C-043</v>
      </c>
      <c r="B48" s="966"/>
      <c r="C48" s="953"/>
    </row>
    <row r="49" spans="1:4" s="695" customFormat="1" x14ac:dyDescent="0.3">
      <c r="A49" s="694" t="str">
        <f t="shared" si="1"/>
        <v>03-C-044</v>
      </c>
      <c r="B49" s="961" t="str">
        <f ca="1">INDIRECT(CHAR(64+$C$2)&amp;ROW())</f>
        <v>De Puntentelling</v>
      </c>
      <c r="C49" s="949" t="s">
        <v>69</v>
      </c>
      <c r="D49" s="695" t="s">
        <v>687</v>
      </c>
    </row>
    <row r="50" spans="1:4" s="666" customFormat="1" x14ac:dyDescent="0.3">
      <c r="A50" s="682" t="str">
        <f t="shared" si="1"/>
        <v>03-C-045</v>
      </c>
      <c r="B50" s="963" t="str">
        <f ca="1">TRIM(INDIRECT(CHAR(64+$C$2)&amp;ROW()))</f>
        <v>Punt</v>
      </c>
      <c r="C50" s="712" t="s">
        <v>693</v>
      </c>
      <c r="D50" s="666" t="s">
        <v>694</v>
      </c>
    </row>
    <row r="51" spans="1:4" s="667" customFormat="1" x14ac:dyDescent="0.3">
      <c r="A51" s="681" t="str">
        <f t="shared" si="1"/>
        <v>03-C-046</v>
      </c>
      <c r="B51" s="964" t="str">
        <f ca="1">TRIM(INDIRECT(CHAR(64+$C$2)&amp;ROW()))</f>
        <v>Punten</v>
      </c>
      <c r="C51" s="713" t="s">
        <v>99</v>
      </c>
      <c r="D51" s="667" t="s">
        <v>695</v>
      </c>
    </row>
    <row r="52" spans="1:4" s="673" customFormat="1" x14ac:dyDescent="0.3">
      <c r="A52" s="671" t="str">
        <f t="shared" si="1"/>
        <v>03-C-047</v>
      </c>
      <c r="B52" s="966"/>
      <c r="C52" s="953"/>
    </row>
    <row r="53" spans="1:4" s="670" customFormat="1" x14ac:dyDescent="0.3">
      <c r="A53" s="668" t="str">
        <f t="shared" si="1"/>
        <v>03-C-048</v>
      </c>
      <c r="B53" s="967"/>
      <c r="C53" s="954"/>
    </row>
    <row r="54" spans="1:4" s="703" customFormat="1" x14ac:dyDescent="0.3">
      <c r="A54" s="702" t="str">
        <f t="shared" si="1"/>
        <v>03-C-049</v>
      </c>
      <c r="B54" s="972" t="str">
        <f t="shared" ref="B54:B70" ca="1" si="3">TRIM(INDIRECT(CHAR(64+$C$2)&amp;ROW()))</f>
        <v>Het voorspellen van de landen in de finalewedstrijden</v>
      </c>
      <c r="C54" s="970" t="s">
        <v>696</v>
      </c>
      <c r="D54" s="703" t="s">
        <v>969</v>
      </c>
    </row>
    <row r="55" spans="1:4" s="667" customFormat="1" x14ac:dyDescent="0.3">
      <c r="A55" s="681" t="str">
        <f t="shared" si="1"/>
        <v>03-C-050</v>
      </c>
      <c r="B55" s="964" t="str">
        <f t="shared" ca="1" si="3"/>
        <v>het land hoeft niet op de juiste positie te staan</v>
      </c>
      <c r="C55" s="713" t="s">
        <v>701</v>
      </c>
      <c r="D55" s="667" t="s">
        <v>700</v>
      </c>
    </row>
    <row r="56" spans="1:4" s="666" customFormat="1" x14ac:dyDescent="0.3">
      <c r="A56" s="682" t="str">
        <f t="shared" si="1"/>
        <v>03-C-051</v>
      </c>
      <c r="B56" s="963" t="str">
        <f t="shared" ca="1" si="3"/>
        <v>het land dient op de juiste positie te staan</v>
      </c>
      <c r="C56" s="712" t="s">
        <v>702</v>
      </c>
      <c r="D56" s="666" t="s">
        <v>699</v>
      </c>
    </row>
    <row r="57" spans="1:4" s="667" customFormat="1" x14ac:dyDescent="0.3">
      <c r="A57" s="681" t="str">
        <f t="shared" si="1"/>
        <v>03-C-052</v>
      </c>
      <c r="B57" s="964" t="str">
        <f t="shared" ca="1" si="3"/>
        <v>voor het goed voorspellen van de winnaar van het EK.</v>
      </c>
      <c r="C57" s="713" t="s">
        <v>697</v>
      </c>
      <c r="D57" s="667" t="s">
        <v>698</v>
      </c>
    </row>
    <row r="58" spans="1:4" s="666" customFormat="1" x14ac:dyDescent="0.3">
      <c r="A58" s="682" t="str">
        <f t="shared" si="1"/>
        <v>03-C-053</v>
      </c>
      <c r="B58" s="963" t="str">
        <f t="shared" ca="1" si="3"/>
        <v>voor elk goed voorspelde land in de finale</v>
      </c>
      <c r="C58" s="712" t="s">
        <v>703</v>
      </c>
      <c r="D58" s="666" t="s">
        <v>1425</v>
      </c>
    </row>
    <row r="59" spans="1:4" s="667" customFormat="1" x14ac:dyDescent="0.3">
      <c r="A59" s="681" t="str">
        <f t="shared" si="1"/>
        <v>03-C-054</v>
      </c>
      <c r="B59" s="964" t="str">
        <f t="shared" ca="1" si="3"/>
        <v>voor elk goed voorspelde land in de troostfinale</v>
      </c>
      <c r="C59" s="713" t="s">
        <v>704</v>
      </c>
      <c r="D59" s="667" t="s">
        <v>1426</v>
      </c>
    </row>
    <row r="60" spans="1:4" s="666" customFormat="1" x14ac:dyDescent="0.3">
      <c r="A60" s="682" t="str">
        <f t="shared" si="1"/>
        <v>03-C-055</v>
      </c>
      <c r="B60" s="963" t="str">
        <f t="shared" ca="1" si="3"/>
        <v>voor elk goed voorspelde land in de halve finales</v>
      </c>
      <c r="C60" s="712" t="s">
        <v>705</v>
      </c>
      <c r="D60" s="666" t="s">
        <v>1427</v>
      </c>
    </row>
    <row r="61" spans="1:4" s="667" customFormat="1" x14ac:dyDescent="0.3">
      <c r="A61" s="681" t="str">
        <f t="shared" si="1"/>
        <v>03-C-056</v>
      </c>
      <c r="B61" s="964" t="str">
        <f t="shared" ca="1" si="3"/>
        <v>voor elk goed voorspelde land in de kwartfinales</v>
      </c>
      <c r="C61" s="713" t="s">
        <v>706</v>
      </c>
      <c r="D61" s="667" t="s">
        <v>1428</v>
      </c>
    </row>
    <row r="62" spans="1:4" s="666" customFormat="1" x14ac:dyDescent="0.3">
      <c r="A62" s="682" t="str">
        <f t="shared" si="1"/>
        <v>03-C-057</v>
      </c>
      <c r="B62" s="963" t="str">
        <f t="shared" ca="1" si="3"/>
        <v>voor elk goed voorspelde land in de achtste finales</v>
      </c>
      <c r="C62" s="712" t="s">
        <v>707</v>
      </c>
      <c r="D62" s="666" t="s">
        <v>1429</v>
      </c>
    </row>
    <row r="63" spans="1:4" s="667" customFormat="1" x14ac:dyDescent="0.3">
      <c r="A63" s="681" t="str">
        <f t="shared" si="1"/>
        <v>03-C-058</v>
      </c>
      <c r="B63" s="964" t="str">
        <f t="shared" ca="1" si="3"/>
        <v>Heeft men het land niet op de juiste positie voorspeld maar het heeft wel de betreffende finaleronde</v>
      </c>
      <c r="C63" s="713" t="s">
        <v>710</v>
      </c>
      <c r="D63" s="667" t="s">
        <v>1430</v>
      </c>
    </row>
    <row r="64" spans="1:4" s="666" customFormat="1" x14ac:dyDescent="0.3">
      <c r="A64" s="682" t="str">
        <f t="shared" si="1"/>
        <v>03-C-059</v>
      </c>
      <c r="B64" s="963" t="str">
        <f t="shared" ca="1" si="3"/>
        <v>behaald dan ontvangt men alsnog de helft van het aantal punten voor het juist voorspellen van het land.</v>
      </c>
      <c r="C64" s="712" t="s">
        <v>708</v>
      </c>
      <c r="D64" s="666" t="s">
        <v>1431</v>
      </c>
    </row>
    <row r="65" spans="1:4" s="667" customFormat="1" x14ac:dyDescent="0.3">
      <c r="A65" s="681" t="str">
        <f t="shared" si="1"/>
        <v>03-C-060</v>
      </c>
      <c r="B65" s="964" t="str">
        <f t="shared" ca="1" si="3"/>
        <v>behaald dan ontvangt men alsnog het volledig aantal punten voor het juist voorspellen van het land.</v>
      </c>
      <c r="C65" s="713" t="s">
        <v>709</v>
      </c>
      <c r="D65" s="667" t="s">
        <v>1432</v>
      </c>
    </row>
    <row r="66" spans="1:4" s="666" customFormat="1" ht="15" customHeight="1" x14ac:dyDescent="0.3">
      <c r="A66" s="682" t="str">
        <f t="shared" si="1"/>
        <v>03-C-061</v>
      </c>
      <c r="B66" s="963" t="str">
        <f t="shared" ca="1" si="3"/>
        <v>Het is niet toegestaan om een land meerdere keren te voorspellen in één finaleronde.</v>
      </c>
      <c r="C66" s="712" t="s">
        <v>712</v>
      </c>
      <c r="D66" s="700" t="s">
        <v>1433</v>
      </c>
    </row>
    <row r="67" spans="1:4" s="667" customFormat="1" x14ac:dyDescent="0.3">
      <c r="A67" s="681" t="str">
        <f t="shared" si="1"/>
        <v>03-C-062</v>
      </c>
      <c r="B67" s="964" t="str">
        <f t="shared" ca="1" si="3"/>
        <v>Het is toegestaan om een land meerdere keren te voorspellen in één finaleronde.</v>
      </c>
      <c r="C67" s="713" t="s">
        <v>711</v>
      </c>
      <c r="D67" s="667" t="s">
        <v>1434</v>
      </c>
    </row>
    <row r="68" spans="1:4" s="666" customFormat="1" x14ac:dyDescent="0.3">
      <c r="A68" s="682" t="str">
        <f t="shared" si="1"/>
        <v>03-C-063</v>
      </c>
      <c r="B68" s="963" t="str">
        <f t="shared" ca="1" si="3"/>
        <v>Punten voor het goed voorspellen van een land in de finaleronden worden pas meegeteld op het moment dat</v>
      </c>
      <c r="C68" s="712" t="s">
        <v>715</v>
      </c>
      <c r="D68" s="666" t="s">
        <v>1435</v>
      </c>
    </row>
    <row r="69" spans="1:4" s="667" customFormat="1" x14ac:dyDescent="0.3">
      <c r="A69" s="681" t="str">
        <f t="shared" si="1"/>
        <v>03-C-064</v>
      </c>
      <c r="B69" s="964" t="str">
        <f t="shared" ca="1" si="3"/>
        <v>de uitslag van de betreffende wedstrijd bekend is.</v>
      </c>
      <c r="C69" s="713" t="s">
        <v>713</v>
      </c>
      <c r="D69" s="667" t="s">
        <v>1436</v>
      </c>
    </row>
    <row r="70" spans="1:4" s="666" customFormat="1" x14ac:dyDescent="0.3">
      <c r="A70" s="682" t="str">
        <f t="shared" si="1"/>
        <v>03-C-065</v>
      </c>
      <c r="B70" s="963" t="str">
        <f t="shared" ca="1" si="3"/>
        <v>de uitslag van de betreffende wedstrijd bekend is of als het voorspelde land zijn wedstrijd heeft gespeeld.</v>
      </c>
      <c r="C70" s="712" t="s">
        <v>714</v>
      </c>
      <c r="D70" s="666" t="s">
        <v>716</v>
      </c>
    </row>
    <row r="71" spans="1:4" s="670" customFormat="1" x14ac:dyDescent="0.3">
      <c r="A71" s="668" t="str">
        <f t="shared" si="1"/>
        <v>03-C-066</v>
      </c>
      <c r="B71" s="967"/>
      <c r="C71" s="954"/>
    </row>
    <row r="72" spans="1:4" s="673" customFormat="1" x14ac:dyDescent="0.3">
      <c r="A72" s="671" t="str">
        <f t="shared" si="1"/>
        <v>03-C-067</v>
      </c>
      <c r="B72" s="966"/>
      <c r="C72" s="953"/>
    </row>
    <row r="73" spans="1:4" s="705" customFormat="1" x14ac:dyDescent="0.3">
      <c r="A73" s="704" t="str">
        <f t="shared" si="1"/>
        <v>03-C-068</v>
      </c>
      <c r="B73" s="973" t="str">
        <f ca="1">TRIM(INDIRECT(CHAR(64+$C$2)&amp;ROW()))</f>
        <v>Het voorspellen van de eindstand in de groep</v>
      </c>
      <c r="C73" s="971" t="s">
        <v>717</v>
      </c>
      <c r="D73" s="705" t="s">
        <v>1345</v>
      </c>
    </row>
    <row r="74" spans="1:4" s="666" customFormat="1" x14ac:dyDescent="0.3">
      <c r="A74" s="682" t="str">
        <f t="shared" si="1"/>
        <v>03-C-069</v>
      </c>
      <c r="B74" s="963" t="str">
        <f ca="1">TRIM(INDIRECT(CHAR(64+$C$2)&amp;ROW()))</f>
        <v>voor elk goed voorspelde land bij de eindstand in de groep.</v>
      </c>
      <c r="C74" s="712" t="s">
        <v>718</v>
      </c>
      <c r="D74" s="666" t="s">
        <v>805</v>
      </c>
    </row>
    <row r="75" spans="1:4" s="667" customFormat="1" x14ac:dyDescent="0.3">
      <c r="A75" s="681" t="str">
        <f t="shared" ref="A75:A138" si="4">LEFT(A74,5)&amp;RIGHT("000"&amp;RIGHT(A74,3)*1+1,3)</f>
        <v>03-C-070</v>
      </c>
      <c r="B75" s="964" t="str">
        <f ca="1">TRIM(INDIRECT(CHAR(64+$C$2)&amp;ROW()))</f>
        <v>Elk land mag maar één keer ingevuld worden bij de voorspelling van de eindstand in de groep.</v>
      </c>
      <c r="C75" s="713" t="s">
        <v>719</v>
      </c>
      <c r="D75" s="667" t="s">
        <v>986</v>
      </c>
    </row>
    <row r="76" spans="1:4" s="666" customFormat="1" x14ac:dyDescent="0.3">
      <c r="A76" s="682" t="str">
        <f t="shared" si="4"/>
        <v>03-C-071</v>
      </c>
      <c r="B76" s="963" t="str">
        <f ca="1">TRIM(INDIRECT(CHAR(64+$C$2)&amp;ROW()))</f>
        <v>De punten voor elke juiste voorspelling worden pas opgeteld als de laatste wedstrijd van de groep is gespeeld.</v>
      </c>
      <c r="C76" s="712" t="s">
        <v>809</v>
      </c>
      <c r="D76" s="666" t="s">
        <v>806</v>
      </c>
    </row>
    <row r="77" spans="1:4" s="670" customFormat="1" x14ac:dyDescent="0.3">
      <c r="A77" s="668" t="str">
        <f t="shared" si="4"/>
        <v>03-C-072</v>
      </c>
      <c r="B77" s="967"/>
      <c r="C77" s="954"/>
    </row>
    <row r="78" spans="1:4" s="673" customFormat="1" x14ac:dyDescent="0.3">
      <c r="A78" s="671" t="str">
        <f t="shared" si="4"/>
        <v>03-C-073</v>
      </c>
      <c r="B78" s="966"/>
      <c r="C78" s="953"/>
    </row>
    <row r="79" spans="1:4" s="705" customFormat="1" x14ac:dyDescent="0.3">
      <c r="A79" s="704" t="str">
        <f t="shared" si="4"/>
        <v>03-C-074</v>
      </c>
      <c r="B79" s="973" t="str">
        <f t="shared" ref="B79:B84" ca="1" si="5">TRIM(INDIRECT(CHAR(64+$C$2)&amp;ROW()))</f>
        <v>Het voorspellen van de TOTO</v>
      </c>
      <c r="C79" s="971" t="s">
        <v>721</v>
      </c>
      <c r="D79" s="705" t="s">
        <v>723</v>
      </c>
    </row>
    <row r="80" spans="1:4" s="666" customFormat="1" x14ac:dyDescent="0.3">
      <c r="A80" s="682" t="str">
        <f t="shared" si="4"/>
        <v>03-C-075</v>
      </c>
      <c r="B80" s="963" t="str">
        <f t="shared" ca="1" si="5"/>
        <v>voor het goed voorspellen van de TOTO (winst / verlies of gelijkspel).</v>
      </c>
      <c r="C80" s="712" t="s">
        <v>722</v>
      </c>
      <c r="D80" s="666" t="s">
        <v>724</v>
      </c>
    </row>
    <row r="81" spans="1:4" s="667" customFormat="1" x14ac:dyDescent="0.3">
      <c r="A81" s="681" t="str">
        <f t="shared" si="4"/>
        <v>03-C-076</v>
      </c>
      <c r="B81" s="964" t="str">
        <f t="shared" ca="1" si="5"/>
        <v>Bij de finalewedstrijden is het niet noodzakelijk om de landen juist voorspeld te hebben om aanspraak te</v>
      </c>
      <c r="C81" s="713" t="s">
        <v>815</v>
      </c>
      <c r="D81" s="667" t="s">
        <v>970</v>
      </c>
    </row>
    <row r="82" spans="1:4" s="666" customFormat="1" x14ac:dyDescent="0.3">
      <c r="A82" s="682" t="str">
        <f t="shared" si="4"/>
        <v>03-C-077</v>
      </c>
      <c r="B82" s="963" t="str">
        <f t="shared" ca="1" si="5"/>
        <v>Bij de finalewedstrijden dient men één of beide landen juist voorspeld te hebben om aanspraak te</v>
      </c>
      <c r="C82" s="712" t="s">
        <v>816</v>
      </c>
      <c r="D82" s="666" t="s">
        <v>971</v>
      </c>
    </row>
    <row r="83" spans="1:4" s="667" customFormat="1" x14ac:dyDescent="0.3">
      <c r="A83" s="681" t="str">
        <f t="shared" si="4"/>
        <v>03-C-078</v>
      </c>
      <c r="B83" s="964" t="str">
        <f t="shared" ca="1" si="5"/>
        <v>Bij de finalewedstrijden dient men beide landen juist voorspeld te hebben om aanspraak te</v>
      </c>
      <c r="C83" s="713" t="s">
        <v>817</v>
      </c>
      <c r="D83" s="667" t="s">
        <v>972</v>
      </c>
    </row>
    <row r="84" spans="1:4" s="666" customFormat="1" x14ac:dyDescent="0.3">
      <c r="A84" s="682" t="str">
        <f t="shared" si="4"/>
        <v>03-C-079</v>
      </c>
      <c r="B84" s="963" t="str">
        <f t="shared" ca="1" si="5"/>
        <v>maken op de punten voor het juist voorspellen van de TOTO.</v>
      </c>
      <c r="C84" s="712" t="s">
        <v>818</v>
      </c>
      <c r="D84" s="666" t="s">
        <v>725</v>
      </c>
    </row>
    <row r="85" spans="1:4" s="670" customFormat="1" x14ac:dyDescent="0.3">
      <c r="A85" s="668" t="str">
        <f t="shared" si="4"/>
        <v>03-C-080</v>
      </c>
      <c r="B85" s="967"/>
      <c r="C85" s="954"/>
    </row>
    <row r="86" spans="1:4" s="673" customFormat="1" x14ac:dyDescent="0.3">
      <c r="A86" s="671" t="str">
        <f t="shared" si="4"/>
        <v>03-C-081</v>
      </c>
      <c r="B86" s="966"/>
      <c r="C86" s="953"/>
    </row>
    <row r="87" spans="1:4" s="705" customFormat="1" x14ac:dyDescent="0.3">
      <c r="A87" s="704" t="str">
        <f t="shared" si="4"/>
        <v>03-C-082</v>
      </c>
      <c r="B87" s="973" t="str">
        <f t="shared" ref="B87:B106" ca="1" si="6">TRIM(INDIRECT(CHAR(64+$C$2)&amp;ROW()))</f>
        <v>Het voorspellen van de uitslag</v>
      </c>
      <c r="C87" s="971" t="s">
        <v>720</v>
      </c>
      <c r="D87" s="705" t="s">
        <v>726</v>
      </c>
    </row>
    <row r="88" spans="1:4" s="666" customFormat="1" x14ac:dyDescent="0.3">
      <c r="A88" s="682" t="str">
        <f t="shared" si="4"/>
        <v>03-C-083</v>
      </c>
      <c r="B88" s="963" t="str">
        <f t="shared" ca="1" si="6"/>
        <v>voor het goed voorspellen van het aantal gescoorde doelpunten per spelend team.</v>
      </c>
      <c r="C88" s="712" t="s">
        <v>727</v>
      </c>
      <c r="D88" s="666" t="s">
        <v>728</v>
      </c>
    </row>
    <row r="89" spans="1:4" s="667" customFormat="1" x14ac:dyDescent="0.3">
      <c r="A89" s="681" t="str">
        <f t="shared" si="4"/>
        <v>03-C-084</v>
      </c>
      <c r="B89" s="964" t="str">
        <f t="shared" ca="1" si="6"/>
        <v>voor het goed voorspellen van het aantal gescoorde doelpunten per spelend team, mits u de TOTO juist</v>
      </c>
      <c r="C89" s="713" t="s">
        <v>1409</v>
      </c>
      <c r="D89" s="701" t="s">
        <v>730</v>
      </c>
    </row>
    <row r="90" spans="1:4" s="666" customFormat="1" x14ac:dyDescent="0.3">
      <c r="A90" s="682" t="str">
        <f t="shared" si="4"/>
        <v>03-C-085</v>
      </c>
      <c r="B90" s="963" t="str">
        <f t="shared" ca="1" si="6"/>
        <v>heeft voorspeld.</v>
      </c>
      <c r="C90" s="712" t="s">
        <v>731</v>
      </c>
      <c r="D90" s="666" t="s">
        <v>729</v>
      </c>
    </row>
    <row r="91" spans="1:4" s="667" customFormat="1" x14ac:dyDescent="0.3">
      <c r="A91" s="681" t="str">
        <f t="shared" si="4"/>
        <v>03-C-086</v>
      </c>
      <c r="B91" s="964" t="str">
        <f t="shared" ca="1" si="6"/>
        <v>aftrek voor elk doelpunt dat de voorspelling afwijkt van de uitslag.</v>
      </c>
      <c r="C91" s="713" t="s">
        <v>732</v>
      </c>
      <c r="D91" s="667" t="s">
        <v>733</v>
      </c>
    </row>
    <row r="92" spans="1:4" s="666" customFormat="1" x14ac:dyDescent="0.3">
      <c r="A92" s="682" t="str">
        <f t="shared" si="4"/>
        <v>03-C-087</v>
      </c>
      <c r="B92" s="963" t="str">
        <f t="shared" ca="1" si="6"/>
        <v>aftrek voor elk doelpunt dat de voorspelling afwijkt van de uitslag (van het juist voorspelde land).</v>
      </c>
      <c r="C92" s="712" t="s">
        <v>739</v>
      </c>
      <c r="D92" s="666" t="s">
        <v>738</v>
      </c>
    </row>
    <row r="93" spans="1:4" s="667" customFormat="1" x14ac:dyDescent="0.3">
      <c r="A93" s="681" t="str">
        <f t="shared" si="4"/>
        <v>03-C-088</v>
      </c>
      <c r="B93" s="964" t="str">
        <f t="shared" ca="1" si="6"/>
        <v>Men ontvangt standaard ### $$$ voor elk land tijdens de groepswedstrijden, mits de TOTO juist is.</v>
      </c>
      <c r="C93" s="713" t="s">
        <v>1155</v>
      </c>
      <c r="D93" s="667" t="s">
        <v>1167</v>
      </c>
    </row>
    <row r="94" spans="1:4" s="666" customFormat="1" x14ac:dyDescent="0.3">
      <c r="A94" s="682" t="str">
        <f t="shared" si="4"/>
        <v>03-C-089</v>
      </c>
      <c r="B94" s="963" t="str">
        <f t="shared" ca="1" si="6"/>
        <v>Men ontvangt standaard ### $$$ voor elk land tijdens de groepswedstrijden.</v>
      </c>
      <c r="C94" s="712" t="s">
        <v>1156</v>
      </c>
      <c r="D94" s="666" t="s">
        <v>1168</v>
      </c>
    </row>
    <row r="95" spans="1:4" s="667" customFormat="1" x14ac:dyDescent="0.3">
      <c r="A95" s="681" t="str">
        <f t="shared" si="4"/>
        <v>03-C-090</v>
      </c>
      <c r="B95" s="964" t="str">
        <f t="shared" ca="1" si="6"/>
        <v>Men ontvangt standaard ### $$$ per groepswedstrijd, mits de TOTO juist is.</v>
      </c>
      <c r="C95" s="713" t="s">
        <v>1157</v>
      </c>
      <c r="D95" s="667" t="s">
        <v>1169</v>
      </c>
    </row>
    <row r="96" spans="1:4" s="666" customFormat="1" x14ac:dyDescent="0.3">
      <c r="A96" s="682" t="str">
        <f t="shared" si="4"/>
        <v>03-C-091</v>
      </c>
      <c r="B96" s="963" t="str">
        <f t="shared" ca="1" si="6"/>
        <v>Men ontvangt standaard ### $$$ per groepswedstrijd.</v>
      </c>
      <c r="C96" s="712" t="s">
        <v>1158</v>
      </c>
      <c r="D96" s="666" t="s">
        <v>1170</v>
      </c>
    </row>
    <row r="97" spans="1:4" s="667" customFormat="1" x14ac:dyDescent="0.3">
      <c r="A97" s="681" t="str">
        <f t="shared" si="4"/>
        <v>03-C-092</v>
      </c>
      <c r="B97" s="964" t="str">
        <f t="shared" ca="1" si="6"/>
        <v>Men ontvangt standaard ### $$$ per finalewedstrijd, mits de TOTO juist is.</v>
      </c>
      <c r="C97" s="713" t="s">
        <v>1159</v>
      </c>
      <c r="D97" s="667" t="s">
        <v>1171</v>
      </c>
    </row>
    <row r="98" spans="1:4" s="666" customFormat="1" x14ac:dyDescent="0.3">
      <c r="A98" s="682" t="str">
        <f t="shared" si="4"/>
        <v>03-C-093</v>
      </c>
      <c r="B98" s="963" t="str">
        <f t="shared" ca="1" si="6"/>
        <v>Men ontvangt standaard ### $$$ per finalewedstrijd.</v>
      </c>
      <c r="C98" s="712" t="s">
        <v>1160</v>
      </c>
      <c r="D98" s="666" t="s">
        <v>1172</v>
      </c>
    </row>
    <row r="99" spans="1:4" s="667" customFormat="1" x14ac:dyDescent="0.3">
      <c r="A99" s="681" t="str">
        <f t="shared" si="4"/>
        <v>03-C-094</v>
      </c>
      <c r="B99" s="964" t="str">
        <f t="shared" ca="1" si="6"/>
        <v>Men ontvangt standaard ### $$$ per finalewedstrijd mits één of beide landen en de TOTO juist zijn.</v>
      </c>
      <c r="C99" s="713" t="s">
        <v>1161</v>
      </c>
      <c r="D99" s="667" t="s">
        <v>1173</v>
      </c>
    </row>
    <row r="100" spans="1:4" s="666" customFormat="1" x14ac:dyDescent="0.3">
      <c r="A100" s="682" t="str">
        <f t="shared" si="4"/>
        <v>03-C-095</v>
      </c>
      <c r="B100" s="963" t="str">
        <f t="shared" ca="1" si="6"/>
        <v>Men ontvangt standaard ### $$$ per finalewedstrijd mits één of beide landen juist zijn voorspeld.</v>
      </c>
      <c r="C100" s="712" t="s">
        <v>1162</v>
      </c>
      <c r="D100" s="666" t="s">
        <v>1174</v>
      </c>
    </row>
    <row r="101" spans="1:4" s="667" customFormat="1" x14ac:dyDescent="0.3">
      <c r="A101" s="681" t="str">
        <f t="shared" si="4"/>
        <v>03-C-096</v>
      </c>
      <c r="B101" s="964" t="str">
        <f t="shared" ca="1" si="6"/>
        <v>Men ontvangt standaard ### $$$ per juist voorspelde land tijdens de finalewedstrijden, mits de TOTO juist is.</v>
      </c>
      <c r="C101" s="713" t="s">
        <v>1163</v>
      </c>
      <c r="D101" s="667" t="s">
        <v>1175</v>
      </c>
    </row>
    <row r="102" spans="1:4" s="666" customFormat="1" x14ac:dyDescent="0.3">
      <c r="A102" s="682" t="str">
        <f t="shared" si="4"/>
        <v>03-C-097</v>
      </c>
      <c r="B102" s="963" t="str">
        <f t="shared" ca="1" si="6"/>
        <v>Men ontvangt standaard ### $$$ per juist voorspelde land tijdens de finalewedstrijden.</v>
      </c>
      <c r="C102" s="712" t="s">
        <v>1164</v>
      </c>
      <c r="D102" s="666" t="s">
        <v>1176</v>
      </c>
    </row>
    <row r="103" spans="1:4" s="667" customFormat="1" x14ac:dyDescent="0.3">
      <c r="A103" s="681" t="str">
        <f t="shared" si="4"/>
        <v>03-C-098</v>
      </c>
      <c r="B103" s="964" t="str">
        <f t="shared" ca="1" si="6"/>
        <v>Men ontvangt standaard ### $$$ per finalewedstrijd mits beide landen en de TOTO juist zijn voorspeld.</v>
      </c>
      <c r="C103" s="713" t="s">
        <v>1165</v>
      </c>
      <c r="D103" s="667" t="s">
        <v>1177</v>
      </c>
    </row>
    <row r="104" spans="1:4" s="666" customFormat="1" x14ac:dyDescent="0.3">
      <c r="A104" s="682" t="str">
        <f t="shared" si="4"/>
        <v>03-C-099</v>
      </c>
      <c r="B104" s="963" t="str">
        <f t="shared" ca="1" si="6"/>
        <v>Men ontvangt standaard ### $$$ per finalewedstrijd mits beide landen juist zijn voorspeld.</v>
      </c>
      <c r="C104" s="712" t="s">
        <v>1166</v>
      </c>
      <c r="D104" s="666" t="s">
        <v>1178</v>
      </c>
    </row>
    <row r="105" spans="1:4" s="667" customFormat="1" x14ac:dyDescent="0.3">
      <c r="A105" s="681" t="str">
        <f t="shared" si="4"/>
        <v>03-C-100</v>
      </c>
      <c r="B105" s="964" t="str">
        <f t="shared" ca="1" si="6"/>
        <v>De aftrek van punten zal nooit hoger zijn dan de standaard verkregen punten.</v>
      </c>
      <c r="C105" s="713" t="s">
        <v>734</v>
      </c>
      <c r="D105" s="667" t="s">
        <v>735</v>
      </c>
    </row>
    <row r="106" spans="1:4" s="666" customFormat="1" x14ac:dyDescent="0.3">
      <c r="A106" s="682" t="str">
        <f t="shared" si="4"/>
        <v>03-C-101</v>
      </c>
      <c r="B106" s="963" t="str">
        <f t="shared" ca="1" si="6"/>
        <v>De aftrek van punten zal per land nooit hoger zijn dan de standaard verkregen punten per land.</v>
      </c>
      <c r="C106" s="712" t="s">
        <v>736</v>
      </c>
      <c r="D106" s="666" t="s">
        <v>737</v>
      </c>
    </row>
    <row r="107" spans="1:4" s="670" customFormat="1" x14ac:dyDescent="0.3">
      <c r="A107" s="668" t="str">
        <f t="shared" si="4"/>
        <v>03-C-102</v>
      </c>
      <c r="B107" s="967"/>
      <c r="C107" s="954"/>
    </row>
    <row r="108" spans="1:4" s="673" customFormat="1" x14ac:dyDescent="0.3">
      <c r="A108" s="671" t="str">
        <f t="shared" si="4"/>
        <v>03-C-103</v>
      </c>
      <c r="B108" s="966"/>
      <c r="C108" s="953"/>
    </row>
    <row r="109" spans="1:4" s="705" customFormat="1" x14ac:dyDescent="0.3">
      <c r="A109" s="704" t="str">
        <f t="shared" si="4"/>
        <v>03-C-104</v>
      </c>
      <c r="B109" s="973" t="str">
        <f t="shared" ref="B109:B119" ca="1" si="7">TRIM(INDIRECT(CHAR(64+$C$2)&amp;ROW()))</f>
        <v>Bonuspunten</v>
      </c>
      <c r="C109" s="971" t="s">
        <v>740</v>
      </c>
      <c r="D109" s="705" t="s">
        <v>741</v>
      </c>
    </row>
    <row r="110" spans="1:4" s="666" customFormat="1" x14ac:dyDescent="0.3">
      <c r="A110" s="682" t="str">
        <f t="shared" si="4"/>
        <v>03-C-105</v>
      </c>
      <c r="B110" s="963" t="str">
        <f t="shared" ca="1" si="7"/>
        <v>Bonus$$$ voor iedere groepswedstrijd waarbij zowel de TOTO als de uitslag juist zijn voorspeld.</v>
      </c>
      <c r="C110" s="712" t="s">
        <v>742</v>
      </c>
      <c r="D110" s="666" t="s">
        <v>745</v>
      </c>
    </row>
    <row r="111" spans="1:4" s="667" customFormat="1" x14ac:dyDescent="0.3">
      <c r="A111" s="668" t="str">
        <f t="shared" si="4"/>
        <v>03-C-106</v>
      </c>
      <c r="B111" s="964" t="str">
        <f t="shared" ca="1" si="7"/>
        <v/>
      </c>
      <c r="C111" s="713"/>
    </row>
    <row r="112" spans="1:4" s="666" customFormat="1" x14ac:dyDescent="0.3">
      <c r="A112" s="682" t="str">
        <f t="shared" si="4"/>
        <v>03-C-107</v>
      </c>
      <c r="B112" s="963" t="str">
        <f t="shared" ca="1" si="7"/>
        <v>Bonus$$$ voor iedere finalewedstrijd waarbij beide landen op de juiste positie zijn voorspeld.</v>
      </c>
      <c r="C112" s="712" t="s">
        <v>743</v>
      </c>
      <c r="D112" s="666" t="s">
        <v>1437</v>
      </c>
    </row>
    <row r="113" spans="1:4" s="667" customFormat="1" x14ac:dyDescent="0.3">
      <c r="A113" s="668" t="str">
        <f t="shared" si="4"/>
        <v>03-C-108</v>
      </c>
      <c r="B113" s="964" t="str">
        <f t="shared" ca="1" si="7"/>
        <v/>
      </c>
      <c r="C113" s="713"/>
    </row>
    <row r="114" spans="1:4" s="666" customFormat="1" x14ac:dyDescent="0.3">
      <c r="A114" s="682" t="str">
        <f t="shared" si="4"/>
        <v>03-C-109</v>
      </c>
      <c r="B114" s="963" t="str">
        <f t="shared" ca="1" si="7"/>
        <v>Bonus$$$ voor iedere finalewedstrijd waarbij zowel de TOTO als de beide landen juist zijn voorspeld.</v>
      </c>
      <c r="C114" s="712" t="s">
        <v>744</v>
      </c>
      <c r="D114" s="666" t="s">
        <v>1438</v>
      </c>
    </row>
    <row r="115" spans="1:4" s="667" customFormat="1" x14ac:dyDescent="0.3">
      <c r="A115" s="668" t="str">
        <f t="shared" si="4"/>
        <v>03-C-110</v>
      </c>
      <c r="B115" s="964" t="str">
        <f t="shared" ca="1" si="7"/>
        <v/>
      </c>
      <c r="C115" s="713"/>
    </row>
    <row r="116" spans="1:4" s="666" customFormat="1" x14ac:dyDescent="0.3">
      <c r="A116" s="682" t="str">
        <f t="shared" si="4"/>
        <v>03-C-111</v>
      </c>
      <c r="B116" s="963" t="str">
        <f t="shared" ca="1" si="7"/>
        <v>Bonus$$$ voor iedere groeps- en finalewedstrijden waarbij de TOTO en de uitslag juist zijn voorspeld.</v>
      </c>
      <c r="C116" s="712" t="s">
        <v>810</v>
      </c>
      <c r="D116" s="666" t="s">
        <v>807</v>
      </c>
    </row>
    <row r="117" spans="1:4" s="667" customFormat="1" x14ac:dyDescent="0.3">
      <c r="A117" s="668" t="str">
        <f t="shared" si="4"/>
        <v>03-C-112</v>
      </c>
      <c r="B117" s="964" t="str">
        <f t="shared" ca="1" si="7"/>
        <v/>
      </c>
      <c r="C117" s="713"/>
    </row>
    <row r="118" spans="1:4" s="666" customFormat="1" x14ac:dyDescent="0.3">
      <c r="A118" s="682" t="str">
        <f t="shared" si="4"/>
        <v>03-C-113</v>
      </c>
      <c r="B118" s="963" t="str">
        <f t="shared" ca="1" si="7"/>
        <v>Bonus$$$ voor iedere groeps- en finalewedstrijden waarbij de TOTO en de uitslag juist zijn voorspeld</v>
      </c>
      <c r="C118" s="712" t="s">
        <v>811</v>
      </c>
      <c r="D118" s="666" t="s">
        <v>808</v>
      </c>
    </row>
    <row r="119" spans="1:4" s="667" customFormat="1" x14ac:dyDescent="0.3">
      <c r="A119" s="681" t="str">
        <f t="shared" si="4"/>
        <v>03-C-114</v>
      </c>
      <c r="B119" s="964" t="str">
        <f t="shared" ca="1" si="7"/>
        <v>(bij de finalewedstrijden dienen ook de beide landen juist voorspeld te zijn).</v>
      </c>
      <c r="C119" s="713" t="s">
        <v>753</v>
      </c>
      <c r="D119" s="667" t="s">
        <v>973</v>
      </c>
    </row>
    <row r="120" spans="1:4" s="666" customFormat="1" x14ac:dyDescent="0.3">
      <c r="A120" s="671" t="str">
        <f t="shared" si="4"/>
        <v>03-C-115</v>
      </c>
      <c r="B120" s="963"/>
      <c r="C120" s="712"/>
    </row>
    <row r="121" spans="1:4" s="667" customFormat="1" x14ac:dyDescent="0.3">
      <c r="A121" s="668" t="str">
        <f t="shared" si="4"/>
        <v>03-C-116</v>
      </c>
      <c r="B121" s="964"/>
      <c r="C121" s="713"/>
    </row>
    <row r="122" spans="1:4" s="703" customFormat="1" x14ac:dyDescent="0.3">
      <c r="A122" s="702" t="str">
        <f t="shared" si="4"/>
        <v>03-C-117</v>
      </c>
      <c r="B122" s="972" t="str">
        <f ca="1">TRIM(INDIRECT(CHAR(64+$C$2)&amp;ROW()))</f>
        <v>De bonusvragen</v>
      </c>
      <c r="C122" s="970" t="s">
        <v>746</v>
      </c>
      <c r="D122" s="703" t="s">
        <v>747</v>
      </c>
    </row>
    <row r="123" spans="1:4" s="667" customFormat="1" x14ac:dyDescent="0.3">
      <c r="A123" s="681" t="str">
        <f t="shared" si="4"/>
        <v>03-C-118</v>
      </c>
      <c r="B123" s="964" t="str">
        <f ca="1">TRIM(INDIRECT(CHAR(64+$C$2)&amp;ROW()))</f>
        <v>Zie het werkblad met de bonusvragen voor de puntentelling bij het juist beantwoorden van de bonusvragen.</v>
      </c>
      <c r="C123" s="713" t="s">
        <v>812</v>
      </c>
      <c r="D123" s="667" t="s">
        <v>750</v>
      </c>
    </row>
    <row r="124" spans="1:4" s="666" customFormat="1" x14ac:dyDescent="0.3">
      <c r="A124" s="682" t="str">
        <f t="shared" si="4"/>
        <v>03-C-119</v>
      </c>
      <c r="B124" s="963" t="str">
        <f ca="1">TRIM(INDIRECT(CHAR(64+$C$2)&amp;ROW()))</f>
        <v>Zie de pagina met de bonusvragen voor de puntentelling bij het juist beantwoorden van de bonusvragen.</v>
      </c>
      <c r="C124" s="712" t="s">
        <v>813</v>
      </c>
      <c r="D124" s="666" t="s">
        <v>751</v>
      </c>
    </row>
    <row r="125" spans="1:4" s="667" customFormat="1" x14ac:dyDescent="0.3">
      <c r="A125" s="681" t="str">
        <f t="shared" si="4"/>
        <v>03-C-120</v>
      </c>
      <c r="B125" s="964" t="str">
        <f ca="1">TRIM(INDIRECT(CHAR(64+$C$2)&amp;ROW()))</f>
        <v>De punten voor de bonusvragen worden pas meegeteld als de winnaar van het EK bekend is.</v>
      </c>
      <c r="C125" s="713" t="s">
        <v>748</v>
      </c>
      <c r="D125" s="667" t="s">
        <v>749</v>
      </c>
    </row>
    <row r="126" spans="1:4" s="666" customFormat="1" x14ac:dyDescent="0.3">
      <c r="A126" s="671" t="str">
        <f t="shared" si="4"/>
        <v>03-C-121</v>
      </c>
      <c r="B126" s="963"/>
      <c r="C126" s="712"/>
    </row>
    <row r="127" spans="1:4" s="667" customFormat="1" x14ac:dyDescent="0.3">
      <c r="A127" s="681" t="str">
        <f t="shared" si="4"/>
        <v>03-C-122</v>
      </c>
      <c r="B127" s="964" t="str">
        <f ca="1">IF(C1=1,"",TRIM(INDIRECT(CHAR(64+$C$2)&amp;ROW())))</f>
        <v/>
      </c>
      <c r="C127" s="713" t="s">
        <v>1209</v>
      </c>
      <c r="D127" s="667" t="s">
        <v>1208</v>
      </c>
    </row>
    <row r="128" spans="1:4" s="666" customFormat="1" x14ac:dyDescent="0.3">
      <c r="A128" s="671" t="str">
        <f t="shared" si="4"/>
        <v>03-C-123</v>
      </c>
      <c r="B128" s="963"/>
      <c r="C128" s="712"/>
    </row>
    <row r="129" spans="1:4" s="667" customFormat="1" x14ac:dyDescent="0.3">
      <c r="A129" s="668" t="str">
        <f t="shared" si="4"/>
        <v>03-C-124</v>
      </c>
      <c r="B129" s="964"/>
      <c r="C129" s="713"/>
    </row>
    <row r="130" spans="1:4" s="666" customFormat="1" x14ac:dyDescent="0.3">
      <c r="A130" s="671" t="str">
        <f t="shared" si="4"/>
        <v>03-C-125</v>
      </c>
      <c r="B130" s="963"/>
      <c r="C130" s="712"/>
    </row>
    <row r="131" spans="1:4" s="667" customFormat="1" x14ac:dyDescent="0.3">
      <c r="A131" s="694" t="str">
        <f t="shared" si="4"/>
        <v>03-C-126</v>
      </c>
      <c r="B131" s="961" t="str">
        <f t="shared" ref="B131:B167" ca="1" si="8">TRIM(INDIRECT(CHAR(64+$C$2)&amp;ROW()))</f>
        <v>De Prijzenpot</v>
      </c>
      <c r="C131" s="949" t="s">
        <v>754</v>
      </c>
      <c r="D131" s="695" t="s">
        <v>755</v>
      </c>
    </row>
    <row r="132" spans="1:4" s="666" customFormat="1" x14ac:dyDescent="0.3">
      <c r="A132" s="682" t="str">
        <f t="shared" si="4"/>
        <v>03-C-127</v>
      </c>
      <c r="B132" s="963" t="str">
        <f t="shared" ca="1" si="8"/>
        <v>Om deel te nemen aan deze pool bent u verplicht de vastgestelde inleg te betalen. De vastgestelde inleg</v>
      </c>
      <c r="C132" s="712" t="s">
        <v>756</v>
      </c>
      <c r="D132" s="666" t="s">
        <v>772</v>
      </c>
    </row>
    <row r="133" spans="1:4" s="667" customFormat="1" x14ac:dyDescent="0.3">
      <c r="A133" s="681" t="str">
        <f t="shared" si="4"/>
        <v>03-C-128</v>
      </c>
      <c r="B133" s="964" t="str">
        <f t="shared" ca="1" si="8"/>
        <v>voor deze pool is ###.</v>
      </c>
      <c r="C133" s="713" t="s">
        <v>794</v>
      </c>
      <c r="D133" s="667" t="s">
        <v>796</v>
      </c>
    </row>
    <row r="134" spans="1:4" s="666" customFormat="1" x14ac:dyDescent="0.3">
      <c r="A134" s="682" t="str">
        <f t="shared" si="4"/>
        <v>03-C-129</v>
      </c>
      <c r="B134" s="963" t="str">
        <f t="shared" ca="1" si="8"/>
        <v>De inleg voor deelname aan deze pool is ###. U kunt er ook voor kiezen om zonder inleg deel te nemen</v>
      </c>
      <c r="C134" s="712" t="s">
        <v>795</v>
      </c>
      <c r="D134" s="700" t="s">
        <v>797</v>
      </c>
    </row>
    <row r="135" spans="1:4" s="667" customFormat="1" x14ac:dyDescent="0.3">
      <c r="A135" s="681" t="str">
        <f t="shared" si="4"/>
        <v>03-C-130</v>
      </c>
      <c r="B135" s="964" t="str">
        <f t="shared" ca="1" si="8"/>
        <v>aan deze pool. U kunt dan ook geen aanspraak maken op de prijzenpot aan het einde van het toernooi¹.</v>
      </c>
      <c r="C135" s="713" t="s">
        <v>770</v>
      </c>
      <c r="D135" s="667" t="s">
        <v>773</v>
      </c>
    </row>
    <row r="136" spans="1:4" s="666" customFormat="1" x14ac:dyDescent="0.3">
      <c r="A136" s="682" t="str">
        <f t="shared" si="4"/>
        <v>03-C-131</v>
      </c>
      <c r="B136" s="963" t="str">
        <f t="shared" ca="1" si="8"/>
        <v>Deelname aan deze pool is kosteloos. Om aanspraak te maken op de prijzenpot is dan ook geen inleg</v>
      </c>
      <c r="C136" s="712" t="s">
        <v>758</v>
      </c>
      <c r="D136" s="666" t="s">
        <v>775</v>
      </c>
    </row>
    <row r="137" spans="1:4" s="667" customFormat="1" x14ac:dyDescent="0.3">
      <c r="A137" s="681" t="str">
        <f t="shared" si="4"/>
        <v>03-C-132</v>
      </c>
      <c r="B137" s="964" t="str">
        <f t="shared" ca="1" si="8"/>
        <v>noodzakelijk.</v>
      </c>
      <c r="C137" s="713" t="s">
        <v>757</v>
      </c>
      <c r="D137" s="667" t="s">
        <v>774</v>
      </c>
    </row>
    <row r="138" spans="1:4" s="666" customFormat="1" x14ac:dyDescent="0.3">
      <c r="A138" s="682" t="str">
        <f t="shared" si="4"/>
        <v>03-C-133</v>
      </c>
      <c r="B138" s="963" t="str">
        <f t="shared" ca="1" si="8"/>
        <v>De inleg dient voor aanvang van het toernooi betaald te worden aan de organisator.</v>
      </c>
      <c r="C138" s="712" t="s">
        <v>821</v>
      </c>
      <c r="D138" s="700" t="s">
        <v>833</v>
      </c>
    </row>
    <row r="139" spans="1:4" s="667" customFormat="1" x14ac:dyDescent="0.3">
      <c r="A139" s="681" t="str">
        <f t="shared" ref="A139:A204" si="9">LEFT(A138,5)&amp;RIGHT("000"&amp;RIGHT(A138,3)*1+1,3)</f>
        <v>03-C-134</v>
      </c>
      <c r="B139" s="964" t="str">
        <f t="shared" ca="1" si="8"/>
        <v>Is dit niet op tijd gedaan dan zal uw deelname ongeldig worden verklaard.</v>
      </c>
      <c r="C139" s="713" t="s">
        <v>831</v>
      </c>
      <c r="D139" s="667" t="s">
        <v>832</v>
      </c>
    </row>
    <row r="140" spans="1:4" s="666" customFormat="1" x14ac:dyDescent="0.3">
      <c r="A140" s="682" t="str">
        <f t="shared" si="9"/>
        <v>03-C-135</v>
      </c>
      <c r="B140" s="963" t="str">
        <f t="shared" ca="1" si="8"/>
        <v>De eventuele inleg dient voor aanvang van het toernooi betaald te worden aan de organisator.</v>
      </c>
      <c r="C140" s="712" t="s">
        <v>819</v>
      </c>
      <c r="D140" s="666" t="s">
        <v>836</v>
      </c>
    </row>
    <row r="141" spans="1:4" s="667" customFormat="1" x14ac:dyDescent="0.3">
      <c r="A141" s="681" t="str">
        <f t="shared" si="9"/>
        <v>03-C-136</v>
      </c>
      <c r="B141" s="964" t="str">
        <f t="shared" ca="1" si="8"/>
        <v>Is dit niet op tijd gedaan dan zal u ook niet deelnemen in de prijzenpot.</v>
      </c>
      <c r="C141" s="713" t="s">
        <v>834</v>
      </c>
      <c r="D141" s="667" t="s">
        <v>835</v>
      </c>
    </row>
    <row r="142" spans="1:4" s="666" customFormat="1" x14ac:dyDescent="0.3">
      <c r="A142" s="682" t="str">
        <f t="shared" si="9"/>
        <v>03-C-137</v>
      </c>
      <c r="B142" s="963" t="str">
        <f t="shared" ca="1" si="8"/>
        <v>De inleg dient met door middel van een contante betaling te voldoen.</v>
      </c>
      <c r="C142" s="712" t="s">
        <v>825</v>
      </c>
      <c r="D142" s="666" t="s">
        <v>829</v>
      </c>
    </row>
    <row r="143" spans="1:4" s="667" customFormat="1" x14ac:dyDescent="0.3">
      <c r="A143" s="681" t="str">
        <f t="shared" si="9"/>
        <v>03-C-138</v>
      </c>
      <c r="B143" s="964" t="str">
        <f t="shared" ca="1" si="8"/>
        <v>De inleg dient door middel van een bankoverschrijving overgemaakt worden.</v>
      </c>
      <c r="C143" s="713" t="s">
        <v>823</v>
      </c>
      <c r="D143" s="667" t="s">
        <v>830</v>
      </c>
    </row>
    <row r="144" spans="1:4" s="666" customFormat="1" x14ac:dyDescent="0.3">
      <c r="A144" s="682" t="str">
        <f t="shared" si="9"/>
        <v>03-C-139</v>
      </c>
      <c r="B144" s="963" t="str">
        <f t="shared" ca="1" si="8"/>
        <v>De inleg dient contant betaald te worden of door middel van een bankoverschrijving overgemaakt te worden.</v>
      </c>
      <c r="C144" s="712" t="s">
        <v>824</v>
      </c>
      <c r="D144" s="666" t="s">
        <v>826</v>
      </c>
    </row>
    <row r="145" spans="1:4" s="667" customFormat="1" x14ac:dyDescent="0.3">
      <c r="A145" s="681" t="str">
        <f t="shared" si="9"/>
        <v>03-C-140</v>
      </c>
      <c r="B145" s="964" t="str">
        <f t="shared" ca="1" si="8"/>
        <v>De inleg dient betaald te worden via een betaalverzoek welke de organisator u zal toesturen.</v>
      </c>
      <c r="C145" s="713" t="s">
        <v>822</v>
      </c>
      <c r="D145" s="667" t="s">
        <v>827</v>
      </c>
    </row>
    <row r="146" spans="1:4" s="666" customFormat="1" x14ac:dyDescent="0.3">
      <c r="A146" s="682" t="str">
        <f t="shared" si="9"/>
        <v>03-C-141</v>
      </c>
      <c r="B146" s="963" t="str">
        <f t="shared" ca="1" si="8"/>
        <v>De inleg dient contant betaald te worden of via een betaalverzoek welke de organisator u zal toesturen.</v>
      </c>
      <c r="C146" s="712" t="s">
        <v>820</v>
      </c>
      <c r="D146" s="666" t="s">
        <v>828</v>
      </c>
    </row>
    <row r="147" spans="1:4" s="667" customFormat="1" x14ac:dyDescent="0.3">
      <c r="A147" s="681" t="str">
        <f t="shared" si="9"/>
        <v>03-C-142</v>
      </c>
      <c r="B147" s="964" t="str">
        <f t="shared" ca="1" si="8"/>
        <v>rekeningnummer</v>
      </c>
      <c r="C147" s="713" t="s">
        <v>401</v>
      </c>
      <c r="D147" s="667" t="s">
        <v>776</v>
      </c>
    </row>
    <row r="148" spans="1:4" s="666" customFormat="1" x14ac:dyDescent="0.3">
      <c r="A148" s="682" t="str">
        <f t="shared" si="9"/>
        <v>03-C-143</v>
      </c>
      <c r="B148" s="963" t="str">
        <f t="shared" ca="1" si="8"/>
        <v>ter name van</v>
      </c>
      <c r="C148" s="712" t="s">
        <v>402</v>
      </c>
      <c r="D148" s="666" t="s">
        <v>778</v>
      </c>
    </row>
    <row r="149" spans="1:4" s="667" customFormat="1" x14ac:dyDescent="0.3">
      <c r="A149" s="681" t="str">
        <f t="shared" si="9"/>
        <v>03-C-144</v>
      </c>
      <c r="B149" s="964" t="str">
        <f t="shared" ca="1" si="8"/>
        <v>onder vermelding van</v>
      </c>
      <c r="C149" s="713" t="s">
        <v>403</v>
      </c>
      <c r="D149" s="667" t="s">
        <v>777</v>
      </c>
    </row>
    <row r="150" spans="1:4" s="666" customFormat="1" x14ac:dyDescent="0.3">
      <c r="A150" s="682" t="str">
        <f t="shared" si="9"/>
        <v>03-C-145</v>
      </c>
      <c r="B150" s="963" t="str">
        <f t="shared" ca="1" si="8"/>
        <v>Van de inleg komt ### ten goede aan het goede doel ($$$).</v>
      </c>
      <c r="C150" s="712" t="s">
        <v>798</v>
      </c>
      <c r="D150" s="666" t="s">
        <v>799</v>
      </c>
    </row>
    <row r="151" spans="1:4" s="667" customFormat="1" x14ac:dyDescent="0.3">
      <c r="A151" s="681" t="str">
        <f t="shared" si="9"/>
        <v>03-C-146</v>
      </c>
      <c r="B151" s="964" t="str">
        <f t="shared" ca="1" si="8"/>
        <v>Van de inleg gaat ### naar de prijzenpot. Het restant komt ten goede aan de organisatie van de pool.</v>
      </c>
      <c r="C151" s="713" t="s">
        <v>1414</v>
      </c>
      <c r="D151" s="667" t="s">
        <v>1415</v>
      </c>
    </row>
    <row r="152" spans="1:4" s="666" customFormat="1" x14ac:dyDescent="0.3">
      <c r="A152" s="682" t="str">
        <f t="shared" si="9"/>
        <v>03-C-147</v>
      </c>
      <c r="B152" s="963" t="str">
        <f t="shared" ca="1" si="8"/>
        <v>Voor iedere deelnemer zal de organisatie van de pool ### extra inleggen in de prijzenpot.</v>
      </c>
      <c r="C152" s="712" t="s">
        <v>1416</v>
      </c>
      <c r="D152" s="666" t="s">
        <v>1417</v>
      </c>
    </row>
    <row r="153" spans="1:4" s="667" customFormat="1" x14ac:dyDescent="0.3">
      <c r="A153" s="681" t="str">
        <f t="shared" si="9"/>
        <v>03-C-148</v>
      </c>
      <c r="B153" s="964" t="str">
        <f t="shared" ca="1" si="8"/>
        <v/>
      </c>
      <c r="C153" s="713"/>
    </row>
    <row r="154" spans="1:4" s="666" customFormat="1" x14ac:dyDescent="0.3">
      <c r="A154" s="682" t="str">
        <f t="shared" si="9"/>
        <v>03-C-149</v>
      </c>
      <c r="B154" s="963" t="str">
        <f t="shared" ca="1" si="8"/>
        <v>Indien meerdere spelers op dezelfde positie staan en recht hebben op prijzengeld zal de totale som</v>
      </c>
      <c r="C154" s="712" t="s">
        <v>759</v>
      </c>
      <c r="D154" s="666" t="s">
        <v>780</v>
      </c>
    </row>
    <row r="155" spans="1:4" s="667" customFormat="1" x14ac:dyDescent="0.3">
      <c r="A155" s="681" t="str">
        <f t="shared" si="9"/>
        <v>03-C-150</v>
      </c>
      <c r="B155" s="964" t="str">
        <f t="shared" ca="1" si="8"/>
        <v>van het prijzengeld voor de gedeelde plekken verdeeld worden onder de rechthebbenden.</v>
      </c>
      <c r="C155" s="713" t="s">
        <v>760</v>
      </c>
      <c r="D155" s="667" t="s">
        <v>779</v>
      </c>
    </row>
    <row r="156" spans="1:4" s="666" customFormat="1" x14ac:dyDescent="0.3">
      <c r="A156" s="682" t="str">
        <f t="shared" si="9"/>
        <v>03-C-151</v>
      </c>
      <c r="B156" s="963" t="str">
        <f t="shared" ca="1" si="8"/>
        <v>De verdeling van het prijzengeld gebeurt als volgt:</v>
      </c>
      <c r="C156" s="712" t="s">
        <v>761</v>
      </c>
      <c r="D156" s="666" t="s">
        <v>781</v>
      </c>
    </row>
    <row r="157" spans="1:4" s="667" customFormat="1" x14ac:dyDescent="0.3">
      <c r="A157" s="681" t="str">
        <f t="shared" si="9"/>
        <v>03-C-152</v>
      </c>
      <c r="B157" s="964" t="str">
        <f t="shared" ca="1" si="8"/>
        <v>Nr.</v>
      </c>
      <c r="C157" s="713" t="s">
        <v>7</v>
      </c>
      <c r="D157" s="667" t="s">
        <v>782</v>
      </c>
    </row>
    <row r="158" spans="1:4" s="666" customFormat="1" x14ac:dyDescent="0.3">
      <c r="A158" s="682" t="str">
        <f t="shared" si="9"/>
        <v>03-C-153</v>
      </c>
      <c r="B158" s="963" t="str">
        <f t="shared" ca="1" si="8"/>
        <v>van de prijzenpot</v>
      </c>
      <c r="C158" s="712" t="s">
        <v>801</v>
      </c>
      <c r="D158" s="666" t="s">
        <v>800</v>
      </c>
    </row>
    <row r="159" spans="1:4" s="667" customFormat="1" x14ac:dyDescent="0.3">
      <c r="A159" s="681" t="str">
        <f t="shared" si="9"/>
        <v>03-C-154</v>
      </c>
      <c r="B159" s="964" t="str">
        <f t="shared" ca="1" si="8"/>
        <v>Tevens zijn er diverse troostprijzen beschikbaar voor degene die net naast de prijzen grijpen.</v>
      </c>
      <c r="C159" s="713" t="s">
        <v>762</v>
      </c>
      <c r="D159" s="667" t="s">
        <v>786</v>
      </c>
    </row>
    <row r="160" spans="1:4" s="666" customFormat="1" x14ac:dyDescent="0.3">
      <c r="A160" s="682" t="str">
        <f t="shared" si="9"/>
        <v>03-C-155</v>
      </c>
      <c r="B160" s="963" t="str">
        <f t="shared" ca="1" si="8"/>
        <v>Tevens is er voor de nr. ### een troostprijs beschikbaar als troost voor het net naast de prijzen grijpen.</v>
      </c>
      <c r="C160" s="712" t="s">
        <v>765</v>
      </c>
      <c r="D160" s="666" t="s">
        <v>784</v>
      </c>
    </row>
    <row r="161" spans="1:4" s="667" customFormat="1" x14ac:dyDescent="0.3">
      <c r="A161" s="681" t="str">
        <f t="shared" si="9"/>
        <v>03-C-156</v>
      </c>
      <c r="B161" s="964" t="str">
        <f t="shared" ca="1" si="8"/>
        <v>Tevens zijn er voor de nr. ### en $$$ troostprijzen beschikbaar voor degene die net naast de prijzen grijpen.</v>
      </c>
      <c r="C161" s="713" t="s">
        <v>763</v>
      </c>
      <c r="D161" s="667" t="s">
        <v>783</v>
      </c>
    </row>
    <row r="162" spans="1:4" s="666" customFormat="1" x14ac:dyDescent="0.3">
      <c r="A162" s="682" t="str">
        <f t="shared" si="9"/>
        <v>03-C-157</v>
      </c>
      <c r="B162" s="963" t="str">
        <f t="shared" ca="1" si="8"/>
        <v>Tevens zijn er voor de nr. ### t/m $$$ troostprijzen beschikbaar voor degene die net naast de prijzen grijpen.</v>
      </c>
      <c r="C162" s="712" t="s">
        <v>764</v>
      </c>
      <c r="D162" s="666" t="s">
        <v>785</v>
      </c>
    </row>
    <row r="163" spans="1:4" s="667" customFormat="1" x14ac:dyDescent="0.3">
      <c r="A163" s="681" t="str">
        <f t="shared" si="9"/>
        <v>03-C-158</v>
      </c>
      <c r="B163" s="964" t="str">
        <f t="shared" ca="1" si="8"/>
        <v>Daarnaast zijn er diverse poedelprijzen beschikbaar voor degenen die onderaan eindigen.</v>
      </c>
      <c r="C163" s="713" t="s">
        <v>766</v>
      </c>
      <c r="D163" s="667" t="s">
        <v>787</v>
      </c>
    </row>
    <row r="164" spans="1:4" s="666" customFormat="1" x14ac:dyDescent="0.3">
      <c r="A164" s="682" t="str">
        <f t="shared" si="9"/>
        <v>03-C-159</v>
      </c>
      <c r="B164" s="963" t="str">
        <f t="shared" ca="1" si="8"/>
        <v>Daarnaast ontvangt de laagst genoteerde deelnemer na afloop een poedelprijs.</v>
      </c>
      <c r="C164" s="712" t="s">
        <v>767</v>
      </c>
      <c r="D164" s="666" t="s">
        <v>788</v>
      </c>
    </row>
    <row r="165" spans="1:4" s="667" customFormat="1" x14ac:dyDescent="0.3">
      <c r="A165" s="681" t="str">
        <f t="shared" si="9"/>
        <v>03-C-160</v>
      </c>
      <c r="B165" s="964" t="str">
        <f t="shared" ca="1" si="8"/>
        <v>Daarnaast ontvangen de ### laagst genoteerde deelnemers na afloop ieder een poedelprijs.</v>
      </c>
      <c r="C165" s="713" t="s">
        <v>768</v>
      </c>
      <c r="D165" s="667" t="s">
        <v>789</v>
      </c>
    </row>
    <row r="166" spans="1:4" s="666" customFormat="1" x14ac:dyDescent="0.3">
      <c r="A166" s="682" t="str">
        <f t="shared" si="9"/>
        <v>03-C-161</v>
      </c>
      <c r="B166" s="963" t="str">
        <f t="shared" ca="1" si="8"/>
        <v>Wanneer een niet betalende deelnemer in aanmerkingen komt voor de prijzenpot zal de prijs worden</v>
      </c>
      <c r="C166" s="712" t="s">
        <v>769</v>
      </c>
      <c r="D166" s="666" t="s">
        <v>791</v>
      </c>
    </row>
    <row r="167" spans="1:4" s="667" customFormat="1" x14ac:dyDescent="0.3">
      <c r="A167" s="681" t="str">
        <f t="shared" si="9"/>
        <v>03-C-162</v>
      </c>
      <c r="B167" s="964" t="str">
        <f t="shared" ca="1" si="8"/>
        <v>doorgeschoven naar de eerst volgende betalende deelnemer op de ranglijst.</v>
      </c>
      <c r="C167" s="713" t="s">
        <v>771</v>
      </c>
      <c r="D167" s="667" t="s">
        <v>790</v>
      </c>
    </row>
    <row r="168" spans="1:4" s="673" customFormat="1" x14ac:dyDescent="0.3">
      <c r="A168" s="671" t="str">
        <f t="shared" si="9"/>
        <v>03-C-163</v>
      </c>
      <c r="B168" s="966"/>
      <c r="C168" s="953"/>
    </row>
    <row r="169" spans="1:4" s="670" customFormat="1" x14ac:dyDescent="0.3">
      <c r="A169" s="668" t="str">
        <f t="shared" si="9"/>
        <v>03-C-164</v>
      </c>
      <c r="B169" s="967"/>
      <c r="C169" s="954"/>
    </row>
    <row r="170" spans="1:4" s="673" customFormat="1" x14ac:dyDescent="0.3">
      <c r="A170" s="671" t="str">
        <f t="shared" si="9"/>
        <v>03-C-165</v>
      </c>
      <c r="B170" s="966"/>
      <c r="C170" s="953"/>
    </row>
    <row r="171" spans="1:4" s="670" customFormat="1" x14ac:dyDescent="0.3">
      <c r="A171" s="668" t="str">
        <f t="shared" si="9"/>
        <v>03-C-166</v>
      </c>
      <c r="B171" s="967"/>
      <c r="C171" s="954"/>
    </row>
    <row r="172" spans="1:4" s="673" customFormat="1" x14ac:dyDescent="0.3">
      <c r="A172" s="671" t="str">
        <f t="shared" si="9"/>
        <v>03-C-167</v>
      </c>
      <c r="B172" s="968"/>
      <c r="C172" s="953"/>
    </row>
    <row r="173" spans="1:4" s="670" customFormat="1" x14ac:dyDescent="0.3">
      <c r="A173" s="668" t="str">
        <f t="shared" si="9"/>
        <v>03-C-168</v>
      </c>
      <c r="B173" s="969"/>
      <c r="C173" s="954"/>
      <c r="D173" s="739"/>
    </row>
    <row r="174" spans="1:4" s="673" customFormat="1" x14ac:dyDescent="0.3">
      <c r="A174" s="671" t="str">
        <f t="shared" si="9"/>
        <v>03-C-169</v>
      </c>
      <c r="B174" s="968"/>
      <c r="C174" s="953"/>
    </row>
    <row r="175" spans="1:4" s="670" customFormat="1" x14ac:dyDescent="0.3">
      <c r="A175" s="668" t="str">
        <f t="shared" si="9"/>
        <v>03-C-170</v>
      </c>
      <c r="B175" s="969"/>
      <c r="C175" s="954"/>
    </row>
    <row r="176" spans="1:4" s="673" customFormat="1" x14ac:dyDescent="0.3">
      <c r="A176" s="671" t="str">
        <f t="shared" si="9"/>
        <v>03-C-171</v>
      </c>
      <c r="B176" s="968"/>
      <c r="C176" s="953"/>
      <c r="D176" s="740"/>
    </row>
    <row r="177" spans="1:3" s="670" customFormat="1" x14ac:dyDescent="0.3">
      <c r="A177" s="668" t="str">
        <f t="shared" si="9"/>
        <v>03-C-172</v>
      </c>
      <c r="B177" s="969"/>
      <c r="C177" s="954"/>
    </row>
    <row r="178" spans="1:3" s="673" customFormat="1" x14ac:dyDescent="0.3">
      <c r="A178" s="671" t="str">
        <f t="shared" si="9"/>
        <v>03-C-173</v>
      </c>
      <c r="B178" s="968"/>
      <c r="C178" s="953"/>
    </row>
    <row r="179" spans="1:3" s="670" customFormat="1" x14ac:dyDescent="0.3">
      <c r="A179" s="668" t="str">
        <f t="shared" si="9"/>
        <v>03-C-174</v>
      </c>
      <c r="B179" s="969"/>
      <c r="C179" s="954"/>
    </row>
    <row r="180" spans="1:3" s="673" customFormat="1" x14ac:dyDescent="0.3">
      <c r="A180" s="671" t="str">
        <f t="shared" si="9"/>
        <v>03-C-175</v>
      </c>
      <c r="B180" s="968"/>
      <c r="C180" s="953"/>
    </row>
    <row r="181" spans="1:3" s="670" customFormat="1" x14ac:dyDescent="0.3">
      <c r="A181" s="668" t="str">
        <f t="shared" si="9"/>
        <v>03-C-176</v>
      </c>
      <c r="B181" s="969"/>
      <c r="C181" s="954"/>
    </row>
    <row r="182" spans="1:3" s="673" customFormat="1" x14ac:dyDescent="0.3">
      <c r="A182" s="671" t="str">
        <f t="shared" si="9"/>
        <v>03-C-177</v>
      </c>
      <c r="B182" s="968"/>
      <c r="C182" s="953"/>
    </row>
    <row r="183" spans="1:3" s="670" customFormat="1" x14ac:dyDescent="0.3">
      <c r="A183" s="668" t="str">
        <f t="shared" si="9"/>
        <v>03-C-178</v>
      </c>
      <c r="B183" s="969"/>
      <c r="C183" s="954"/>
    </row>
    <row r="184" spans="1:3" s="673" customFormat="1" x14ac:dyDescent="0.3">
      <c r="A184" s="671" t="str">
        <f t="shared" si="9"/>
        <v>03-C-179</v>
      </c>
      <c r="B184" s="968"/>
      <c r="C184" s="953"/>
    </row>
    <row r="185" spans="1:3" s="670" customFormat="1" x14ac:dyDescent="0.3">
      <c r="A185" s="668" t="str">
        <f t="shared" si="9"/>
        <v>03-C-180</v>
      </c>
      <c r="B185" s="969"/>
      <c r="C185" s="954"/>
    </row>
    <row r="186" spans="1:3" s="673" customFormat="1" x14ac:dyDescent="0.3">
      <c r="A186" s="671" t="str">
        <f t="shared" si="9"/>
        <v>03-C-181</v>
      </c>
      <c r="B186" s="968"/>
      <c r="C186" s="953"/>
    </row>
    <row r="187" spans="1:3" s="670" customFormat="1" x14ac:dyDescent="0.3">
      <c r="A187" s="668" t="str">
        <f t="shared" si="9"/>
        <v>03-C-182</v>
      </c>
      <c r="B187" s="969"/>
      <c r="C187" s="954"/>
    </row>
    <row r="188" spans="1:3" s="673" customFormat="1" x14ac:dyDescent="0.3">
      <c r="A188" s="671" t="str">
        <f t="shared" si="9"/>
        <v>03-C-183</v>
      </c>
      <c r="B188" s="968"/>
      <c r="C188" s="953"/>
    </row>
    <row r="189" spans="1:3" s="670" customFormat="1" x14ac:dyDescent="0.3">
      <c r="A189" s="668" t="str">
        <f t="shared" si="9"/>
        <v>03-C-184</v>
      </c>
      <c r="B189" s="969"/>
      <c r="C189" s="954"/>
    </row>
    <row r="190" spans="1:3" s="673" customFormat="1" x14ac:dyDescent="0.3">
      <c r="A190" s="671" t="str">
        <f t="shared" si="9"/>
        <v>03-C-185</v>
      </c>
      <c r="B190" s="968"/>
      <c r="C190" s="953"/>
    </row>
    <row r="191" spans="1:3" s="670" customFormat="1" x14ac:dyDescent="0.3">
      <c r="A191" s="668" t="str">
        <f t="shared" si="9"/>
        <v>03-C-186</v>
      </c>
      <c r="B191" s="969"/>
      <c r="C191" s="954"/>
    </row>
    <row r="192" spans="1:3" s="673" customFormat="1" x14ac:dyDescent="0.3">
      <c r="A192" s="671" t="str">
        <f t="shared" si="9"/>
        <v>03-C-187</v>
      </c>
      <c r="B192" s="968"/>
      <c r="C192" s="953"/>
    </row>
    <row r="193" spans="1:3" s="670" customFormat="1" x14ac:dyDescent="0.3">
      <c r="A193" s="668" t="str">
        <f t="shared" si="9"/>
        <v>03-C-188</v>
      </c>
      <c r="B193" s="969"/>
      <c r="C193" s="954"/>
    </row>
    <row r="194" spans="1:3" s="673" customFormat="1" x14ac:dyDescent="0.3">
      <c r="A194" s="671" t="str">
        <f t="shared" si="9"/>
        <v>03-C-189</v>
      </c>
      <c r="B194" s="968"/>
      <c r="C194" s="953"/>
    </row>
    <row r="195" spans="1:3" s="670" customFormat="1" x14ac:dyDescent="0.3">
      <c r="A195" s="668" t="str">
        <f t="shared" si="9"/>
        <v>03-C-190</v>
      </c>
      <c r="B195" s="969"/>
      <c r="C195" s="954"/>
    </row>
    <row r="196" spans="1:3" s="673" customFormat="1" x14ac:dyDescent="0.3">
      <c r="A196" s="671" t="str">
        <f t="shared" si="9"/>
        <v>03-C-191</v>
      </c>
      <c r="B196" s="968"/>
      <c r="C196" s="953"/>
    </row>
    <row r="197" spans="1:3" s="670" customFormat="1" x14ac:dyDescent="0.3">
      <c r="A197" s="668" t="str">
        <f t="shared" si="9"/>
        <v>03-C-192</v>
      </c>
      <c r="B197" s="969"/>
      <c r="C197" s="954"/>
    </row>
    <row r="198" spans="1:3" s="673" customFormat="1" x14ac:dyDescent="0.3">
      <c r="A198" s="671" t="str">
        <f t="shared" si="9"/>
        <v>03-C-193</v>
      </c>
      <c r="B198" s="968"/>
      <c r="C198" s="953"/>
    </row>
    <row r="199" spans="1:3" s="670" customFormat="1" x14ac:dyDescent="0.3">
      <c r="A199" s="668" t="str">
        <f t="shared" si="9"/>
        <v>03-C-194</v>
      </c>
      <c r="B199" s="969"/>
      <c r="C199" s="954"/>
    </row>
    <row r="200" spans="1:3" s="673" customFormat="1" x14ac:dyDescent="0.3">
      <c r="A200" s="671" t="str">
        <f t="shared" si="9"/>
        <v>03-C-195</v>
      </c>
      <c r="B200" s="968"/>
      <c r="C200" s="953"/>
    </row>
    <row r="201" spans="1:3" s="670" customFormat="1" x14ac:dyDescent="0.3">
      <c r="A201" s="668" t="str">
        <f t="shared" si="9"/>
        <v>03-C-196</v>
      </c>
      <c r="B201" s="969"/>
      <c r="C201" s="954"/>
    </row>
    <row r="202" spans="1:3" s="673" customFormat="1" x14ac:dyDescent="0.3">
      <c r="A202" s="671" t="str">
        <f t="shared" si="9"/>
        <v>03-C-197</v>
      </c>
      <c r="B202" s="968"/>
      <c r="C202" s="953"/>
    </row>
    <row r="203" spans="1:3" s="670" customFormat="1" x14ac:dyDescent="0.3">
      <c r="A203" s="668" t="str">
        <f t="shared" si="9"/>
        <v>03-C-198</v>
      </c>
      <c r="B203" s="969"/>
      <c r="C203" s="954"/>
    </row>
    <row r="204" spans="1:3" s="673" customFormat="1" x14ac:dyDescent="0.3">
      <c r="A204" s="671" t="str">
        <f t="shared" si="9"/>
        <v>03-C-199</v>
      </c>
      <c r="B204" s="968"/>
      <c r="C204" s="953"/>
    </row>
    <row r="205" spans="1:3" s="670" customFormat="1" x14ac:dyDescent="0.3">
      <c r="A205" s="668" t="str">
        <f t="shared" ref="A205:A252" si="10">LEFT(A204,5)&amp;RIGHT("000"&amp;RIGHT(A204,3)*1+1,3)</f>
        <v>03-C-200</v>
      </c>
      <c r="B205" s="969"/>
      <c r="C205" s="954"/>
    </row>
    <row r="206" spans="1:3" s="673" customFormat="1" x14ac:dyDescent="0.3">
      <c r="A206" s="671" t="str">
        <f t="shared" si="10"/>
        <v>03-C-201</v>
      </c>
      <c r="B206" s="968"/>
      <c r="C206" s="953"/>
    </row>
    <row r="207" spans="1:3" s="670" customFormat="1" x14ac:dyDescent="0.3">
      <c r="A207" s="668" t="str">
        <f t="shared" si="10"/>
        <v>03-C-202</v>
      </c>
      <c r="B207" s="969"/>
      <c r="C207" s="954"/>
    </row>
    <row r="208" spans="1:3" s="673" customFormat="1" x14ac:dyDescent="0.3">
      <c r="A208" s="671" t="str">
        <f t="shared" si="10"/>
        <v>03-C-203</v>
      </c>
      <c r="B208" s="968"/>
      <c r="C208" s="953"/>
    </row>
    <row r="209" spans="1:3" s="670" customFormat="1" x14ac:dyDescent="0.3">
      <c r="A209" s="668" t="str">
        <f t="shared" si="10"/>
        <v>03-C-204</v>
      </c>
      <c r="B209" s="969"/>
      <c r="C209" s="954"/>
    </row>
    <row r="210" spans="1:3" s="673" customFormat="1" x14ac:dyDescent="0.3">
      <c r="A210" s="671" t="str">
        <f t="shared" si="10"/>
        <v>03-C-205</v>
      </c>
      <c r="B210" s="968"/>
      <c r="C210" s="953"/>
    </row>
    <row r="211" spans="1:3" s="670" customFormat="1" x14ac:dyDescent="0.3">
      <c r="A211" s="668" t="str">
        <f t="shared" si="10"/>
        <v>03-C-206</v>
      </c>
      <c r="B211" s="969"/>
      <c r="C211" s="954"/>
    </row>
    <row r="212" spans="1:3" s="673" customFormat="1" x14ac:dyDescent="0.3">
      <c r="A212" s="671" t="str">
        <f t="shared" si="10"/>
        <v>03-C-207</v>
      </c>
      <c r="B212" s="968"/>
      <c r="C212" s="953"/>
    </row>
    <row r="213" spans="1:3" s="670" customFormat="1" x14ac:dyDescent="0.3">
      <c r="A213" s="668" t="str">
        <f t="shared" si="10"/>
        <v>03-C-208</v>
      </c>
      <c r="B213" s="969"/>
      <c r="C213" s="954"/>
    </row>
    <row r="214" spans="1:3" s="673" customFormat="1" x14ac:dyDescent="0.3">
      <c r="A214" s="671" t="str">
        <f t="shared" si="10"/>
        <v>03-C-209</v>
      </c>
      <c r="B214" s="968"/>
      <c r="C214" s="953"/>
    </row>
    <row r="215" spans="1:3" s="670" customFormat="1" x14ac:dyDescent="0.3">
      <c r="A215" s="668" t="str">
        <f t="shared" si="10"/>
        <v>03-C-210</v>
      </c>
      <c r="B215" s="969"/>
      <c r="C215" s="954"/>
    </row>
    <row r="216" spans="1:3" s="673" customFormat="1" x14ac:dyDescent="0.3">
      <c r="A216" s="671" t="str">
        <f t="shared" si="10"/>
        <v>03-C-211</v>
      </c>
      <c r="B216" s="968"/>
      <c r="C216" s="953"/>
    </row>
    <row r="217" spans="1:3" s="670" customFormat="1" x14ac:dyDescent="0.3">
      <c r="A217" s="668" t="str">
        <f t="shared" si="10"/>
        <v>03-C-212</v>
      </c>
      <c r="B217" s="969"/>
      <c r="C217" s="954"/>
    </row>
    <row r="218" spans="1:3" s="673" customFormat="1" x14ac:dyDescent="0.3">
      <c r="A218" s="671" t="str">
        <f t="shared" si="10"/>
        <v>03-C-213</v>
      </c>
      <c r="B218" s="968"/>
      <c r="C218" s="953"/>
    </row>
    <row r="219" spans="1:3" s="670" customFormat="1" x14ac:dyDescent="0.3">
      <c r="A219" s="668" t="str">
        <f t="shared" si="10"/>
        <v>03-C-214</v>
      </c>
      <c r="B219" s="969"/>
      <c r="C219" s="954"/>
    </row>
    <row r="220" spans="1:3" s="673" customFormat="1" x14ac:dyDescent="0.3">
      <c r="A220" s="671" t="str">
        <f t="shared" si="10"/>
        <v>03-C-215</v>
      </c>
      <c r="B220" s="968"/>
      <c r="C220" s="953"/>
    </row>
    <row r="221" spans="1:3" s="670" customFormat="1" x14ac:dyDescent="0.3">
      <c r="A221" s="668" t="str">
        <f t="shared" si="10"/>
        <v>03-C-216</v>
      </c>
      <c r="B221" s="969"/>
      <c r="C221" s="954"/>
    </row>
    <row r="222" spans="1:3" s="673" customFormat="1" x14ac:dyDescent="0.3">
      <c r="A222" s="671" t="str">
        <f t="shared" si="10"/>
        <v>03-C-217</v>
      </c>
      <c r="B222" s="968"/>
      <c r="C222" s="953"/>
    </row>
    <row r="223" spans="1:3" s="670" customFormat="1" x14ac:dyDescent="0.3">
      <c r="A223" s="668" t="str">
        <f t="shared" si="10"/>
        <v>03-C-218</v>
      </c>
      <c r="B223" s="969"/>
      <c r="C223" s="954"/>
    </row>
    <row r="224" spans="1:3" s="673" customFormat="1" x14ac:dyDescent="0.3">
      <c r="A224" s="671" t="str">
        <f t="shared" si="10"/>
        <v>03-C-219</v>
      </c>
      <c r="B224" s="968"/>
      <c r="C224" s="953"/>
    </row>
    <row r="225" spans="1:3" s="670" customFormat="1" x14ac:dyDescent="0.3">
      <c r="A225" s="668" t="str">
        <f t="shared" si="10"/>
        <v>03-C-220</v>
      </c>
      <c r="B225" s="969"/>
      <c r="C225" s="954"/>
    </row>
    <row r="226" spans="1:3" s="673" customFormat="1" x14ac:dyDescent="0.3">
      <c r="A226" s="671" t="str">
        <f t="shared" si="10"/>
        <v>03-C-221</v>
      </c>
      <c r="B226" s="968"/>
      <c r="C226" s="953"/>
    </row>
    <row r="227" spans="1:3" s="670" customFormat="1" x14ac:dyDescent="0.3">
      <c r="A227" s="668" t="str">
        <f t="shared" si="10"/>
        <v>03-C-222</v>
      </c>
      <c r="B227" s="969"/>
      <c r="C227" s="954"/>
    </row>
    <row r="228" spans="1:3" s="673" customFormat="1" x14ac:dyDescent="0.3">
      <c r="A228" s="671" t="str">
        <f t="shared" si="10"/>
        <v>03-C-223</v>
      </c>
      <c r="B228" s="968"/>
      <c r="C228" s="953"/>
    </row>
    <row r="229" spans="1:3" s="670" customFormat="1" x14ac:dyDescent="0.3">
      <c r="A229" s="668" t="str">
        <f t="shared" si="10"/>
        <v>03-C-224</v>
      </c>
      <c r="B229" s="969"/>
      <c r="C229" s="954"/>
    </row>
    <row r="230" spans="1:3" s="673" customFormat="1" x14ac:dyDescent="0.3">
      <c r="A230" s="671" t="str">
        <f t="shared" si="10"/>
        <v>03-C-225</v>
      </c>
      <c r="B230" s="968"/>
      <c r="C230" s="953"/>
    </row>
    <row r="231" spans="1:3" s="670" customFormat="1" x14ac:dyDescent="0.3">
      <c r="A231" s="668" t="str">
        <f t="shared" si="10"/>
        <v>03-C-226</v>
      </c>
      <c r="B231" s="969"/>
      <c r="C231" s="954"/>
    </row>
    <row r="232" spans="1:3" s="673" customFormat="1" x14ac:dyDescent="0.3">
      <c r="A232" s="671" t="str">
        <f t="shared" si="10"/>
        <v>03-C-227</v>
      </c>
      <c r="B232" s="968"/>
      <c r="C232" s="953"/>
    </row>
    <row r="233" spans="1:3" s="670" customFormat="1" x14ac:dyDescent="0.3">
      <c r="A233" s="668" t="str">
        <f t="shared" si="10"/>
        <v>03-C-228</v>
      </c>
      <c r="B233" s="969"/>
      <c r="C233" s="954"/>
    </row>
    <row r="234" spans="1:3" s="673" customFormat="1" x14ac:dyDescent="0.3">
      <c r="A234" s="671" t="str">
        <f t="shared" si="10"/>
        <v>03-C-229</v>
      </c>
      <c r="B234" s="968"/>
      <c r="C234" s="953"/>
    </row>
    <row r="235" spans="1:3" s="670" customFormat="1" x14ac:dyDescent="0.3">
      <c r="A235" s="668" t="str">
        <f t="shared" si="10"/>
        <v>03-C-230</v>
      </c>
      <c r="B235" s="969"/>
      <c r="C235" s="954"/>
    </row>
    <row r="236" spans="1:3" s="673" customFormat="1" x14ac:dyDescent="0.3">
      <c r="A236" s="671" t="str">
        <f t="shared" si="10"/>
        <v>03-C-231</v>
      </c>
      <c r="B236" s="968"/>
      <c r="C236" s="953"/>
    </row>
    <row r="237" spans="1:3" s="670" customFormat="1" x14ac:dyDescent="0.3">
      <c r="A237" s="668" t="str">
        <f t="shared" si="10"/>
        <v>03-C-232</v>
      </c>
      <c r="B237" s="969"/>
      <c r="C237" s="954"/>
    </row>
    <row r="238" spans="1:3" s="673" customFormat="1" x14ac:dyDescent="0.3">
      <c r="A238" s="671" t="str">
        <f t="shared" si="10"/>
        <v>03-C-233</v>
      </c>
      <c r="B238" s="968"/>
      <c r="C238" s="953"/>
    </row>
    <row r="239" spans="1:3" s="670" customFormat="1" x14ac:dyDescent="0.3">
      <c r="A239" s="668" t="str">
        <f t="shared" si="10"/>
        <v>03-C-234</v>
      </c>
      <c r="B239" s="969"/>
      <c r="C239" s="954"/>
    </row>
    <row r="240" spans="1:3" s="673" customFormat="1" x14ac:dyDescent="0.3">
      <c r="A240" s="671" t="str">
        <f t="shared" si="10"/>
        <v>03-C-235</v>
      </c>
      <c r="B240" s="968"/>
      <c r="C240" s="953"/>
    </row>
    <row r="241" spans="1:3" s="670" customFormat="1" x14ac:dyDescent="0.3">
      <c r="A241" s="668" t="str">
        <f t="shared" si="10"/>
        <v>03-C-236</v>
      </c>
      <c r="B241" s="969"/>
      <c r="C241" s="954"/>
    </row>
    <row r="242" spans="1:3" s="673" customFormat="1" x14ac:dyDescent="0.3">
      <c r="A242" s="671" t="str">
        <f t="shared" si="10"/>
        <v>03-C-237</v>
      </c>
      <c r="B242" s="968"/>
      <c r="C242" s="953"/>
    </row>
    <row r="243" spans="1:3" s="670" customFormat="1" x14ac:dyDescent="0.3">
      <c r="A243" s="668" t="str">
        <f t="shared" si="10"/>
        <v>03-C-238</v>
      </c>
      <c r="B243" s="969"/>
      <c r="C243" s="954"/>
    </row>
    <row r="244" spans="1:3" s="673" customFormat="1" x14ac:dyDescent="0.3">
      <c r="A244" s="671" t="str">
        <f t="shared" si="10"/>
        <v>03-C-239</v>
      </c>
      <c r="B244" s="968"/>
      <c r="C244" s="953"/>
    </row>
    <row r="245" spans="1:3" s="670" customFormat="1" x14ac:dyDescent="0.3">
      <c r="A245" s="668" t="str">
        <f t="shared" si="10"/>
        <v>03-C-240</v>
      </c>
      <c r="B245" s="969"/>
      <c r="C245" s="954"/>
    </row>
    <row r="246" spans="1:3" s="673" customFormat="1" x14ac:dyDescent="0.3">
      <c r="A246" s="671" t="str">
        <f t="shared" si="10"/>
        <v>03-C-241</v>
      </c>
      <c r="B246" s="968"/>
      <c r="C246" s="953"/>
    </row>
    <row r="247" spans="1:3" s="670" customFormat="1" x14ac:dyDescent="0.3">
      <c r="A247" s="668" t="str">
        <f t="shared" si="10"/>
        <v>03-C-242</v>
      </c>
      <c r="B247" s="969"/>
      <c r="C247" s="954"/>
    </row>
    <row r="248" spans="1:3" s="673" customFormat="1" x14ac:dyDescent="0.3">
      <c r="A248" s="671" t="str">
        <f t="shared" si="10"/>
        <v>03-C-243</v>
      </c>
      <c r="B248" s="968"/>
      <c r="C248" s="953"/>
    </row>
    <row r="249" spans="1:3" s="670" customFormat="1" x14ac:dyDescent="0.3">
      <c r="A249" s="668" t="str">
        <f t="shared" si="10"/>
        <v>03-C-244</v>
      </c>
      <c r="B249" s="969"/>
      <c r="C249" s="954"/>
    </row>
    <row r="250" spans="1:3" s="673" customFormat="1" x14ac:dyDescent="0.3">
      <c r="A250" s="671" t="str">
        <f t="shared" si="10"/>
        <v>03-C-245</v>
      </c>
      <c r="B250" s="968"/>
      <c r="C250" s="953"/>
    </row>
    <row r="251" spans="1:3" s="670" customFormat="1" x14ac:dyDescent="0.3">
      <c r="A251" s="668" t="str">
        <f t="shared" si="10"/>
        <v>03-C-246</v>
      </c>
      <c r="B251" s="969"/>
      <c r="C251" s="954"/>
    </row>
    <row r="252" spans="1:3" s="673" customFormat="1" x14ac:dyDescent="0.3">
      <c r="A252" s="671" t="str">
        <f t="shared" si="10"/>
        <v>03-C-247</v>
      </c>
      <c r="B252" s="968"/>
      <c r="C252" s="95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rgb="FFFFC000"/>
  </sheetPr>
  <dimension ref="A1:D250"/>
  <sheetViews>
    <sheetView workbookViewId="0">
      <pane xSplit="2" ySplit="3" topLeftCell="C78" activePane="bottomRight" state="frozen"/>
      <selection activeCell="V2" sqref="V2:Z4"/>
      <selection pane="topRight" activeCell="V2" sqref="V2:Z4"/>
      <selection pane="bottomLeft" activeCell="V2" sqref="V2:Z4"/>
      <selection pane="bottomRight"/>
    </sheetView>
  </sheetViews>
  <sheetFormatPr defaultColWidth="9" defaultRowHeight="14.4" x14ac:dyDescent="0.3"/>
  <cols>
    <col min="1" max="1" width="8.6640625" style="698" customWidth="1"/>
    <col min="2" max="2" width="10.6640625" style="955" customWidth="1"/>
    <col min="3" max="3" width="50.6640625" style="956" customWidth="1"/>
    <col min="4" max="4" width="50.6640625" style="699" customWidth="1"/>
    <col min="5" max="5" width="43" style="699" customWidth="1"/>
    <col min="6" max="27" width="50.6640625" style="699" customWidth="1"/>
    <col min="28" max="16384" width="9" style="699"/>
  </cols>
  <sheetData>
    <row r="1" spans="1:4" s="687" customFormat="1" x14ac:dyDescent="0.3">
      <c r="A1" s="688" t="s">
        <v>613</v>
      </c>
      <c r="B1" s="946"/>
      <c r="C1" s="947">
        <f>Taal01!$C$1</f>
        <v>1</v>
      </c>
    </row>
    <row r="2" spans="1:4" s="687" customFormat="1" x14ac:dyDescent="0.3">
      <c r="A2" s="688" t="s">
        <v>614</v>
      </c>
      <c r="B2" s="946"/>
      <c r="C2" s="947">
        <f>$C$1+2</f>
        <v>3</v>
      </c>
    </row>
    <row r="3" spans="1:4" s="691" customFormat="1" x14ac:dyDescent="0.3">
      <c r="A3" s="690" t="s">
        <v>546</v>
      </c>
      <c r="B3" s="957" t="s">
        <v>605</v>
      </c>
      <c r="C3" s="691" t="s">
        <v>547</v>
      </c>
      <c r="D3" s="691" t="s">
        <v>412</v>
      </c>
    </row>
    <row r="4" spans="1:4" s="666" customFormat="1" x14ac:dyDescent="0.3">
      <c r="A4" s="692"/>
      <c r="B4" s="958"/>
      <c r="C4" s="712"/>
    </row>
    <row r="5" spans="1:4" s="667" customFormat="1" x14ac:dyDescent="0.3">
      <c r="A5" s="693" t="s">
        <v>950</v>
      </c>
      <c r="B5" s="959"/>
      <c r="C5" s="713"/>
    </row>
    <row r="6" spans="1:4" s="697" customFormat="1" x14ac:dyDescent="0.3">
      <c r="A6" s="696" t="str">
        <f>"04-D-001"</f>
        <v>04-D-001</v>
      </c>
      <c r="B6" s="960" t="str">
        <f t="shared" ref="B6:B11" ca="1" si="0">TRIM(INDIRECT(CHAR(64+$C$2)&amp;ROW()))</f>
        <v>Deelname Formulier</v>
      </c>
      <c r="C6" s="948" t="s">
        <v>853</v>
      </c>
      <c r="D6" s="697" t="s">
        <v>854</v>
      </c>
    </row>
    <row r="7" spans="1:4" s="695" customFormat="1" x14ac:dyDescent="0.3">
      <c r="A7" s="694" t="str">
        <f t="shared" ref="A7:A97" si="1">LEFT(A6,5)&amp;RIGHT("000"&amp;RIGHT(A6,3)*1+1,3)</f>
        <v>04-D-002</v>
      </c>
      <c r="B7" s="961" t="str">
        <f t="shared" ca="1" si="0"/>
        <v>Excel Deelname Formulier</v>
      </c>
      <c r="C7" s="949" t="s">
        <v>852</v>
      </c>
      <c r="D7" s="695" t="s">
        <v>855</v>
      </c>
    </row>
    <row r="8" spans="1:4" s="697" customFormat="1" x14ac:dyDescent="0.3">
      <c r="A8" s="696" t="str">
        <f t="shared" si="1"/>
        <v>04-D-003</v>
      </c>
      <c r="B8" s="960" t="str">
        <f t="shared" ca="1" si="0"/>
        <v>Groepswedstrijden</v>
      </c>
      <c r="C8" s="948" t="s">
        <v>618</v>
      </c>
      <c r="D8" s="697" t="s">
        <v>856</v>
      </c>
    </row>
    <row r="9" spans="1:4" s="695" customFormat="1" x14ac:dyDescent="0.3">
      <c r="A9" s="694" t="str">
        <f t="shared" si="1"/>
        <v>04-D-004</v>
      </c>
      <c r="B9" s="961" t="str">
        <f t="shared" ca="1" si="0"/>
        <v>Eindstand Groep</v>
      </c>
      <c r="C9" s="949" t="s">
        <v>256</v>
      </c>
      <c r="D9" s="695" t="s">
        <v>981</v>
      </c>
    </row>
    <row r="10" spans="1:4" s="697" customFormat="1" x14ac:dyDescent="0.3">
      <c r="A10" s="696" t="str">
        <f t="shared" si="1"/>
        <v>04-D-005</v>
      </c>
      <c r="B10" s="960" t="str">
        <f t="shared" ca="1" si="0"/>
        <v>Finalewedstrijden</v>
      </c>
      <c r="C10" s="948" t="s">
        <v>619</v>
      </c>
      <c r="D10" s="697" t="s">
        <v>965</v>
      </c>
    </row>
    <row r="11" spans="1:4" s="675" customFormat="1" x14ac:dyDescent="0.3">
      <c r="A11" s="674" t="str">
        <f t="shared" si="1"/>
        <v>04-D-006</v>
      </c>
      <c r="B11" s="962" t="str">
        <f t="shared" ca="1" si="0"/>
        <v>Bonusvragen</v>
      </c>
      <c r="C11" s="950" t="s">
        <v>100</v>
      </c>
      <c r="D11" s="675" t="s">
        <v>638</v>
      </c>
    </row>
    <row r="12" spans="1:4" s="666" customFormat="1" x14ac:dyDescent="0.3">
      <c r="A12" s="671" t="str">
        <f t="shared" si="1"/>
        <v>04-D-007</v>
      </c>
      <c r="B12" s="963"/>
      <c r="C12" s="712"/>
    </row>
    <row r="13" spans="1:4" s="667" customFormat="1" x14ac:dyDescent="0.3">
      <c r="A13" s="668" t="str">
        <f t="shared" si="1"/>
        <v>04-D-008</v>
      </c>
      <c r="B13" s="964"/>
      <c r="C13" s="713"/>
    </row>
    <row r="14" spans="1:4" s="711" customFormat="1" x14ac:dyDescent="0.3">
      <c r="A14" s="682" t="str">
        <f t="shared" si="1"/>
        <v>04-D-009</v>
      </c>
      <c r="B14" s="965" t="str">
        <f ca="1">TRIM(INDIRECT(CHAR(64+$C$2)&amp;ROW()))</f>
        <v>Naam</v>
      </c>
      <c r="C14" s="951" t="s">
        <v>857</v>
      </c>
      <c r="D14" s="711" t="s">
        <v>860</v>
      </c>
    </row>
    <row r="15" spans="1:4" s="670" customFormat="1" x14ac:dyDescent="0.3">
      <c r="A15" s="681" t="str">
        <f t="shared" si="1"/>
        <v>04-D-010</v>
      </c>
      <c r="B15" s="964" t="str">
        <f ca="1">TRIM(INDIRECT(CHAR(64+$C$2)&amp;ROW()))</f>
        <v>E-mail</v>
      </c>
      <c r="C15" s="713" t="s">
        <v>858</v>
      </c>
      <c r="D15" s="667" t="s">
        <v>858</v>
      </c>
    </row>
    <row r="16" spans="1:4" s="711" customFormat="1" x14ac:dyDescent="0.3">
      <c r="A16" s="664" t="str">
        <f t="shared" si="1"/>
        <v>04-D-011</v>
      </c>
      <c r="B16" s="965" t="str">
        <f ca="1">TRIM(INDIRECT(CHAR(64+$C$2)&amp;ROW()))</f>
        <v>(maximaal ## tekens)</v>
      </c>
      <c r="C16" s="951" t="s">
        <v>859</v>
      </c>
      <c r="D16" s="711" t="s">
        <v>861</v>
      </c>
    </row>
    <row r="17" spans="1:4" s="667" customFormat="1" x14ac:dyDescent="0.3">
      <c r="A17" s="681" t="str">
        <f t="shared" si="1"/>
        <v>04-D-012</v>
      </c>
      <c r="B17" s="964" t="str">
        <f ca="1">TRIM(INDIRECT(CHAR(64+$C$2)&amp;ROW()))</f>
        <v>e-mailadres is niet verplicht</v>
      </c>
      <c r="C17" s="713" t="s">
        <v>1367</v>
      </c>
      <c r="D17" s="667" t="s">
        <v>1368</v>
      </c>
    </row>
    <row r="18" spans="1:4" s="666" customFormat="1" x14ac:dyDescent="0.3">
      <c r="A18" s="671" t="str">
        <f t="shared" si="1"/>
        <v>04-D-013</v>
      </c>
      <c r="B18" s="963"/>
      <c r="C18" s="712"/>
    </row>
    <row r="19" spans="1:4" s="667" customFormat="1" x14ac:dyDescent="0.3">
      <c r="A19" s="668" t="str">
        <f t="shared" si="1"/>
        <v>04-D-014</v>
      </c>
      <c r="B19" s="959"/>
      <c r="C19" s="713"/>
    </row>
    <row r="20" spans="1:4" s="666" customFormat="1" x14ac:dyDescent="0.3">
      <c r="A20" s="682" t="str">
        <f t="shared" si="1"/>
        <v>04-D-015</v>
      </c>
      <c r="B20" s="965" t="str">
        <f t="shared" ref="B20:B36" ca="1" si="2">TRIM(INDIRECT(CHAR(64+$C$2)&amp;ROW()))</f>
        <v>Datum</v>
      </c>
      <c r="C20" s="712" t="s">
        <v>10</v>
      </c>
      <c r="D20" s="666" t="s">
        <v>870</v>
      </c>
    </row>
    <row r="21" spans="1:4" s="667" customFormat="1" x14ac:dyDescent="0.3">
      <c r="A21" s="681" t="str">
        <f t="shared" si="1"/>
        <v>04-D-016</v>
      </c>
      <c r="B21" s="964" t="str">
        <f t="shared" ca="1" si="2"/>
        <v>Tijd</v>
      </c>
      <c r="C21" s="713" t="s">
        <v>11</v>
      </c>
      <c r="D21" s="667" t="s">
        <v>871</v>
      </c>
    </row>
    <row r="22" spans="1:4" s="666" customFormat="1" x14ac:dyDescent="0.3">
      <c r="A22" s="682" t="str">
        <f t="shared" si="1"/>
        <v>04-D-017</v>
      </c>
      <c r="B22" s="965" t="str">
        <f t="shared" ca="1" si="2"/>
        <v>Wedstrijd</v>
      </c>
      <c r="C22" s="712" t="s">
        <v>8</v>
      </c>
      <c r="D22" s="666" t="s">
        <v>872</v>
      </c>
    </row>
    <row r="23" spans="1:4" s="667" customFormat="1" x14ac:dyDescent="0.3">
      <c r="A23" s="681" t="str">
        <f t="shared" si="1"/>
        <v>04-D-018</v>
      </c>
      <c r="B23" s="964" t="str">
        <f t="shared" ca="1" si="2"/>
        <v>TOTO</v>
      </c>
      <c r="C23" s="713" t="s">
        <v>235</v>
      </c>
      <c r="D23" s="667" t="s">
        <v>235</v>
      </c>
    </row>
    <row r="24" spans="1:4" s="666" customFormat="1" x14ac:dyDescent="0.3">
      <c r="A24" s="682" t="str">
        <f t="shared" si="1"/>
        <v>04-D-019</v>
      </c>
      <c r="B24" s="965" t="str">
        <f t="shared" ca="1" si="2"/>
        <v>Eindstand</v>
      </c>
      <c r="C24" s="712" t="s">
        <v>13</v>
      </c>
      <c r="D24" s="666" t="s">
        <v>873</v>
      </c>
    </row>
    <row r="25" spans="1:4" s="667" customFormat="1" x14ac:dyDescent="0.3">
      <c r="A25" s="681" t="str">
        <f t="shared" si="1"/>
        <v>04-D-020</v>
      </c>
      <c r="B25" s="964" t="str">
        <f t="shared" ca="1" si="2"/>
        <v>Alle tijden zijn Midden-Europese Tijd (UCT+1)</v>
      </c>
      <c r="C25" s="713" t="s">
        <v>173</v>
      </c>
      <c r="D25" s="667" t="s">
        <v>874</v>
      </c>
    </row>
    <row r="26" spans="1:4" s="666" customFormat="1" x14ac:dyDescent="0.3">
      <c r="A26" s="682" t="str">
        <f t="shared" si="1"/>
        <v>04-D-021</v>
      </c>
      <c r="B26" s="965" t="str">
        <f t="shared" ca="1" si="2"/>
        <v>Groep</v>
      </c>
      <c r="C26" s="712" t="s">
        <v>73</v>
      </c>
      <c r="D26" s="666" t="s">
        <v>875</v>
      </c>
    </row>
    <row r="27" spans="1:4" s="667" customFormat="1" x14ac:dyDescent="0.3">
      <c r="A27" s="681" t="str">
        <f t="shared" si="1"/>
        <v>04-D-022</v>
      </c>
      <c r="B27" s="964" t="str">
        <f t="shared" ca="1" si="2"/>
        <v>Achtste Finale</v>
      </c>
      <c r="C27" s="713" t="s">
        <v>881</v>
      </c>
      <c r="D27" s="667" t="s">
        <v>877</v>
      </c>
    </row>
    <row r="28" spans="1:4" s="666" customFormat="1" x14ac:dyDescent="0.3">
      <c r="A28" s="682" t="str">
        <f t="shared" si="1"/>
        <v>04-D-023</v>
      </c>
      <c r="B28" s="965" t="str">
        <f t="shared" ca="1" si="2"/>
        <v>Kwartfinale</v>
      </c>
      <c r="C28" s="712" t="s">
        <v>882</v>
      </c>
      <c r="D28" s="666" t="s">
        <v>878</v>
      </c>
    </row>
    <row r="29" spans="1:4" s="667" customFormat="1" x14ac:dyDescent="0.3">
      <c r="A29" s="681" t="str">
        <f t="shared" si="1"/>
        <v>04-D-024</v>
      </c>
      <c r="B29" s="964" t="str">
        <f t="shared" ca="1" si="2"/>
        <v>Halve finale</v>
      </c>
      <c r="C29" s="713" t="s">
        <v>883</v>
      </c>
      <c r="D29" s="667" t="s">
        <v>879</v>
      </c>
    </row>
    <row r="30" spans="1:4" s="666" customFormat="1" x14ac:dyDescent="0.3">
      <c r="A30" s="682" t="str">
        <f t="shared" si="1"/>
        <v>04-D-025</v>
      </c>
      <c r="B30" s="965" t="str">
        <f t="shared" ca="1" si="2"/>
        <v>Troostfinale</v>
      </c>
      <c r="C30" s="712" t="s">
        <v>171</v>
      </c>
      <c r="D30" s="666" t="s">
        <v>880</v>
      </c>
    </row>
    <row r="31" spans="1:4" s="667" customFormat="1" x14ac:dyDescent="0.3">
      <c r="A31" s="681" t="str">
        <f t="shared" si="1"/>
        <v>04-D-026</v>
      </c>
      <c r="B31" s="964" t="str">
        <f t="shared" ca="1" si="2"/>
        <v>Finale</v>
      </c>
      <c r="C31" s="713" t="s">
        <v>21</v>
      </c>
      <c r="D31" s="667" t="s">
        <v>876</v>
      </c>
    </row>
    <row r="32" spans="1:4" s="666" customFormat="1" x14ac:dyDescent="0.3">
      <c r="A32" s="682" t="str">
        <f t="shared" si="1"/>
        <v>04-D-027</v>
      </c>
      <c r="B32" s="965" t="str">
        <f t="shared" ca="1" si="2"/>
        <v>Winnaar EK2020</v>
      </c>
      <c r="C32" s="712" t="s">
        <v>1003</v>
      </c>
      <c r="D32" s="666" t="s">
        <v>1004</v>
      </c>
    </row>
    <row r="33" spans="1:4" s="667" customFormat="1" x14ac:dyDescent="0.3">
      <c r="A33" s="681" t="str">
        <f t="shared" si="1"/>
        <v>04-D-028</v>
      </c>
      <c r="B33" s="964" t="str">
        <f t="shared" ca="1" si="2"/>
        <v>1 winst voor de thuisploeg, 2 winst voor de uitploeg, 3 gelijkspel</v>
      </c>
      <c r="C33" s="713" t="s">
        <v>274</v>
      </c>
      <c r="D33" s="667" t="s">
        <v>884</v>
      </c>
    </row>
    <row r="34" spans="1:4" s="666" customFormat="1" x14ac:dyDescent="0.3">
      <c r="A34" s="682" t="str">
        <f t="shared" si="1"/>
        <v>04-D-029</v>
      </c>
      <c r="B34" s="965" t="str">
        <f t="shared" ca="1" si="2"/>
        <v>suggesties altijd weergeven</v>
      </c>
      <c r="C34" s="712" t="s">
        <v>181</v>
      </c>
      <c r="D34" s="666" t="s">
        <v>1149</v>
      </c>
    </row>
    <row r="35" spans="1:4" s="667" customFormat="1" x14ac:dyDescent="0.3">
      <c r="A35" s="681" t="str">
        <f t="shared" si="1"/>
        <v>04-D-030</v>
      </c>
      <c r="B35" s="964" t="str">
        <f t="shared" ca="1" si="2"/>
        <v>suggesties verbergen na keuze</v>
      </c>
      <c r="C35" s="713" t="s">
        <v>180</v>
      </c>
      <c r="D35" s="667" t="s">
        <v>895</v>
      </c>
    </row>
    <row r="36" spans="1:4" s="666" customFormat="1" x14ac:dyDescent="0.3">
      <c r="A36" s="682" t="str">
        <f t="shared" si="1"/>
        <v>04-D-031</v>
      </c>
      <c r="B36" s="965" t="str">
        <f t="shared" ca="1" si="2"/>
        <v>suggesties niet weergeven</v>
      </c>
      <c r="C36" s="712" t="s">
        <v>894</v>
      </c>
      <c r="D36" s="666" t="s">
        <v>1148</v>
      </c>
    </row>
    <row r="37" spans="1:4" s="667" customFormat="1" x14ac:dyDescent="0.3">
      <c r="A37" s="668" t="str">
        <f t="shared" si="1"/>
        <v>04-D-032</v>
      </c>
      <c r="B37" s="959"/>
      <c r="C37" s="713"/>
    </row>
    <row r="38" spans="1:4" s="666" customFormat="1" x14ac:dyDescent="0.3">
      <c r="A38" s="671" t="str">
        <f t="shared" si="1"/>
        <v>04-D-033</v>
      </c>
      <c r="B38" s="963"/>
      <c r="C38" s="712"/>
    </row>
    <row r="39" spans="1:4" s="667" customFormat="1" x14ac:dyDescent="0.3">
      <c r="A39" s="668" t="str">
        <f t="shared" si="1"/>
        <v>04-D-034</v>
      </c>
      <c r="B39" s="959"/>
      <c r="C39" s="713"/>
    </row>
    <row r="40" spans="1:4" s="666" customFormat="1" x14ac:dyDescent="0.3">
      <c r="A40" s="671" t="str">
        <f t="shared" si="1"/>
        <v>04-D-035</v>
      </c>
      <c r="B40" s="963"/>
      <c r="C40" s="712"/>
    </row>
    <row r="41" spans="1:4" s="667" customFormat="1" x14ac:dyDescent="0.3">
      <c r="A41" s="681" t="str">
        <f t="shared" si="1"/>
        <v>04-D-036</v>
      </c>
      <c r="B41" s="964" t="str">
        <f t="shared" ref="B41:B62" ca="1" si="3">TRIM(INDIRECT(CHAR(64+$C$2)&amp;ROW()))</f>
        <v>Toelichting bij het Invullen</v>
      </c>
      <c r="C41" s="713" t="s">
        <v>187</v>
      </c>
      <c r="D41" s="667" t="s">
        <v>862</v>
      </c>
    </row>
    <row r="42" spans="1:4" s="666" customFormat="1" x14ac:dyDescent="0.3">
      <c r="A42" s="682" t="str">
        <f t="shared" si="1"/>
        <v>04-D-037</v>
      </c>
      <c r="B42" s="963" t="str">
        <f t="shared" ca="1" si="3"/>
        <v>Het is niet mogelijk om uitslagen te voorspellen waarin één land meer dan 9 doelpunten maakt. Wanneer een land toch meer dan 9 doelpunten maakt tijdens één wedstrijd zal bij de uitslag 9 doelpunten genoteerd worden.</v>
      </c>
      <c r="C42" s="712" t="str">
        <f>Taal03!C23</f>
        <v>Het is niet mogelijk om uitslagen te voorspellen waarin één land meer dan 9 doelpunten maakt. Wanneer een land toch meer dan 9 doelpunten maakt tijdens één wedstrijd zal bij de uitslag 9 doelpunten genoteerd worden.</v>
      </c>
      <c r="D42" s="712" t="str">
        <f>Taal03!D23</f>
        <v>It is not possible to predict results in which one team will score more than 9 goals. If a team scores more than 9 goals during one match, 9 goals will be noted for the result.</v>
      </c>
    </row>
    <row r="43" spans="1:4" s="667" customFormat="1" x14ac:dyDescent="0.3">
      <c r="A43" s="681" t="str">
        <f t="shared" si="1"/>
        <v>04-D-038</v>
      </c>
      <c r="B43" s="964" t="str">
        <f t="shared" ca="1" si="3"/>
        <v>Voor het voorspellen van de TOTO vult men een 1 in wanneer men denkt dat de thuisploeg zal winnen, een 2 als men denkt dat de uitploeg zal winnen en wanneer men een gelijkspel verwacht vult men een 3 in.</v>
      </c>
      <c r="C43" s="713" t="str">
        <f>Taal03!C24</f>
        <v>Voor het voorspellen van de TOTO vult men een 1 in wanneer men denkt dat de thuisploeg zal winnen, een 2 als men denkt dat de uitploeg zal winnen en wanneer men een gelijkspel verwacht vult men een 3 in.</v>
      </c>
      <c r="D43" s="713" t="str">
        <f>Taal03!D24</f>
        <v>For predicting the TOTO, enter a 1 when you think the home team will win, a 2 if you think the away team will win and when you expect a draw, you enter a 3.</v>
      </c>
    </row>
    <row r="44" spans="1:4" s="666" customFormat="1" x14ac:dyDescent="0.3">
      <c r="A44" s="682" t="str">
        <f t="shared" si="1"/>
        <v>04-D-039</v>
      </c>
      <c r="B44" s="963" t="str">
        <f t="shared" ca="1" si="3"/>
        <v>De achtergrondkleur van de in te vullen velden geeft de status van het veld aan. Deze status correspondeert met de tabel hier rechts.</v>
      </c>
      <c r="C44" s="712" t="s">
        <v>863</v>
      </c>
      <c r="D44" s="666" t="s">
        <v>864</v>
      </c>
    </row>
    <row r="45" spans="1:4" s="667" customFormat="1" x14ac:dyDescent="0.3">
      <c r="A45" s="681" t="str">
        <f t="shared" si="1"/>
        <v>04-D-040</v>
      </c>
      <c r="B45" s="964" t="str">
        <f t="shared" ca="1" si="3"/>
        <v>Goed ingevuld</v>
      </c>
      <c r="C45" s="713" t="s">
        <v>28</v>
      </c>
      <c r="D45" s="667" t="s">
        <v>865</v>
      </c>
    </row>
    <row r="46" spans="1:4" s="666" customFormat="1" x14ac:dyDescent="0.3">
      <c r="A46" s="682" t="str">
        <f t="shared" si="1"/>
        <v>04-D-041</v>
      </c>
      <c r="B46" s="963" t="str">
        <f t="shared" ca="1" si="3"/>
        <v>Niet ingevuld</v>
      </c>
      <c r="C46" s="712" t="s">
        <v>79</v>
      </c>
      <c r="D46" s="666" t="s">
        <v>866</v>
      </c>
    </row>
    <row r="47" spans="1:4" s="667" customFormat="1" x14ac:dyDescent="0.3">
      <c r="A47" s="681" t="str">
        <f t="shared" si="1"/>
        <v>04-D-042</v>
      </c>
      <c r="B47" s="964" t="str">
        <f t="shared" ca="1" si="3"/>
        <v>Fout ingevuld</v>
      </c>
      <c r="C47" s="713" t="s">
        <v>88</v>
      </c>
      <c r="D47" s="667" t="s">
        <v>867</v>
      </c>
    </row>
    <row r="48" spans="1:4" s="666" customFormat="1" x14ac:dyDescent="0.3">
      <c r="A48" s="671" t="str">
        <f t="shared" si="1"/>
        <v>04-D-043</v>
      </c>
      <c r="B48" s="963" t="str">
        <f t="shared" ca="1" si="3"/>
        <v/>
      </c>
      <c r="C48" s="712"/>
    </row>
    <row r="49" spans="1:4" s="667" customFormat="1" x14ac:dyDescent="0.3">
      <c r="A49" s="681" t="str">
        <f t="shared" si="1"/>
        <v>04-D-044</v>
      </c>
      <c r="B49" s="964" t="str">
        <f t="shared" ca="1" si="3"/>
        <v>De Groepswedstrijden - Groep A t/m F</v>
      </c>
      <c r="C49" s="713" t="s">
        <v>868</v>
      </c>
      <c r="D49" s="667" t="s">
        <v>885</v>
      </c>
    </row>
    <row r="50" spans="1:4" s="666" customFormat="1" x14ac:dyDescent="0.3">
      <c r="A50" s="682" t="str">
        <f t="shared" si="1"/>
        <v>04-D-045</v>
      </c>
      <c r="B50" s="963" t="str">
        <f t="shared" ca="1" si="3"/>
        <v>Voorspel de uitslag van de groepswedstrijden en vul deze in op dit blad.</v>
      </c>
      <c r="C50" s="712" t="s">
        <v>890</v>
      </c>
      <c r="D50" s="666" t="s">
        <v>889</v>
      </c>
    </row>
    <row r="51" spans="1:4" s="667" customFormat="1" x14ac:dyDescent="0.3">
      <c r="A51" s="681" t="str">
        <f t="shared" si="1"/>
        <v>04-D-046</v>
      </c>
      <c r="B51" s="964" t="str">
        <f t="shared" ca="1" si="3"/>
        <v>Voorspel welk team de wedstrijd wint of een gelijkspel en vul dit in op dit blad.</v>
      </c>
      <c r="C51" s="713" t="s">
        <v>869</v>
      </c>
      <c r="D51" s="667" t="s">
        <v>886</v>
      </c>
    </row>
    <row r="52" spans="1:4" s="666" customFormat="1" x14ac:dyDescent="0.3">
      <c r="A52" s="671" t="str">
        <f t="shared" si="1"/>
        <v>04-D-047</v>
      </c>
      <c r="B52" s="963" t="str">
        <f t="shared" ca="1" si="3"/>
        <v/>
      </c>
      <c r="C52" s="712"/>
    </row>
    <row r="53" spans="1:4" s="667" customFormat="1" x14ac:dyDescent="0.3">
      <c r="A53" s="681" t="str">
        <f t="shared" si="1"/>
        <v>04-D-048</v>
      </c>
      <c r="B53" s="964" t="str">
        <f t="shared" ca="1" si="3"/>
        <v>Eindstand Groep A t/m F</v>
      </c>
      <c r="C53" s="713" t="s">
        <v>887</v>
      </c>
      <c r="D53" s="667" t="s">
        <v>982</v>
      </c>
    </row>
    <row r="54" spans="1:4" s="666" customFormat="1" x14ac:dyDescent="0.3">
      <c r="A54" s="682" t="str">
        <f t="shared" si="1"/>
        <v>04-D-049</v>
      </c>
      <c r="B54" s="963" t="str">
        <f t="shared" ca="1" si="3"/>
        <v>Voorspel de eindstand van de verschillende groepen en vul deze in op dit blad.</v>
      </c>
      <c r="C54" s="712" t="s">
        <v>888</v>
      </c>
      <c r="D54" s="666" t="s">
        <v>983</v>
      </c>
    </row>
    <row r="55" spans="1:4" s="667" customFormat="1" x14ac:dyDescent="0.3">
      <c r="A55" s="681" t="str">
        <f t="shared" si="1"/>
        <v>04-D-050</v>
      </c>
      <c r="B55" s="964" t="str">
        <f t="shared" ca="1" si="3"/>
        <v>Elk land mag maar één keer ingevuld worden bij het voorspellen van de eindstand in de groep.</v>
      </c>
      <c r="C55" s="713" t="s">
        <v>228</v>
      </c>
      <c r="D55" s="667" t="s">
        <v>891</v>
      </c>
    </row>
    <row r="56" spans="1:4" s="666" customFormat="1" x14ac:dyDescent="0.3">
      <c r="A56" s="682" t="str">
        <f t="shared" si="1"/>
        <v>04-D-051</v>
      </c>
      <c r="B56" s="963" t="str">
        <f t="shared" ca="1" si="3"/>
        <v>Indeling van de groepen</v>
      </c>
      <c r="C56" s="712" t="s">
        <v>892</v>
      </c>
      <c r="D56" s="666" t="s">
        <v>984</v>
      </c>
    </row>
    <row r="57" spans="1:4" s="667" customFormat="1" x14ac:dyDescent="0.3">
      <c r="A57" s="681" t="str">
        <f t="shared" si="1"/>
        <v>04-D-052</v>
      </c>
      <c r="B57" s="964" t="str">
        <f t="shared" ca="1" si="3"/>
        <v>Om u op weg te helpen kan op basis van voorgaande voorspellingen, mits volledig ingevuld, u een suggestie gegeven worden. U bent niet verplicht deze suggestie op te volgen.</v>
      </c>
      <c r="C57" s="952" t="s">
        <v>1200</v>
      </c>
      <c r="D57" s="701" t="s">
        <v>893</v>
      </c>
    </row>
    <row r="58" spans="1:4" s="666" customFormat="1" x14ac:dyDescent="0.3">
      <c r="A58" s="682" t="str">
        <f t="shared" si="1"/>
        <v>04-D-053</v>
      </c>
      <c r="B58" s="963" t="str">
        <f t="shared" ca="1" si="3"/>
        <v>Eindstand in de groep op basis van eerdere voorspellingen</v>
      </c>
      <c r="C58" s="712" t="s">
        <v>943</v>
      </c>
      <c r="D58" s="666" t="s">
        <v>985</v>
      </c>
    </row>
    <row r="59" spans="1:4" s="667" customFormat="1" x14ac:dyDescent="0.3">
      <c r="A59" s="681" t="str">
        <f t="shared" si="1"/>
        <v>04-D-054</v>
      </c>
      <c r="B59" s="964" t="str">
        <f t="shared" ca="1" si="3"/>
        <v>Punten</v>
      </c>
      <c r="C59" s="713" t="s">
        <v>99</v>
      </c>
      <c r="D59" s="667" t="s">
        <v>695</v>
      </c>
    </row>
    <row r="60" spans="1:4" s="666" customFormat="1" x14ac:dyDescent="0.3">
      <c r="A60" s="682" t="str">
        <f t="shared" si="1"/>
        <v>04-D-055</v>
      </c>
      <c r="B60" s="963" t="str">
        <f t="shared" ca="1" si="3"/>
        <v>Doelpunten voor</v>
      </c>
      <c r="C60" s="712" t="s">
        <v>80</v>
      </c>
      <c r="D60" s="666" t="s">
        <v>944</v>
      </c>
    </row>
    <row r="61" spans="1:4" s="667" customFormat="1" x14ac:dyDescent="0.3">
      <c r="A61" s="681" t="str">
        <f t="shared" si="1"/>
        <v>04-D-056</v>
      </c>
      <c r="B61" s="964" t="str">
        <f t="shared" ca="1" si="3"/>
        <v>Doelpunten tegen</v>
      </c>
      <c r="C61" s="713" t="s">
        <v>81</v>
      </c>
      <c r="D61" s="667" t="s">
        <v>945</v>
      </c>
    </row>
    <row r="62" spans="1:4" s="666" customFormat="1" x14ac:dyDescent="0.3">
      <c r="A62" s="682" t="str">
        <f t="shared" si="1"/>
        <v>04-D-057</v>
      </c>
      <c r="B62" s="963" t="str">
        <f t="shared" ca="1" si="3"/>
        <v>LET OP: niet alle wedstrijden in groep # zijn ingevuld.</v>
      </c>
      <c r="C62" s="712" t="s">
        <v>946</v>
      </c>
      <c r="D62" s="666" t="s">
        <v>947</v>
      </c>
    </row>
    <row r="63" spans="1:4" s="667" customFormat="1" x14ac:dyDescent="0.3">
      <c r="A63" s="668" t="str">
        <f t="shared" si="1"/>
        <v>04-D-058</v>
      </c>
      <c r="B63" s="964"/>
      <c r="C63" s="713"/>
    </row>
    <row r="64" spans="1:4" s="666" customFormat="1" x14ac:dyDescent="0.3">
      <c r="A64" s="682" t="str">
        <f t="shared" si="1"/>
        <v>04-D-059</v>
      </c>
      <c r="B64" s="963" t="str">
        <f t="shared" ref="B64:B78" ca="1" si="4">TRIM(INDIRECT(CHAR(64+$C$2)&amp;ROW()))</f>
        <v>De Finalewedstrijden</v>
      </c>
      <c r="C64" s="712" t="s">
        <v>70</v>
      </c>
      <c r="D64" s="666" t="s">
        <v>964</v>
      </c>
    </row>
    <row r="65" spans="1:4" s="667" customFormat="1" x14ac:dyDescent="0.3">
      <c r="A65" s="681" t="str">
        <f t="shared" si="1"/>
        <v>04-D-060</v>
      </c>
      <c r="B65" s="964" t="str">
        <f t="shared" ca="1" si="4"/>
        <v>Voorspel de landen en de uitslag van de Finalewedstrijden en vul deze in op dit blad.</v>
      </c>
      <c r="C65" s="713" t="s">
        <v>975</v>
      </c>
      <c r="D65" s="667" t="s">
        <v>980</v>
      </c>
    </row>
    <row r="66" spans="1:4" s="666" customFormat="1" x14ac:dyDescent="0.3">
      <c r="A66" s="682" t="str">
        <f t="shared" si="1"/>
        <v>04-D-061</v>
      </c>
      <c r="B66" s="963" t="str">
        <f t="shared" ca="1" si="4"/>
        <v>Voorspel de landen en welk team de wedstrijd wint of een gelijkspel en vul dit in op dit blad.</v>
      </c>
      <c r="C66" s="712" t="s">
        <v>976</v>
      </c>
      <c r="D66" s="666" t="s">
        <v>978</v>
      </c>
    </row>
    <row r="67" spans="1:4" s="667" customFormat="1" x14ac:dyDescent="0.3">
      <c r="A67" s="681" t="str">
        <f t="shared" si="1"/>
        <v>04-D-062</v>
      </c>
      <c r="B67" s="964" t="str">
        <f t="shared" ca="1" si="4"/>
        <v>Voorspel de landen in de Finalewedstrijden en vul deze in op dit blad.</v>
      </c>
      <c r="C67" s="713" t="s">
        <v>977</v>
      </c>
      <c r="D67" s="667" t="s">
        <v>979</v>
      </c>
    </row>
    <row r="68" spans="1:4" s="703" customFormat="1" x14ac:dyDescent="0.3">
      <c r="A68" s="682" t="str">
        <f t="shared" si="1"/>
        <v>04-D-063</v>
      </c>
      <c r="B68" s="963" t="str">
        <f t="shared" ca="1" si="4"/>
        <v>Het is niet toegestaan een land meerdere keren in te vullen in dezelfde speelronde.</v>
      </c>
      <c r="C68" s="712" t="s">
        <v>1059</v>
      </c>
      <c r="D68" s="712" t="s">
        <v>1060</v>
      </c>
    </row>
    <row r="69" spans="1:4" s="667" customFormat="1" x14ac:dyDescent="0.3">
      <c r="A69" s="681" t="str">
        <f t="shared" si="1"/>
        <v>04-D-064</v>
      </c>
      <c r="B69" s="964" t="str">
        <f t="shared" ca="1" si="4"/>
        <v>Om u op weg te helpen kan op basis van voorgaande voorspellingen, mits volledig ingevuld, u een suggestie gegeven worden. U bent niet verplicht deze suggestie op te volgen. Voor de achste finales wordt de voorspelde eindstand van de groepen gebruikt.</v>
      </c>
      <c r="C69" s="713" t="s">
        <v>1199</v>
      </c>
      <c r="D69" s="667" t="s">
        <v>1147</v>
      </c>
    </row>
    <row r="70" spans="1:4" s="666" customFormat="1" x14ac:dyDescent="0.3">
      <c r="A70" s="682" t="str">
        <f t="shared" si="1"/>
        <v>04-D-065</v>
      </c>
      <c r="B70" s="963" t="str">
        <f t="shared" ca="1" si="4"/>
        <v>Om u op weg te helpen kan op basis van voorgaande voorspellingen, mits volledig ingevuld, u een suggestie gegeven worden. U bent niet verplicht deze suggestie op te volgen.</v>
      </c>
      <c r="C70" s="712" t="s">
        <v>1200</v>
      </c>
      <c r="D70" s="666" t="s">
        <v>1146</v>
      </c>
    </row>
    <row r="71" spans="1:4" s="667" customFormat="1" x14ac:dyDescent="0.3">
      <c r="A71" s="681" t="str">
        <f t="shared" si="1"/>
        <v>04-D-066</v>
      </c>
      <c r="B71" s="964" t="str">
        <f t="shared" ca="1" si="4"/>
        <v>Via onderstaande link kunt u de criteria vinden voor het bepalen van de 4 beste nummers 3 in de groepsfase.</v>
      </c>
      <c r="C71" s="713" t="s">
        <v>990</v>
      </c>
      <c r="D71" s="667" t="s">
        <v>991</v>
      </c>
    </row>
    <row r="72" spans="1:4" s="666" customFormat="1" x14ac:dyDescent="0.3">
      <c r="A72" s="682" t="str">
        <f t="shared" si="1"/>
        <v>04-D-067</v>
      </c>
      <c r="B72" s="963" t="str">
        <f t="shared" ca="1" si="4"/>
        <v>Tevens vind u hier ook de verdeelsleutel voor het bepalen welk team in welke achtste finale speelt.</v>
      </c>
      <c r="C72" s="712" t="s">
        <v>440</v>
      </c>
      <c r="D72" s="666" t="s">
        <v>992</v>
      </c>
    </row>
    <row r="73" spans="1:4" s="667" customFormat="1" x14ac:dyDescent="0.3">
      <c r="A73" s="681" t="str">
        <f t="shared" si="1"/>
        <v>04-D-068</v>
      </c>
      <c r="B73" s="964" t="str">
        <f t="shared" ca="1" si="4"/>
        <v>www.excel-pool.nl/4beste3</v>
      </c>
      <c r="C73" s="713" t="s">
        <v>438</v>
      </c>
      <c r="D73" s="667" t="s">
        <v>989</v>
      </c>
    </row>
    <row r="74" spans="1:4" s="666" customFormat="1" x14ac:dyDescent="0.3">
      <c r="A74" s="682" t="str">
        <f t="shared" si="1"/>
        <v>04-D-069</v>
      </c>
      <c r="B74" s="963" t="str">
        <f t="shared" ca="1" si="4"/>
        <v>Nr.1 Groep</v>
      </c>
      <c r="C74" s="712" t="s">
        <v>993</v>
      </c>
      <c r="D74" s="666" t="s">
        <v>996</v>
      </c>
    </row>
    <row r="75" spans="1:4" s="667" customFormat="1" x14ac:dyDescent="0.3">
      <c r="A75" s="681" t="str">
        <f t="shared" si="1"/>
        <v>04-D-070</v>
      </c>
      <c r="B75" s="964" t="str">
        <f t="shared" ca="1" si="4"/>
        <v>Nr.2 Groep</v>
      </c>
      <c r="C75" s="713" t="s">
        <v>995</v>
      </c>
      <c r="D75" s="667" t="s">
        <v>997</v>
      </c>
    </row>
    <row r="76" spans="1:4" s="666" customFormat="1" x14ac:dyDescent="0.3">
      <c r="A76" s="682" t="str">
        <f t="shared" si="1"/>
        <v>04-D-071</v>
      </c>
      <c r="B76" s="963" t="str">
        <f t="shared" ca="1" si="4"/>
        <v>Nr.3 Groep</v>
      </c>
      <c r="C76" s="712" t="s">
        <v>994</v>
      </c>
      <c r="D76" s="666" t="s">
        <v>998</v>
      </c>
    </row>
    <row r="77" spans="1:4" s="667" customFormat="1" x14ac:dyDescent="0.3">
      <c r="A77" s="681" t="str">
        <f t="shared" si="1"/>
        <v>04-D-072</v>
      </c>
      <c r="B77" s="964" t="str">
        <f t="shared" ca="1" si="4"/>
        <v>Win. Wedstrijd</v>
      </c>
      <c r="C77" s="713" t="s">
        <v>999</v>
      </c>
      <c r="D77" s="667" t="s">
        <v>1001</v>
      </c>
    </row>
    <row r="78" spans="1:4" s="666" customFormat="1" x14ac:dyDescent="0.3">
      <c r="A78" s="682" t="str">
        <f t="shared" si="1"/>
        <v>04-D-073</v>
      </c>
      <c r="B78" s="963" t="str">
        <f t="shared" ca="1" si="4"/>
        <v>Verl. Wedstrijd</v>
      </c>
      <c r="C78" s="712" t="s">
        <v>1000</v>
      </c>
      <c r="D78" s="666" t="s">
        <v>1002</v>
      </c>
    </row>
    <row r="79" spans="1:4" s="667" customFormat="1" x14ac:dyDescent="0.3">
      <c r="A79" s="668" t="str">
        <f t="shared" si="1"/>
        <v>04-D-074</v>
      </c>
      <c r="B79" s="964"/>
      <c r="C79" s="713"/>
    </row>
    <row r="80" spans="1:4" s="666" customFormat="1" x14ac:dyDescent="0.3">
      <c r="A80" s="682" t="str">
        <f t="shared" si="1"/>
        <v>04-D-075</v>
      </c>
      <c r="B80" s="963" t="str">
        <f ca="1">TRIM(INDIRECT(CHAR(64+$C$2)&amp;ROW()))</f>
        <v>Om u op weg te helpen kan op basis van voorgaande voorspellingen, mits volledig ingevuld, u een suggestie gegeven worden.</v>
      </c>
      <c r="C80" s="712" t="s">
        <v>1198</v>
      </c>
      <c r="D80" s="666" t="s">
        <v>1197</v>
      </c>
    </row>
    <row r="81" spans="1:4" s="667" customFormat="1" x14ac:dyDescent="0.3">
      <c r="A81" s="668" t="str">
        <f t="shared" si="1"/>
        <v>04-D-076</v>
      </c>
      <c r="B81" s="964"/>
      <c r="C81" s="713"/>
    </row>
    <row r="82" spans="1:4" s="666" customFormat="1" x14ac:dyDescent="0.3">
      <c r="A82" s="682" t="str">
        <f t="shared" si="1"/>
        <v>04-D-077</v>
      </c>
      <c r="B82" s="963" t="str">
        <f t="shared" ref="B82:B122" ca="1" si="5">TRIM(INDIRECT(CHAR(64+$C$2)&amp;ROW()))</f>
        <v>De Openvragen</v>
      </c>
      <c r="C82" s="712" t="s">
        <v>297</v>
      </c>
      <c r="D82" s="666" t="s">
        <v>1065</v>
      </c>
    </row>
    <row r="83" spans="1:4" s="667" customFormat="1" x14ac:dyDescent="0.3">
      <c r="A83" s="681" t="str">
        <f t="shared" si="1"/>
        <v>04-D-078</v>
      </c>
      <c r="B83" s="964" t="str">
        <f t="shared" ca="1" si="5"/>
        <v>Voor elk goed beantwoorde openvraag ontvangt u ## punt.</v>
      </c>
      <c r="C83" s="713" t="s">
        <v>1151</v>
      </c>
      <c r="D83" s="667" t="s">
        <v>1067</v>
      </c>
    </row>
    <row r="84" spans="1:4" s="666" customFormat="1" x14ac:dyDescent="0.3">
      <c r="A84" s="682" t="str">
        <f t="shared" si="1"/>
        <v>04-D-079</v>
      </c>
      <c r="B84" s="963" t="str">
        <f t="shared" ca="1" si="5"/>
        <v>Voor elk goed beantwoorde openvraag ontvangt u ## punten.</v>
      </c>
      <c r="C84" s="712" t="s">
        <v>1152</v>
      </c>
      <c r="D84" s="666" t="s">
        <v>1068</v>
      </c>
    </row>
    <row r="85" spans="1:4" s="667" customFormat="1" x14ac:dyDescent="0.3">
      <c r="A85" s="681" t="str">
        <f t="shared" si="1"/>
        <v>04-D-080</v>
      </c>
      <c r="B85" s="964" t="str">
        <f t="shared" ca="1" si="5"/>
        <v>Voorspel de topscorer van het toernooi</v>
      </c>
      <c r="C85" s="713" t="s">
        <v>1069</v>
      </c>
      <c r="D85" s="667" t="s">
        <v>1072</v>
      </c>
    </row>
    <row r="86" spans="1:4" s="666" customFormat="1" x14ac:dyDescent="0.3">
      <c r="A86" s="682" t="str">
        <f t="shared" si="1"/>
        <v>04-D-081</v>
      </c>
      <c r="B86" s="963" t="str">
        <f t="shared" ca="1" si="5"/>
        <v>Voorspel een ​​speler die een eigen doelpunt scoort</v>
      </c>
      <c r="C86" s="712" t="s">
        <v>1070</v>
      </c>
      <c r="D86" s="666" t="s">
        <v>1073</v>
      </c>
    </row>
    <row r="87" spans="1:4" s="667" customFormat="1" x14ac:dyDescent="0.3">
      <c r="A87" s="681" t="str">
        <f t="shared" si="1"/>
        <v>04-D-082</v>
      </c>
      <c r="B87" s="964" t="str">
        <f t="shared" ca="1" si="5"/>
        <v>Voorspel een ​​speler die een rode kaart ontvangt</v>
      </c>
      <c r="C87" s="713" t="s">
        <v>1071</v>
      </c>
      <c r="D87" s="667" t="s">
        <v>1074</v>
      </c>
    </row>
    <row r="88" spans="1:4" s="666" customFormat="1" x14ac:dyDescent="0.3">
      <c r="A88" s="682" t="str">
        <f t="shared" si="1"/>
        <v>04-D-083</v>
      </c>
      <c r="B88" s="963" t="str">
        <f t="shared" ca="1" si="5"/>
        <v>Voorspel de topscorer van het Nationale elftal</v>
      </c>
      <c r="C88" s="712" t="s">
        <v>1076</v>
      </c>
      <c r="D88" s="666" t="s">
        <v>1075</v>
      </c>
    </row>
    <row r="89" spans="1:4" s="667" customFormat="1" x14ac:dyDescent="0.3">
      <c r="A89" s="681" t="str">
        <f t="shared" si="1"/>
        <v>04-D-084</v>
      </c>
      <c r="B89" s="964" t="str">
        <f t="shared" ca="1" si="5"/>
        <v>Voorspel de topscorer van het</v>
      </c>
      <c r="C89" s="713" t="s">
        <v>1077</v>
      </c>
      <c r="D89" s="667" t="s">
        <v>1078</v>
      </c>
    </row>
    <row r="90" spans="1:4" s="666" customFormat="1" x14ac:dyDescent="0.3">
      <c r="A90" s="682" t="str">
        <f t="shared" si="1"/>
        <v>04-D-085</v>
      </c>
      <c r="B90" s="963" t="str">
        <f t="shared" ca="1" si="5"/>
        <v>Voorspel het elftal met de meeste doelpunten</v>
      </c>
      <c r="C90" s="712" t="s">
        <v>1080</v>
      </c>
      <c r="D90" s="666" t="s">
        <v>1424</v>
      </c>
    </row>
    <row r="91" spans="1:4" s="667" customFormat="1" x14ac:dyDescent="0.3">
      <c r="A91" s="681" t="str">
        <f t="shared" si="1"/>
        <v>04-D-086</v>
      </c>
      <c r="B91" s="964" t="str">
        <f t="shared" ca="1" si="5"/>
        <v>Voorspel het elftal met de meeste doelpunten tegen</v>
      </c>
      <c r="C91" s="713" t="s">
        <v>1082</v>
      </c>
      <c r="D91" s="667" t="s">
        <v>1079</v>
      </c>
    </row>
    <row r="92" spans="1:4" s="666" customFormat="1" x14ac:dyDescent="0.3">
      <c r="A92" s="682" t="str">
        <f t="shared" si="1"/>
        <v>04-D-087</v>
      </c>
      <c r="B92" s="963" t="str">
        <f t="shared" ca="1" si="5"/>
        <v>Voorspel het elftal met de meeste rode en gele kaarten</v>
      </c>
      <c r="C92" s="712" t="s">
        <v>1081</v>
      </c>
      <c r="D92" s="666" t="s">
        <v>1083</v>
      </c>
    </row>
    <row r="93" spans="1:4" s="667" customFormat="1" x14ac:dyDescent="0.3">
      <c r="A93" s="681" t="str">
        <f t="shared" si="1"/>
        <v>04-D-088</v>
      </c>
      <c r="B93" s="964" t="str">
        <f t="shared" ca="1" si="5"/>
        <v>afhankelijk van het reglement worden de doelpunten gescoord tijdens de verlenging wel of niet meegeteld.</v>
      </c>
      <c r="C93" s="713" t="s">
        <v>1062</v>
      </c>
      <c r="D93" s="667" t="s">
        <v>1084</v>
      </c>
    </row>
    <row r="94" spans="1:4" s="666" customFormat="1" ht="15" customHeight="1" x14ac:dyDescent="0.3">
      <c r="A94" s="682" t="str">
        <f t="shared" si="1"/>
        <v>04-D-089</v>
      </c>
      <c r="B94" s="963" t="str">
        <f t="shared" ca="1" si="5"/>
        <v>alleen de doelpunten gescoord gedurende de reguliere speeltijd inclusief blessuretijd worden meegeteld.</v>
      </c>
      <c r="C94" s="712" t="s">
        <v>1063</v>
      </c>
      <c r="D94" s="700" t="s">
        <v>1066</v>
      </c>
    </row>
    <row r="95" spans="1:4" s="667" customFormat="1" x14ac:dyDescent="0.3">
      <c r="A95" s="681" t="str">
        <f t="shared" si="1"/>
        <v>04-D-090</v>
      </c>
      <c r="B95" s="964" t="str">
        <f t="shared" ca="1" si="5"/>
        <v>alleen de doelpunten gescoord gedurende de reguliere speeltijd, blessuretijd en eventuele verlenging worden meegeteld.</v>
      </c>
      <c r="C95" s="713" t="s">
        <v>1064</v>
      </c>
      <c r="D95" s="667" t="s">
        <v>1085</v>
      </c>
    </row>
    <row r="96" spans="1:4" s="666" customFormat="1" x14ac:dyDescent="0.3">
      <c r="A96" s="682" t="str">
        <f t="shared" si="1"/>
        <v>04-D-091</v>
      </c>
      <c r="B96" s="963" t="str">
        <f t="shared" ca="1" si="5"/>
        <v>één rode kaart wordt geteld als twee gele kaarten, bij indirect rood worden de gele kaarten niet meegeteld.</v>
      </c>
      <c r="C96" s="712" t="s">
        <v>1061</v>
      </c>
      <c r="D96" s="666" t="s">
        <v>1086</v>
      </c>
    </row>
    <row r="97" spans="1:4" s="667" customFormat="1" x14ac:dyDescent="0.3">
      <c r="A97" s="668" t="str">
        <f t="shared" si="1"/>
        <v>04-D-092</v>
      </c>
      <c r="B97" s="964" t="str">
        <f t="shared" ca="1" si="5"/>
        <v/>
      </c>
      <c r="C97" s="713"/>
    </row>
    <row r="98" spans="1:4" s="666" customFormat="1" x14ac:dyDescent="0.3">
      <c r="A98" s="682" t="str">
        <f t="shared" ref="A98:A161" si="6">LEFT(A97,5)&amp;RIGHT("000"&amp;RIGHT(A97,3)*1+1,3)</f>
        <v>04-D-093</v>
      </c>
      <c r="B98" s="963" t="str">
        <f t="shared" ca="1" si="5"/>
        <v>De Benaderingsvragen</v>
      </c>
      <c r="C98" s="712" t="s">
        <v>298</v>
      </c>
      <c r="D98" s="666" t="s">
        <v>1124</v>
      </c>
    </row>
    <row r="99" spans="1:4" s="667" customFormat="1" x14ac:dyDescent="0.3">
      <c r="A99" s="681" t="str">
        <f t="shared" si="6"/>
        <v>04-D-094</v>
      </c>
      <c r="B99" s="964" t="str">
        <f t="shared" ca="1" si="5"/>
        <v>Voor elk goed beantwoorde benaderingsvraag ontvangt u ## punt.</v>
      </c>
      <c r="C99" s="713" t="s">
        <v>1153</v>
      </c>
      <c r="D99" s="667" t="s">
        <v>1130</v>
      </c>
    </row>
    <row r="100" spans="1:4" s="666" customFormat="1" x14ac:dyDescent="0.3">
      <c r="A100" s="682" t="str">
        <f t="shared" si="6"/>
        <v>04-D-095</v>
      </c>
      <c r="B100" s="963" t="str">
        <f t="shared" ca="1" si="5"/>
        <v>Voor elk goed beantwoorde benaderingsvraag ontvangt u ## punten.</v>
      </c>
      <c r="C100" s="712" t="s">
        <v>1154</v>
      </c>
      <c r="D100" s="666" t="s">
        <v>1125</v>
      </c>
    </row>
    <row r="101" spans="1:4" s="667" customFormat="1" x14ac:dyDescent="0.3">
      <c r="A101" s="681" t="str">
        <f t="shared" si="6"/>
        <v>04-D-096</v>
      </c>
      <c r="B101" s="964" t="str">
        <f t="shared" ca="1" si="5"/>
        <v>Voor elk punt dat de voorspelling afwijkt van de uitkomst $$ punt aftrek tot een maximum van ## punten per benaderingsvraag. Standaard ontvangt men voor elke benaderingsvraag ## punten.</v>
      </c>
      <c r="C101" s="713" t="s">
        <v>1418</v>
      </c>
      <c r="D101" s="667" t="s">
        <v>1132</v>
      </c>
    </row>
    <row r="102" spans="1:4" s="666" customFormat="1" x14ac:dyDescent="0.3">
      <c r="A102" s="682" t="str">
        <f t="shared" si="6"/>
        <v>04-D-097</v>
      </c>
      <c r="B102" s="963" t="str">
        <f t="shared" ca="1" si="5"/>
        <v>Voor elk punt dat de voorspelling afwijkt van de uitkomst $$ punten aftrek tot een maximum van ## punten per benaderingsvraag. Standaard ontvangt men voor elke benaderingsvraag ## punten.</v>
      </c>
      <c r="C102" s="712" t="s">
        <v>1419</v>
      </c>
      <c r="D102" s="666" t="s">
        <v>1131</v>
      </c>
    </row>
    <row r="103" spans="1:4" s="667" customFormat="1" x14ac:dyDescent="0.3">
      <c r="A103" s="681" t="str">
        <f t="shared" si="6"/>
        <v>04-D-098</v>
      </c>
      <c r="B103" s="964" t="str">
        <f t="shared" ca="1" si="5"/>
        <v>Per benaderingsvraag wordt de voorspelling die het dichtst bij de uitkomst ligt beloond met ## punt.</v>
      </c>
      <c r="C103" s="713" t="s">
        <v>1420</v>
      </c>
      <c r="D103" s="667" t="s">
        <v>1128</v>
      </c>
    </row>
    <row r="104" spans="1:4" s="666" customFormat="1" x14ac:dyDescent="0.3">
      <c r="A104" s="682" t="str">
        <f t="shared" si="6"/>
        <v>04-D-099</v>
      </c>
      <c r="B104" s="963" t="str">
        <f t="shared" ca="1" si="5"/>
        <v>Per benaderingsvraag wordt de voorspelling die het dichtst bij de uitkomst ligt beloond met ## punten.</v>
      </c>
      <c r="C104" s="712" t="s">
        <v>1421</v>
      </c>
      <c r="D104" s="666" t="s">
        <v>1126</v>
      </c>
    </row>
    <row r="105" spans="1:4" s="667" customFormat="1" x14ac:dyDescent="0.3">
      <c r="A105" s="681" t="str">
        <f t="shared" si="6"/>
        <v>04-D-100</v>
      </c>
      <c r="B105" s="964" t="str">
        <f t="shared" ca="1" si="5"/>
        <v>Per benaderingsvraag worden de $$ voorspellingen die het dichtst bij de uitkomst liggen beloond met ## punt.</v>
      </c>
      <c r="C105" s="713" t="s">
        <v>1422</v>
      </c>
      <c r="D105" s="667" t="s">
        <v>1129</v>
      </c>
    </row>
    <row r="106" spans="1:4" s="666" customFormat="1" x14ac:dyDescent="0.3">
      <c r="A106" s="682" t="str">
        <f t="shared" si="6"/>
        <v>04-D-101</v>
      </c>
      <c r="B106" s="963" t="str">
        <f t="shared" ca="1" si="5"/>
        <v>Per benaderingsvraag worden de $$ voorspellingen die het dichtst bij de uitkomst liggen beloond met ## punten.</v>
      </c>
      <c r="C106" s="712" t="s">
        <v>1423</v>
      </c>
      <c r="D106" s="666" t="s">
        <v>1127</v>
      </c>
    </row>
    <row r="107" spans="1:4" s="667" customFormat="1" x14ac:dyDescent="0.3">
      <c r="A107" s="681" t="str">
        <f t="shared" si="6"/>
        <v>04-D-102</v>
      </c>
      <c r="B107" s="964" t="str">
        <f t="shared" ca="1" si="5"/>
        <v>Totaal aantal gescoorde doelpunten tijdens het gehele toernooi</v>
      </c>
      <c r="C107" s="713" t="s">
        <v>1120</v>
      </c>
      <c r="D107" s="667" t="s">
        <v>1135</v>
      </c>
    </row>
    <row r="108" spans="1:4" s="666" customFormat="1" x14ac:dyDescent="0.3">
      <c r="A108" s="682" t="str">
        <f t="shared" si="6"/>
        <v>04-D-103</v>
      </c>
      <c r="B108" s="963" t="str">
        <f t="shared" ca="1" si="5"/>
        <v>Totaal aantal gegeven gele kaarten tijdens het gehele toernooi</v>
      </c>
      <c r="C108" s="712" t="s">
        <v>1117</v>
      </c>
      <c r="D108" s="666" t="s">
        <v>1133</v>
      </c>
    </row>
    <row r="109" spans="1:4" s="667" customFormat="1" x14ac:dyDescent="0.3">
      <c r="A109" s="681" t="str">
        <f t="shared" si="6"/>
        <v>04-D-104</v>
      </c>
      <c r="B109" s="964" t="str">
        <f t="shared" ca="1" si="5"/>
        <v>Totaal aantal gegeven rode kaarten tijdens het gehele toernooi</v>
      </c>
      <c r="C109" s="713" t="s">
        <v>1118</v>
      </c>
      <c r="D109" s="667" t="s">
        <v>1134</v>
      </c>
    </row>
    <row r="110" spans="1:4" s="666" customFormat="1" x14ac:dyDescent="0.3">
      <c r="A110" s="682" t="str">
        <f t="shared" si="6"/>
        <v>04-D-105</v>
      </c>
      <c r="B110" s="963" t="str">
        <f t="shared" ca="1" si="5"/>
        <v>Aantal wedstrijden die eindigen in een gelijkspel voor beide teams</v>
      </c>
      <c r="C110" s="712" t="s">
        <v>1119</v>
      </c>
      <c r="D110" s="666" t="s">
        <v>1136</v>
      </c>
    </row>
    <row r="111" spans="1:4" s="667" customFormat="1" x14ac:dyDescent="0.3">
      <c r="A111" s="681" t="str">
        <f t="shared" si="6"/>
        <v>04-D-106</v>
      </c>
      <c r="B111" s="964" t="str">
        <f t="shared" ca="1" si="5"/>
        <v>Aantal wedstrijden die eindigen in winst voor één van de teams</v>
      </c>
      <c r="C111" s="713" t="s">
        <v>1121</v>
      </c>
      <c r="D111" s="667" t="s">
        <v>1137</v>
      </c>
    </row>
    <row r="112" spans="1:4" s="666" customFormat="1" x14ac:dyDescent="0.3">
      <c r="A112" s="682" t="str">
        <f t="shared" si="6"/>
        <v>04-D-107</v>
      </c>
      <c r="B112" s="963" t="str">
        <f t="shared" ca="1" si="5"/>
        <v>twee gele kaarten voor één speler in een wedstrijd zal worden geteld als één rode kaart.</v>
      </c>
      <c r="C112" s="712" t="s">
        <v>1138</v>
      </c>
      <c r="D112" s="666" t="s">
        <v>1139</v>
      </c>
    </row>
    <row r="113" spans="1:4" s="667" customFormat="1" x14ac:dyDescent="0.3">
      <c r="A113" s="681" t="str">
        <f t="shared" si="6"/>
        <v>04-D-108</v>
      </c>
      <c r="B113" s="964" t="str">
        <f t="shared" ca="1" si="5"/>
        <v>de stand na de reguliere speeltijd inclusief blessuretijd wordt aangehouden.</v>
      </c>
      <c r="C113" s="713" t="s">
        <v>1122</v>
      </c>
      <c r="D113" s="667" t="s">
        <v>1140</v>
      </c>
    </row>
    <row r="114" spans="1:4" s="666" customFormat="1" x14ac:dyDescent="0.3">
      <c r="A114" s="682" t="str">
        <f t="shared" si="6"/>
        <v>04-D-109</v>
      </c>
      <c r="B114" s="963" t="str">
        <f t="shared" ca="1" si="5"/>
        <v>de stand na de reguliere speeltijd, blessurre tijd en eventuele verlenging wordt aangehouden.</v>
      </c>
      <c r="C114" s="712" t="s">
        <v>1123</v>
      </c>
      <c r="D114" s="666" t="s">
        <v>1141</v>
      </c>
    </row>
    <row r="115" spans="1:4" s="667" customFormat="1" x14ac:dyDescent="0.3">
      <c r="A115" s="681" t="str">
        <f t="shared" si="6"/>
        <v>04-D-110</v>
      </c>
      <c r="B115" s="964" t="str">
        <f t="shared" ca="1" si="5"/>
        <v>TIP</v>
      </c>
      <c r="C115" s="952" t="s">
        <v>1144</v>
      </c>
      <c r="D115" s="667" t="s">
        <v>1145</v>
      </c>
    </row>
    <row r="116" spans="1:4" s="666" customFormat="1" x14ac:dyDescent="0.3">
      <c r="A116" s="682" t="str">
        <f t="shared" si="6"/>
        <v>04-D-111</v>
      </c>
      <c r="B116" s="963" t="str">
        <f t="shared" ca="1" si="5"/>
        <v>Het toernooi bestaat uit 51 wedstrijden waarvan 36 groepswedstrijden en 15 finales.</v>
      </c>
      <c r="C116" s="712" t="s">
        <v>1142</v>
      </c>
      <c r="D116" s="666" t="s">
        <v>1143</v>
      </c>
    </row>
    <row r="117" spans="1:4" s="667" customFormat="1" x14ac:dyDescent="0.3">
      <c r="A117" s="681" t="str">
        <f t="shared" si="6"/>
        <v>04-D-112</v>
      </c>
      <c r="B117" s="964" t="str">
        <f t="shared" ca="1" si="5"/>
        <v>Het toernooi bestaat</v>
      </c>
      <c r="C117" s="713" t="s">
        <v>1193</v>
      </c>
      <c r="D117" s="713" t="s">
        <v>1187</v>
      </c>
    </row>
    <row r="118" spans="1:4" s="666" customFormat="1" x14ac:dyDescent="0.3">
      <c r="A118" s="682" t="str">
        <f t="shared" si="6"/>
        <v>04-D-113</v>
      </c>
      <c r="B118" s="963" t="str">
        <f t="shared" ca="1" si="5"/>
        <v>uit 51 wedstrijden</v>
      </c>
      <c r="C118" s="712" t="s">
        <v>1194</v>
      </c>
      <c r="D118" s="712" t="s">
        <v>1188</v>
      </c>
    </row>
    <row r="119" spans="1:4" s="667" customFormat="1" x14ac:dyDescent="0.3">
      <c r="A119" s="681" t="str">
        <f t="shared" si="6"/>
        <v>04-D-114</v>
      </c>
      <c r="B119" s="964" t="str">
        <f t="shared" ca="1" si="5"/>
        <v>waarvan 36 groeps-</v>
      </c>
      <c r="C119" s="713" t="s">
        <v>1192</v>
      </c>
      <c r="D119" s="713" t="s">
        <v>1189</v>
      </c>
    </row>
    <row r="120" spans="1:4" s="666" customFormat="1" x14ac:dyDescent="0.3">
      <c r="A120" s="682" t="str">
        <f t="shared" si="6"/>
        <v>04-D-115</v>
      </c>
      <c r="B120" s="963" t="str">
        <f t="shared" ca="1" si="5"/>
        <v>wedstrijden en 15</v>
      </c>
      <c r="C120" s="712" t="s">
        <v>1195</v>
      </c>
      <c r="D120" s="712" t="s">
        <v>1190</v>
      </c>
    </row>
    <row r="121" spans="1:4" s="667" customFormat="1" x14ac:dyDescent="0.3">
      <c r="A121" s="681" t="str">
        <f t="shared" si="6"/>
        <v>04-D-116</v>
      </c>
      <c r="B121" s="964" t="str">
        <f t="shared" ca="1" si="5"/>
        <v>finales.</v>
      </c>
      <c r="C121" s="713" t="s">
        <v>1196</v>
      </c>
      <c r="D121" s="713" t="s">
        <v>1191</v>
      </c>
    </row>
    <row r="122" spans="1:4" s="666" customFormat="1" x14ac:dyDescent="0.3">
      <c r="A122" s="671" t="str">
        <f t="shared" si="6"/>
        <v>04-D-117</v>
      </c>
      <c r="B122" s="963" t="str">
        <f t="shared" ca="1" si="5"/>
        <v/>
      </c>
      <c r="C122" s="712"/>
      <c r="D122" s="712"/>
    </row>
    <row r="123" spans="1:4" s="667" customFormat="1" x14ac:dyDescent="0.3">
      <c r="A123" s="668" t="str">
        <f t="shared" si="6"/>
        <v>04-D-118</v>
      </c>
      <c r="B123" s="964"/>
      <c r="C123" s="713"/>
    </row>
    <row r="124" spans="1:4" s="666" customFormat="1" x14ac:dyDescent="0.3">
      <c r="A124" s="682" t="str">
        <f t="shared" si="6"/>
        <v>04-D-119</v>
      </c>
      <c r="B124" s="963" t="str">
        <f t="shared" ref="B124:B143" ca="1" si="7">TRIM(INDIRECT(CHAR(64+$C$2)&amp;ROW()))</f>
        <v>De Stellingen</v>
      </c>
      <c r="C124" s="712" t="s">
        <v>299</v>
      </c>
      <c r="D124" s="666" t="s">
        <v>1150</v>
      </c>
    </row>
    <row r="125" spans="1:4" s="667" customFormat="1" x14ac:dyDescent="0.3">
      <c r="A125" s="681" t="str">
        <f t="shared" si="6"/>
        <v>04-D-120</v>
      </c>
      <c r="B125" s="964" t="str">
        <f t="shared" ca="1" si="7"/>
        <v>Voor elk goed beantwoorde stelling ontvangt u ## punt.</v>
      </c>
      <c r="C125" s="713" t="s">
        <v>1179</v>
      </c>
      <c r="D125" s="667" t="s">
        <v>1181</v>
      </c>
    </row>
    <row r="126" spans="1:4" s="666" customFormat="1" x14ac:dyDescent="0.3">
      <c r="A126" s="682" t="str">
        <f t="shared" si="6"/>
        <v>04-D-121</v>
      </c>
      <c r="B126" s="963" t="str">
        <f t="shared" ca="1" si="7"/>
        <v>Voor elk goed beantwoorde stelling ontvangt u ## punten.</v>
      </c>
      <c r="C126" s="712" t="s">
        <v>1180</v>
      </c>
      <c r="D126" s="666" t="s">
        <v>1182</v>
      </c>
    </row>
    <row r="127" spans="1:4" s="667" customFormat="1" x14ac:dyDescent="0.3">
      <c r="A127" s="681" t="str">
        <f t="shared" si="6"/>
        <v>04-D-122</v>
      </c>
      <c r="B127" s="964" t="str">
        <f t="shared" ca="1" si="7"/>
        <v>Eens</v>
      </c>
      <c r="C127" s="713" t="s">
        <v>1183</v>
      </c>
      <c r="D127" s="667" t="s">
        <v>1185</v>
      </c>
    </row>
    <row r="128" spans="1:4" s="666" customFormat="1" x14ac:dyDescent="0.3">
      <c r="A128" s="682" t="str">
        <f t="shared" si="6"/>
        <v>04-D-123</v>
      </c>
      <c r="B128" s="963" t="str">
        <f t="shared" ca="1" si="7"/>
        <v>Oneens</v>
      </c>
      <c r="C128" s="712" t="s">
        <v>1184</v>
      </c>
      <c r="D128" s="666" t="s">
        <v>1186</v>
      </c>
    </row>
    <row r="129" spans="1:4" s="667" customFormat="1" x14ac:dyDescent="0.3">
      <c r="A129" s="681" t="str">
        <f t="shared" si="6"/>
        <v>04-D-124</v>
      </c>
      <c r="B129" s="964" t="str">
        <f t="shared" ca="1" si="7"/>
        <v>De groepshoofden, de landen welke zich als eerste hebben geplaatst (België, Duitsland, Engeland, Italië, Oekraïne en Spanje), weten allen de groepsfase te overleven.</v>
      </c>
      <c r="C129" s="713" t="s">
        <v>1202</v>
      </c>
      <c r="D129" s="667" t="s">
        <v>1210</v>
      </c>
    </row>
    <row r="130" spans="1:4" s="666" customFormat="1" x14ac:dyDescent="0.3">
      <c r="A130" s="682" t="str">
        <f t="shared" si="6"/>
        <v>04-D-125</v>
      </c>
      <c r="B130" s="963" t="str">
        <f t="shared" ca="1" si="7"/>
        <v>Van de zes groepswinnaars weten er minimaal vijf de achtste finales te overleven en zo ook de kwartfinales te bereiken.</v>
      </c>
      <c r="C130" s="712" t="s">
        <v>1203</v>
      </c>
      <c r="D130" s="666" t="s">
        <v>1212</v>
      </c>
    </row>
    <row r="131" spans="1:4" s="667" customFormat="1" x14ac:dyDescent="0.3">
      <c r="A131" s="681" t="str">
        <f t="shared" si="6"/>
        <v>04-D-126</v>
      </c>
      <c r="B131" s="964" t="str">
        <f t="shared" ca="1" si="7"/>
        <v>Van de vier landen die als beste nr. 3 doorgaan naar de achtste finales weet er minimaal één ook de kwartfinales te bereiken.</v>
      </c>
      <c r="C131" s="713" t="s">
        <v>1204</v>
      </c>
      <c r="D131" s="667" t="s">
        <v>1211</v>
      </c>
    </row>
    <row r="132" spans="1:4" s="666" customFormat="1" x14ac:dyDescent="0.3">
      <c r="A132" s="682" t="str">
        <f t="shared" si="6"/>
        <v>04-D-127</v>
      </c>
      <c r="B132" s="963" t="str">
        <f t="shared" ca="1" si="7"/>
        <v>Van de vijftien finale wedstrijden worden zes wedstrijden of meer beslist door een verlenging of strafschoppenserie.</v>
      </c>
      <c r="C132" s="712" t="s">
        <v>1205</v>
      </c>
      <c r="D132" s="666" t="s">
        <v>1213</v>
      </c>
    </row>
    <row r="133" spans="1:4" s="667" customFormat="1" x14ac:dyDescent="0.3">
      <c r="A133" s="681" t="str">
        <f t="shared" si="6"/>
        <v>04-D-128</v>
      </c>
      <c r="B133" s="964" t="str">
        <f t="shared" ca="1" si="7"/>
        <v>Eén van de finalisten van het toernooi zal voortkomen uit groep F, de groep des doods (Duitsland, Frankrijk, Hongarije of Portugal).</v>
      </c>
      <c r="C133" s="713" t="s">
        <v>1407</v>
      </c>
      <c r="D133" s="667" t="s">
        <v>1406</v>
      </c>
    </row>
    <row r="134" spans="1:4" s="666" customFormat="1" x14ac:dyDescent="0.3">
      <c r="A134" s="682" t="str">
        <f t="shared" si="6"/>
        <v>04-D-129</v>
      </c>
      <c r="B134" s="963" t="str">
        <f t="shared" ca="1" si="7"/>
        <v>De winnaar van het toernooi weet al zijn finalewedstrijden, 4 stuks, te winnen binnen de reguliere speeltijd (inclusief blessuretijd).</v>
      </c>
      <c r="C134" s="712" t="s">
        <v>1206</v>
      </c>
      <c r="D134" s="666" t="s">
        <v>1214</v>
      </c>
    </row>
    <row r="135" spans="1:4" s="667" customFormat="1" x14ac:dyDescent="0.3">
      <c r="A135" s="681" t="str">
        <f t="shared" si="6"/>
        <v>04-D-130</v>
      </c>
      <c r="B135" s="964" t="str">
        <f t="shared" ca="1" si="7"/>
        <v>De winnaar van het toernooi heeft een beter doelsaldo dan de andere teams. In geval van een gelijk doelsaldo zijn de gescoorde doelpunten doorslaggevend.</v>
      </c>
      <c r="C135" s="713" t="s">
        <v>1216</v>
      </c>
      <c r="D135" s="667" t="s">
        <v>1215</v>
      </c>
    </row>
    <row r="136" spans="1:4" s="666" customFormat="1" x14ac:dyDescent="0.3">
      <c r="A136" s="682" t="str">
        <f t="shared" si="6"/>
        <v>04-D-131</v>
      </c>
      <c r="B136" s="963" t="str">
        <f t="shared" ca="1" si="7"/>
        <v>Het Belgisch elftal kan een beter doelsaldo weerleggen dan het Nederlands elftal. In geval van een gelijk doelsaldo zijn de gescoorde doelpunten doorslaggevend.</v>
      </c>
      <c r="C136" s="712" t="s">
        <v>1217</v>
      </c>
      <c r="D136" s="666" t="s">
        <v>1219</v>
      </c>
    </row>
    <row r="137" spans="1:4" s="667" customFormat="1" x14ac:dyDescent="0.3">
      <c r="A137" s="681" t="str">
        <f t="shared" si="6"/>
        <v>04-D-132</v>
      </c>
      <c r="B137" s="964" t="str">
        <f t="shared" ca="1" si="7"/>
        <v>Het Nederlands elftal kan een beter doelsaldo weerleggen dan het Belgisch elftal. In geval van een gelijk doelsaldo zijn de gescoorde doelpunten doorslaggevend.</v>
      </c>
      <c r="C137" s="713" t="s">
        <v>1218</v>
      </c>
      <c r="D137" s="667" t="s">
        <v>1220</v>
      </c>
    </row>
    <row r="138" spans="1:4" s="666" customFormat="1" x14ac:dyDescent="0.3">
      <c r="A138" s="682" t="str">
        <f t="shared" si="6"/>
        <v>04-D-133</v>
      </c>
      <c r="B138" s="963" t="str">
        <f t="shared" ca="1" si="7"/>
        <v>De winnaar van het toernooi levert tevens ook de topscorer van het toernooi of één van de topscorers.</v>
      </c>
      <c r="C138" s="712" t="s">
        <v>1221</v>
      </c>
      <c r="D138" s="666" t="s">
        <v>1222</v>
      </c>
    </row>
    <row r="139" spans="1:4" s="667" customFormat="1" x14ac:dyDescent="0.3">
      <c r="A139" s="681" t="str">
        <f t="shared" si="6"/>
        <v>04-D-134</v>
      </c>
      <c r="B139" s="964" t="str">
        <f t="shared" ca="1" si="7"/>
        <v>De topscorer van het toernooi of één van de topscorers speelde gedurende het seizoen 2020/2021 in de Italiaanse competitie.</v>
      </c>
      <c r="C139" s="713" t="s">
        <v>1404</v>
      </c>
      <c r="D139" s="667" t="s">
        <v>1405</v>
      </c>
    </row>
    <row r="140" spans="1:4" s="666" customFormat="1" x14ac:dyDescent="0.3">
      <c r="A140" s="682" t="str">
        <f t="shared" si="6"/>
        <v>04-D-135</v>
      </c>
      <c r="B140" s="963" t="str">
        <f t="shared" ca="1" si="7"/>
        <v>Tijdens het toernooi weet een speler in één wedstrijd drie keer of zelfs meer te scoren. Een zogenaamde hattrick. Benutte penalty tijdens een strafschoppenserie tellen niet mee.</v>
      </c>
      <c r="C140" s="712" t="s">
        <v>1223</v>
      </c>
      <c r="D140" s="666" t="s">
        <v>1224</v>
      </c>
    </row>
    <row r="141" spans="1:4" s="667" customFormat="1" x14ac:dyDescent="0.3">
      <c r="A141" s="681" t="str">
        <f t="shared" si="6"/>
        <v>04-D-136</v>
      </c>
      <c r="B141" s="964" t="str">
        <f t="shared" ca="1" si="7"/>
        <v>Van alle gescoorde doelpunten tijdens het toernooi worden er minimaal vier in eigen doel gescoord.</v>
      </c>
      <c r="C141" s="713" t="s">
        <v>1207</v>
      </c>
      <c r="D141" s="667" t="s">
        <v>1225</v>
      </c>
    </row>
    <row r="142" spans="1:4" s="666" customFormat="1" x14ac:dyDescent="0.3">
      <c r="A142" s="682" t="str">
        <f t="shared" si="6"/>
        <v>04-D-137</v>
      </c>
      <c r="B142" s="963" t="str">
        <f t="shared" ca="1" si="7"/>
        <v>Gedurende het toernooi worden minimaal zeven doelpunten die in eerste instantie zijn goedgekeurd alsnog afgekeurd door tussenkomst van de VAR.</v>
      </c>
      <c r="C142" s="712" t="s">
        <v>1411</v>
      </c>
      <c r="D142" s="666" t="s">
        <v>1408</v>
      </c>
    </row>
    <row r="143" spans="1:4" s="667" customFormat="1" x14ac:dyDescent="0.3">
      <c r="A143" s="681" t="str">
        <f t="shared" si="6"/>
        <v>04-D-138</v>
      </c>
      <c r="B143" s="964" t="str">
        <f t="shared" ca="1" si="7"/>
        <v>Gedurende het toernooi weet de scheidsrechter in één of meerdere wedstrijden zijn kaarten op zak te houden.</v>
      </c>
      <c r="C143" s="713" t="s">
        <v>1226</v>
      </c>
      <c r="D143" s="667" t="s">
        <v>1227</v>
      </c>
    </row>
    <row r="144" spans="1:4" s="666" customFormat="1" x14ac:dyDescent="0.3">
      <c r="A144" s="671" t="str">
        <f t="shared" si="6"/>
        <v>04-D-139</v>
      </c>
      <c r="B144" s="963"/>
      <c r="C144" s="712"/>
    </row>
    <row r="145" spans="1:4" s="667" customFormat="1" x14ac:dyDescent="0.3">
      <c r="A145" s="668" t="str">
        <f t="shared" si="6"/>
        <v>04-D-140</v>
      </c>
      <c r="B145" s="964"/>
      <c r="C145" s="713"/>
    </row>
    <row r="146" spans="1:4" s="666" customFormat="1" x14ac:dyDescent="0.3">
      <c r="A146" s="682" t="str">
        <f t="shared" si="6"/>
        <v>04-D-141</v>
      </c>
      <c r="B146" s="963" t="str">
        <f t="shared" ref="B146:B154" ca="1" si="8">TRIM(INDIRECT(CHAR(64+$C$2)&amp;ROW()))</f>
        <v>onvoldoende gegevens voor suggestie</v>
      </c>
      <c r="C146" s="712" t="s">
        <v>1266</v>
      </c>
      <c r="D146" s="666" t="s">
        <v>1280</v>
      </c>
    </row>
    <row r="147" spans="1:4" s="667" customFormat="1" x14ac:dyDescent="0.3">
      <c r="A147" s="681" t="str">
        <f t="shared" si="6"/>
        <v>04-D-142</v>
      </c>
      <c r="B147" s="964" t="str">
        <f t="shared" ca="1" si="8"/>
        <v>geen suggestie mogelijk</v>
      </c>
      <c r="C147" s="713" t="s">
        <v>313</v>
      </c>
      <c r="D147" s="667" t="s">
        <v>1281</v>
      </c>
    </row>
    <row r="148" spans="1:4" s="666" customFormat="1" x14ac:dyDescent="0.3">
      <c r="A148" s="682" t="str">
        <f t="shared" si="6"/>
        <v>04-D-143</v>
      </c>
      <c r="B148" s="963" t="str">
        <f t="shared" ca="1" si="8"/>
        <v>suggestie is op basis van enkel de groepswedstrijden</v>
      </c>
      <c r="C148" s="712" t="s">
        <v>1272</v>
      </c>
      <c r="D148" s="666" t="s">
        <v>1282</v>
      </c>
    </row>
    <row r="149" spans="1:4" s="667" customFormat="1" x14ac:dyDescent="0.3">
      <c r="A149" s="681" t="str">
        <f t="shared" si="6"/>
        <v>04-D-144</v>
      </c>
      <c r="B149" s="964" t="str">
        <f t="shared" ca="1" si="8"/>
        <v>doelpunt</v>
      </c>
      <c r="C149" s="713" t="s">
        <v>1267</v>
      </c>
      <c r="D149" s="667" t="s">
        <v>1274</v>
      </c>
    </row>
    <row r="150" spans="1:4" s="666" customFormat="1" x14ac:dyDescent="0.3">
      <c r="A150" s="682" t="str">
        <f t="shared" si="6"/>
        <v>04-D-145</v>
      </c>
      <c r="B150" s="963" t="str">
        <f t="shared" ca="1" si="8"/>
        <v>doelpunten</v>
      </c>
      <c r="C150" s="712" t="s">
        <v>1268</v>
      </c>
      <c r="D150" s="666" t="s">
        <v>1275</v>
      </c>
    </row>
    <row r="151" spans="1:4" s="667" customFormat="1" x14ac:dyDescent="0.3">
      <c r="A151" s="681" t="str">
        <f t="shared" si="6"/>
        <v>04-D-146</v>
      </c>
      <c r="B151" s="964" t="str">
        <f t="shared" ca="1" si="8"/>
        <v>geen enkele keer gelijkspel voorspeld</v>
      </c>
      <c r="C151" s="713" t="s">
        <v>1269</v>
      </c>
      <c r="D151" s="667" t="s">
        <v>1276</v>
      </c>
    </row>
    <row r="152" spans="1:4" s="666" customFormat="1" x14ac:dyDescent="0.3">
      <c r="A152" s="682" t="str">
        <f t="shared" si="6"/>
        <v>04-D-147</v>
      </c>
      <c r="B152" s="963" t="str">
        <f t="shared" ca="1" si="8"/>
        <v>keer gelijkspel voorspeld</v>
      </c>
      <c r="C152" s="712" t="s">
        <v>1270</v>
      </c>
      <c r="D152" s="666" t="s">
        <v>1277</v>
      </c>
    </row>
    <row r="153" spans="1:4" s="667" customFormat="1" x14ac:dyDescent="0.3">
      <c r="A153" s="681" t="str">
        <f t="shared" si="6"/>
        <v>04-D-148</v>
      </c>
      <c r="B153" s="964" t="str">
        <f t="shared" ca="1" si="8"/>
        <v>geen enkele keer winst / verlies voorspeld</v>
      </c>
      <c r="C153" s="713" t="s">
        <v>1273</v>
      </c>
      <c r="D153" s="667" t="s">
        <v>1278</v>
      </c>
    </row>
    <row r="154" spans="1:4" s="666" customFormat="1" x14ac:dyDescent="0.3">
      <c r="A154" s="682" t="str">
        <f t="shared" si="6"/>
        <v>04-D-149</v>
      </c>
      <c r="B154" s="963" t="str">
        <f t="shared" ca="1" si="8"/>
        <v>keer winst/verlies voorspeld</v>
      </c>
      <c r="C154" s="712" t="s">
        <v>1271</v>
      </c>
      <c r="D154" s="666" t="s">
        <v>1279</v>
      </c>
    </row>
    <row r="155" spans="1:4" s="667" customFormat="1" x14ac:dyDescent="0.3">
      <c r="A155" s="668" t="str">
        <f t="shared" si="6"/>
        <v>04-D-150</v>
      </c>
      <c r="B155" s="964"/>
      <c r="C155" s="713"/>
    </row>
    <row r="156" spans="1:4" s="666" customFormat="1" x14ac:dyDescent="0.3">
      <c r="A156" s="671" t="str">
        <f t="shared" si="6"/>
        <v>04-D-151</v>
      </c>
      <c r="B156" s="963"/>
      <c r="C156" s="712"/>
    </row>
    <row r="157" spans="1:4" s="667" customFormat="1" x14ac:dyDescent="0.3">
      <c r="A157" s="681" t="str">
        <f t="shared" si="6"/>
        <v>04-D-152</v>
      </c>
      <c r="B157" s="964" t="str">
        <f ca="1">TRIM(INDIRECT(CHAR(64+$C$2)&amp;ROW()))</f>
        <v>De Deelnamecode</v>
      </c>
      <c r="C157" s="713" t="s">
        <v>328</v>
      </c>
      <c r="D157" s="667" t="s">
        <v>1283</v>
      </c>
    </row>
    <row r="158" spans="1:4" s="666" customFormat="1" x14ac:dyDescent="0.3">
      <c r="A158" s="682" t="str">
        <f t="shared" si="6"/>
        <v>04-D-153</v>
      </c>
      <c r="B158" s="963" t="str">
        <f ca="1">TRIM(INDIRECT(CHAR(64+$C$2)&amp;ROW()))</f>
        <v>Controle Onderdelen</v>
      </c>
      <c r="C158" s="712" t="s">
        <v>329</v>
      </c>
      <c r="D158" s="666" t="s">
        <v>1351</v>
      </c>
    </row>
    <row r="159" spans="1:4" s="667" customFormat="1" x14ac:dyDescent="0.3">
      <c r="A159" s="668" t="str">
        <f t="shared" si="6"/>
        <v>04-D-154</v>
      </c>
      <c r="B159" s="964"/>
      <c r="C159" s="713"/>
    </row>
    <row r="160" spans="1:4" s="666" customFormat="1" x14ac:dyDescent="0.3">
      <c r="A160" s="682" t="str">
        <f t="shared" si="6"/>
        <v>04-D-155</v>
      </c>
      <c r="B160" s="963" t="str">
        <f t="shared" ref="B160:B191" ca="1" si="9">TRIM(INDIRECT(CHAR(64+$C$2)&amp;ROW()))</f>
        <v>Gegevens Deelnemer</v>
      </c>
      <c r="C160" s="712" t="s">
        <v>1289</v>
      </c>
      <c r="D160" s="666" t="s">
        <v>1347</v>
      </c>
    </row>
    <row r="161" spans="1:4" s="667" customFormat="1" x14ac:dyDescent="0.3">
      <c r="A161" s="681" t="str">
        <f t="shared" si="6"/>
        <v>04-D-156</v>
      </c>
      <c r="B161" s="964" t="str">
        <f t="shared" ca="1" si="9"/>
        <v>Het generen van de naamcode is niet mogelijk in verband met het ontbreken van uw naam. Voer uw naam in</v>
      </c>
      <c r="C161" s="713" t="s">
        <v>530</v>
      </c>
      <c r="D161" s="713" t="s">
        <v>1290</v>
      </c>
    </row>
    <row r="162" spans="1:4" s="666" customFormat="1" x14ac:dyDescent="0.3">
      <c r="A162" s="682" t="str">
        <f t="shared" ref="A162:A225" si="10">LEFT(A161,5)&amp;RIGHT("000"&amp;RIGHT(A161,3)*1+1,3)</f>
        <v>04-D-157</v>
      </c>
      <c r="B162" s="963" t="str">
        <f t="shared" ca="1" si="9"/>
        <v>bovenaan het werkblad "Groepswedstrijden".</v>
      </c>
      <c r="C162" s="712" t="s">
        <v>529</v>
      </c>
      <c r="D162" s="666" t="s">
        <v>1291</v>
      </c>
    </row>
    <row r="163" spans="1:4" s="667" customFormat="1" x14ac:dyDescent="0.3">
      <c r="A163" s="681" t="str">
        <f t="shared" si="10"/>
        <v>04-D-158</v>
      </c>
      <c r="B163" s="964" t="str">
        <f t="shared" ca="1" si="9"/>
        <v>Het generen van de naamcode is niet mogelijk in verband met het ontbreken van uw e-mailadres. Voer uw</v>
      </c>
      <c r="C163" s="713" t="s">
        <v>532</v>
      </c>
      <c r="D163" s="701" t="s">
        <v>1292</v>
      </c>
    </row>
    <row r="164" spans="1:4" s="666" customFormat="1" x14ac:dyDescent="0.3">
      <c r="A164" s="682" t="str">
        <f t="shared" si="10"/>
        <v>04-D-159</v>
      </c>
      <c r="B164" s="963" t="str">
        <f t="shared" ca="1" si="9"/>
        <v>e-mailadres in bovenaan het werkblad "Groepswedstrijden".</v>
      </c>
      <c r="C164" s="712" t="s">
        <v>531</v>
      </c>
      <c r="D164" s="666" t="s">
        <v>1293</v>
      </c>
    </row>
    <row r="165" spans="1:4" s="667" customFormat="1" x14ac:dyDescent="0.3">
      <c r="A165" s="681" t="str">
        <f t="shared" si="10"/>
        <v>04-D-160</v>
      </c>
      <c r="B165" s="964" t="str">
        <f t="shared" ca="1" si="9"/>
        <v>Het generen van de naamcode incluslief e-mailadres is niet mogelijk in verband met het ontbreken van</v>
      </c>
      <c r="C165" s="713" t="s">
        <v>539</v>
      </c>
      <c r="D165" s="667" t="s">
        <v>1294</v>
      </c>
    </row>
    <row r="166" spans="1:4" s="666" customFormat="1" x14ac:dyDescent="0.3">
      <c r="A166" s="682" t="str">
        <f t="shared" si="10"/>
        <v>04-D-161</v>
      </c>
      <c r="B166" s="963" t="str">
        <f t="shared" ca="1" si="9"/>
        <v>gegevens. Voer uw naam en e-mailadres in bovenaan het werkblad "Groepswedstrijden".</v>
      </c>
      <c r="C166" s="712" t="s">
        <v>538</v>
      </c>
      <c r="D166" s="666" t="s">
        <v>1295</v>
      </c>
    </row>
    <row r="167" spans="1:4" s="667" customFormat="1" x14ac:dyDescent="0.3">
      <c r="A167" s="681" t="str">
        <f t="shared" si="10"/>
        <v>04-D-162</v>
      </c>
      <c r="B167" s="964" t="str">
        <f t="shared" ca="1" si="9"/>
        <v>Bij het genereren van de naamcode is er een fout geconstateerd. Controleer uw naam bovenaan het</v>
      </c>
      <c r="C167" s="713" t="s">
        <v>535</v>
      </c>
      <c r="D167" s="667" t="s">
        <v>1298</v>
      </c>
    </row>
    <row r="168" spans="1:4" s="666" customFormat="1" x14ac:dyDescent="0.3">
      <c r="A168" s="682" t="str">
        <f t="shared" si="10"/>
        <v>04-D-163</v>
      </c>
      <c r="B168" s="963" t="str">
        <f t="shared" ca="1" si="9"/>
        <v>werkblad "Groepswedstrijden".</v>
      </c>
      <c r="C168" s="712" t="s">
        <v>533</v>
      </c>
      <c r="D168" s="666" t="s">
        <v>1299</v>
      </c>
    </row>
    <row r="169" spans="1:4" s="667" customFormat="1" x14ac:dyDescent="0.3">
      <c r="A169" s="681" t="str">
        <f t="shared" si="10"/>
        <v>04-D-164</v>
      </c>
      <c r="B169" s="964" t="str">
        <f t="shared" ca="1" si="9"/>
        <v>Bij het genereren van de naamcode is er een fout geconstateerd. Controleer uw e-mailadres bovenaan het</v>
      </c>
      <c r="C169" s="713" t="s">
        <v>534</v>
      </c>
      <c r="D169" s="667" t="s">
        <v>1300</v>
      </c>
    </row>
    <row r="170" spans="1:4" s="666" customFormat="1" x14ac:dyDescent="0.3">
      <c r="A170" s="682" t="str">
        <f t="shared" si="10"/>
        <v>04-D-165</v>
      </c>
      <c r="B170" s="963" t="str">
        <f t="shared" ca="1" si="9"/>
        <v>werkblad "Groepswedstrijden".</v>
      </c>
      <c r="C170" s="712" t="s">
        <v>533</v>
      </c>
      <c r="D170" s="666" t="s">
        <v>1291</v>
      </c>
    </row>
    <row r="171" spans="1:4" s="667" customFormat="1" x14ac:dyDescent="0.3">
      <c r="A171" s="681" t="str">
        <f t="shared" si="10"/>
        <v>04-D-166</v>
      </c>
      <c r="B171" s="964" t="str">
        <f t="shared" ca="1" si="9"/>
        <v>Bij het genereren van de naamcode met e-mailadres is er een fout geconstateerd. Controleer uw naam en</v>
      </c>
      <c r="C171" s="713" t="s">
        <v>537</v>
      </c>
      <c r="D171" s="667" t="s">
        <v>1301</v>
      </c>
    </row>
    <row r="172" spans="1:4" s="666" customFormat="1" x14ac:dyDescent="0.3">
      <c r="A172" s="682" t="str">
        <f t="shared" si="10"/>
        <v>04-D-167</v>
      </c>
      <c r="B172" s="963" t="str">
        <f t="shared" ca="1" si="9"/>
        <v>e-mailadres bovenaan het werkblad "Groepswedstrijden".</v>
      </c>
      <c r="C172" s="712" t="s">
        <v>536</v>
      </c>
      <c r="D172" s="666" t="s">
        <v>1302</v>
      </c>
    </row>
    <row r="173" spans="1:4" s="667" customFormat="1" x14ac:dyDescent="0.3">
      <c r="A173" s="681" t="str">
        <f t="shared" si="10"/>
        <v>04-D-168</v>
      </c>
      <c r="B173" s="964" t="str">
        <f t="shared" ca="1" si="9"/>
        <v>De naamcode is zonder foutmeldingen gegenereerd.</v>
      </c>
      <c r="C173" s="713" t="s">
        <v>333</v>
      </c>
      <c r="D173" s="667" t="s">
        <v>1297</v>
      </c>
    </row>
    <row r="174" spans="1:4" s="666" customFormat="1" x14ac:dyDescent="0.3">
      <c r="A174" s="682" t="str">
        <f t="shared" si="10"/>
        <v>04-D-169</v>
      </c>
      <c r="B174" s="963" t="str">
        <f t="shared" ca="1" si="9"/>
        <v>De naamcode inclusief e-mailadres is zonder foutmeldingen gegenereerd.</v>
      </c>
      <c r="C174" s="712" t="s">
        <v>519</v>
      </c>
      <c r="D174" s="666" t="s">
        <v>1296</v>
      </c>
    </row>
    <row r="175" spans="1:4" s="667" customFormat="1" x14ac:dyDescent="0.3">
      <c r="A175" s="668" t="str">
        <f t="shared" si="10"/>
        <v>04-D-170</v>
      </c>
      <c r="B175" s="964" t="str">
        <f t="shared" ca="1" si="9"/>
        <v/>
      </c>
      <c r="C175" s="713"/>
    </row>
    <row r="176" spans="1:4" s="666" customFormat="1" x14ac:dyDescent="0.3">
      <c r="A176" s="682" t="str">
        <f t="shared" si="10"/>
        <v>04-D-171</v>
      </c>
      <c r="B176" s="963" t="str">
        <f t="shared" ca="1" si="9"/>
        <v>Voorspellingen Groepswedstrijden</v>
      </c>
      <c r="C176" s="712" t="s">
        <v>1303</v>
      </c>
      <c r="D176" s="666" t="s">
        <v>1304</v>
      </c>
    </row>
    <row r="177" spans="1:4" s="667" customFormat="1" x14ac:dyDescent="0.3">
      <c r="A177" s="681" t="str">
        <f t="shared" si="10"/>
        <v>04-D-172</v>
      </c>
      <c r="B177" s="964" t="str">
        <f t="shared" ca="1" si="9"/>
        <v>Het genereren van de deelnamecode voor de groepswedstrijden is niet mogelijk in verband met het ontbreken</v>
      </c>
      <c r="C177" s="713" t="s">
        <v>337</v>
      </c>
      <c r="D177" s="713" t="s">
        <v>1306</v>
      </c>
    </row>
    <row r="178" spans="1:4" s="666" customFormat="1" x14ac:dyDescent="0.3">
      <c r="A178" s="682" t="str">
        <f t="shared" si="10"/>
        <v>04-D-173</v>
      </c>
      <c r="B178" s="963" t="str">
        <f t="shared" ca="1" si="9"/>
        <v>van gegevens. Controleer of alle velden zijn ingevuld op het werkblad "Groepswedstrijden".</v>
      </c>
      <c r="C178" s="712" t="s">
        <v>520</v>
      </c>
      <c r="D178" s="666" t="s">
        <v>1307</v>
      </c>
    </row>
    <row r="179" spans="1:4" s="667" customFormat="1" x14ac:dyDescent="0.3">
      <c r="A179" s="681" t="str">
        <f t="shared" si="10"/>
        <v>04-D-174</v>
      </c>
      <c r="B179" s="964" t="str">
        <f t="shared" ca="1" si="9"/>
        <v>Bij het genereren van de deelnamecode voor de groepswedstrijden is er een fout geconstateerd. Controleer uw</v>
      </c>
      <c r="C179" s="713" t="s">
        <v>339</v>
      </c>
      <c r="D179" s="701" t="s">
        <v>1308</v>
      </c>
    </row>
    <row r="180" spans="1:4" s="666" customFormat="1" x14ac:dyDescent="0.3">
      <c r="A180" s="682" t="str">
        <f t="shared" si="10"/>
        <v>04-D-175</v>
      </c>
      <c r="B180" s="963" t="str">
        <f t="shared" ca="1" si="9"/>
        <v>invoer op het werkblad "Groepswedstrijden".</v>
      </c>
      <c r="C180" s="712" t="s">
        <v>521</v>
      </c>
      <c r="D180" s="666" t="s">
        <v>1309</v>
      </c>
    </row>
    <row r="181" spans="1:4" s="667" customFormat="1" x14ac:dyDescent="0.3">
      <c r="A181" s="681" t="str">
        <f t="shared" si="10"/>
        <v>04-D-176</v>
      </c>
      <c r="B181" s="964" t="str">
        <f t="shared" ca="1" si="9"/>
        <v>Bij het genereren van de deelnamecode voor de groepswedstrijden zijn er fouten geconstateerd. Controleer uw</v>
      </c>
      <c r="C181" s="713" t="s">
        <v>341</v>
      </c>
      <c r="D181" s="667" t="s">
        <v>1310</v>
      </c>
    </row>
    <row r="182" spans="1:4" s="666" customFormat="1" x14ac:dyDescent="0.3">
      <c r="A182" s="682" t="str">
        <f t="shared" si="10"/>
        <v>04-D-177</v>
      </c>
      <c r="B182" s="963" t="str">
        <f t="shared" ca="1" si="9"/>
        <v>invoer op het werkblad "Groepswedstrijden".</v>
      </c>
      <c r="C182" s="712" t="s">
        <v>521</v>
      </c>
      <c r="D182" s="666" t="s">
        <v>1311</v>
      </c>
    </row>
    <row r="183" spans="1:4" s="667" customFormat="1" x14ac:dyDescent="0.3">
      <c r="A183" s="681" t="str">
        <f t="shared" si="10"/>
        <v>04-D-178</v>
      </c>
      <c r="B183" s="964" t="str">
        <f t="shared" ca="1" si="9"/>
        <v>De deelnamecode voor de groepswedstrijden is zonder foutmeldingen gegenereerd.</v>
      </c>
      <c r="C183" s="713" t="s">
        <v>343</v>
      </c>
      <c r="D183" s="701" t="s">
        <v>1305</v>
      </c>
    </row>
    <row r="184" spans="1:4" s="666" customFormat="1" x14ac:dyDescent="0.3">
      <c r="A184" s="671" t="str">
        <f t="shared" si="10"/>
        <v>04-D-179</v>
      </c>
      <c r="B184" s="963" t="str">
        <f t="shared" ca="1" si="9"/>
        <v/>
      </c>
      <c r="C184" s="712"/>
    </row>
    <row r="185" spans="1:4" s="667" customFormat="1" x14ac:dyDescent="0.3">
      <c r="A185" s="681" t="str">
        <f t="shared" si="10"/>
        <v>04-D-180</v>
      </c>
      <c r="B185" s="964" t="str">
        <f t="shared" ca="1" si="9"/>
        <v>Voorspellingen Eindstand in de Groep</v>
      </c>
      <c r="C185" s="713" t="s">
        <v>1318</v>
      </c>
      <c r="D185" s="667" t="s">
        <v>1346</v>
      </c>
    </row>
    <row r="186" spans="1:4" s="666" customFormat="1" x14ac:dyDescent="0.3">
      <c r="A186" s="682" t="str">
        <f t="shared" si="10"/>
        <v>04-D-181</v>
      </c>
      <c r="B186" s="963" t="str">
        <f t="shared" ca="1" si="9"/>
        <v>Het genereren van de deelnamecode voor de eindstand in de groep is niet mogelijk in verband met het</v>
      </c>
      <c r="C186" s="712" t="s">
        <v>396</v>
      </c>
      <c r="D186" s="666" t="s">
        <v>1326</v>
      </c>
    </row>
    <row r="187" spans="1:4" s="667" customFormat="1" x14ac:dyDescent="0.3">
      <c r="A187" s="681" t="str">
        <f t="shared" si="10"/>
        <v>04-D-182</v>
      </c>
      <c r="B187" s="964" t="str">
        <f t="shared" ca="1" si="9"/>
        <v>ontbreken van gegevens. Controleer of alle velden zijn ingevuld op het werkblad "Eindstand Groep".</v>
      </c>
      <c r="C187" s="713" t="s">
        <v>522</v>
      </c>
      <c r="D187" s="667" t="s">
        <v>1327</v>
      </c>
    </row>
    <row r="188" spans="1:4" s="666" customFormat="1" x14ac:dyDescent="0.3">
      <c r="A188" s="682" t="str">
        <f t="shared" si="10"/>
        <v>04-D-183</v>
      </c>
      <c r="B188" s="963" t="str">
        <f t="shared" ca="1" si="9"/>
        <v>Bij het genereren van de deelnamecode voor de eindstand in de groep is er een fout geconstateerd.</v>
      </c>
      <c r="C188" s="712" t="s">
        <v>397</v>
      </c>
      <c r="D188" s="666" t="s">
        <v>1328</v>
      </c>
    </row>
    <row r="189" spans="1:4" s="667" customFormat="1" x14ac:dyDescent="0.3">
      <c r="A189" s="681" t="str">
        <f t="shared" si="10"/>
        <v>04-D-184</v>
      </c>
      <c r="B189" s="964" t="str">
        <f t="shared" ca="1" si="9"/>
        <v>Controleer uw invoer op het werkblad "Eindstand Groep".</v>
      </c>
      <c r="C189" s="713" t="s">
        <v>523</v>
      </c>
      <c r="D189" s="667" t="s">
        <v>1331</v>
      </c>
    </row>
    <row r="190" spans="1:4" s="666" customFormat="1" x14ac:dyDescent="0.3">
      <c r="A190" s="682" t="str">
        <f t="shared" si="10"/>
        <v>04-D-185</v>
      </c>
      <c r="B190" s="963" t="str">
        <f t="shared" ca="1" si="9"/>
        <v>Bij het genereren van de deelnamecode voor de eindstand in de groep zijn er fouten geconstateerd.</v>
      </c>
      <c r="C190" s="712" t="s">
        <v>398</v>
      </c>
      <c r="D190" s="666" t="s">
        <v>1329</v>
      </c>
    </row>
    <row r="191" spans="1:4" s="667" customFormat="1" x14ac:dyDescent="0.3">
      <c r="A191" s="681" t="str">
        <f t="shared" si="10"/>
        <v>04-D-186</v>
      </c>
      <c r="B191" s="964" t="str">
        <f t="shared" ca="1" si="9"/>
        <v>Controleer uw invoer op het werkblad "Eindstand Groep".</v>
      </c>
      <c r="C191" s="713" t="s">
        <v>523</v>
      </c>
      <c r="D191" s="667" t="s">
        <v>1330</v>
      </c>
    </row>
    <row r="192" spans="1:4" s="666" customFormat="1" x14ac:dyDescent="0.3">
      <c r="A192" s="682" t="str">
        <f t="shared" si="10"/>
        <v>04-D-187</v>
      </c>
      <c r="B192" s="963" t="str">
        <f t="shared" ref="B192:B223" ca="1" si="11">TRIM(INDIRECT(CHAR(64+$C$2)&amp;ROW()))</f>
        <v>De deelnamecode voor de eindstand in de groep is zonder foutmeldingen gegenereerd.</v>
      </c>
      <c r="C192" s="712" t="s">
        <v>399</v>
      </c>
      <c r="D192" s="666" t="s">
        <v>1313</v>
      </c>
    </row>
    <row r="193" spans="1:4" s="667" customFormat="1" x14ac:dyDescent="0.3">
      <c r="A193" s="668" t="str">
        <f t="shared" si="10"/>
        <v>04-D-188</v>
      </c>
      <c r="B193" s="964" t="str">
        <f t="shared" ca="1" si="11"/>
        <v/>
      </c>
      <c r="C193" s="713"/>
    </row>
    <row r="194" spans="1:4" s="666" customFormat="1" x14ac:dyDescent="0.3">
      <c r="A194" s="682" t="str">
        <f t="shared" si="10"/>
        <v>04-D-189</v>
      </c>
      <c r="B194" s="963" t="str">
        <f t="shared" ca="1" si="11"/>
        <v>Voorspellingen Finalewedstrijden</v>
      </c>
      <c r="C194" s="712" t="s">
        <v>1317</v>
      </c>
      <c r="D194" s="666" t="s">
        <v>1316</v>
      </c>
    </row>
    <row r="195" spans="1:4" s="667" customFormat="1" x14ac:dyDescent="0.3">
      <c r="A195" s="681" t="str">
        <f t="shared" si="10"/>
        <v>04-D-190</v>
      </c>
      <c r="B195" s="964" t="str">
        <f t="shared" ca="1" si="11"/>
        <v>Het genereren van de deelnamecode voor de finalewedstrijden is niet mogelijk in verband met het ontbreken</v>
      </c>
      <c r="C195" s="713" t="s">
        <v>350</v>
      </c>
      <c r="D195" s="667" t="s">
        <v>1320</v>
      </c>
    </row>
    <row r="196" spans="1:4" s="666" customFormat="1" x14ac:dyDescent="0.3">
      <c r="A196" s="682" t="str">
        <f t="shared" si="10"/>
        <v>04-D-191</v>
      </c>
      <c r="B196" s="963" t="str">
        <f t="shared" ca="1" si="11"/>
        <v>van gegevens. Controleer of alle velden zijn ingevuld op het werkblad "Finalewedstrijden".</v>
      </c>
      <c r="C196" s="712" t="s">
        <v>524</v>
      </c>
      <c r="D196" s="666" t="s">
        <v>1321</v>
      </c>
    </row>
    <row r="197" spans="1:4" s="667" customFormat="1" x14ac:dyDescent="0.3">
      <c r="A197" s="681" t="str">
        <f t="shared" si="10"/>
        <v>04-D-192</v>
      </c>
      <c r="B197" s="964" t="str">
        <f t="shared" ca="1" si="11"/>
        <v>Bij het genereren van de deelnamecode voor de finalewedstrijden is er een fout geconstateerd. Controleer uw</v>
      </c>
      <c r="C197" s="713" t="s">
        <v>351</v>
      </c>
      <c r="D197" s="667" t="s">
        <v>1322</v>
      </c>
    </row>
    <row r="198" spans="1:4" s="666" customFormat="1" x14ac:dyDescent="0.3">
      <c r="A198" s="682" t="str">
        <f t="shared" si="10"/>
        <v>04-D-193</v>
      </c>
      <c r="B198" s="963" t="str">
        <f t="shared" ca="1" si="11"/>
        <v>invoer op het werkblad "Finalewedstrijden".</v>
      </c>
      <c r="C198" s="712" t="s">
        <v>525</v>
      </c>
      <c r="D198" s="666" t="s">
        <v>1323</v>
      </c>
    </row>
    <row r="199" spans="1:4" s="667" customFormat="1" x14ac:dyDescent="0.3">
      <c r="A199" s="681" t="str">
        <f t="shared" si="10"/>
        <v>04-D-194</v>
      </c>
      <c r="B199" s="964" t="str">
        <f t="shared" ca="1" si="11"/>
        <v>Bij het genereren van de deelnamecode voor de finalewedstrijden zijn er fouten geconstateerd. Controleer uw</v>
      </c>
      <c r="C199" s="713" t="s">
        <v>353</v>
      </c>
      <c r="D199" s="667" t="s">
        <v>1324</v>
      </c>
    </row>
    <row r="200" spans="1:4" s="666" customFormat="1" x14ac:dyDescent="0.3">
      <c r="A200" s="682" t="str">
        <f t="shared" si="10"/>
        <v>04-D-195</v>
      </c>
      <c r="B200" s="963" t="str">
        <f t="shared" ca="1" si="11"/>
        <v>invoer op het werkblad "Finalewedstrijden".</v>
      </c>
      <c r="C200" s="712" t="s">
        <v>525</v>
      </c>
      <c r="D200" s="666" t="s">
        <v>1325</v>
      </c>
    </row>
    <row r="201" spans="1:4" s="667" customFormat="1" x14ac:dyDescent="0.3">
      <c r="A201" s="681" t="str">
        <f t="shared" si="10"/>
        <v>04-D-196</v>
      </c>
      <c r="B201" s="964" t="str">
        <f t="shared" ca="1" si="11"/>
        <v>De deelnamecode voor de finalewedstrijden is zonder foutmeldingen gegenereerd.</v>
      </c>
      <c r="C201" s="713" t="s">
        <v>355</v>
      </c>
      <c r="D201" s="667" t="s">
        <v>1312</v>
      </c>
    </row>
    <row r="202" spans="1:4" s="666" customFormat="1" x14ac:dyDescent="0.3">
      <c r="A202" s="671" t="str">
        <f t="shared" si="10"/>
        <v>04-D-197</v>
      </c>
      <c r="B202" s="963" t="str">
        <f t="shared" ca="1" si="11"/>
        <v/>
      </c>
      <c r="C202" s="712"/>
    </row>
    <row r="203" spans="1:4" s="667" customFormat="1" x14ac:dyDescent="0.3">
      <c r="A203" s="681" t="str">
        <f t="shared" si="10"/>
        <v>04-D-198</v>
      </c>
      <c r="B203" s="964" t="str">
        <f t="shared" ca="1" si="11"/>
        <v>Voorspelling Winnaar EK2020</v>
      </c>
      <c r="C203" s="713" t="s">
        <v>1319</v>
      </c>
      <c r="D203" s="667" t="s">
        <v>1332</v>
      </c>
    </row>
    <row r="204" spans="1:4" s="666" customFormat="1" x14ac:dyDescent="0.3">
      <c r="A204" s="682" t="str">
        <f t="shared" si="10"/>
        <v>04-D-199</v>
      </c>
      <c r="B204" s="963" t="str">
        <f t="shared" ca="1" si="11"/>
        <v>Het genereren van de deelnamecode voor de winnaar van het EK is niet mogelijk in verband met het ontbreken</v>
      </c>
      <c r="C204" s="712" t="s">
        <v>1286</v>
      </c>
      <c r="D204" s="666" t="s">
        <v>1334</v>
      </c>
    </row>
    <row r="205" spans="1:4" s="667" customFormat="1" x14ac:dyDescent="0.3">
      <c r="A205" s="681" t="str">
        <f t="shared" si="10"/>
        <v>04-D-200</v>
      </c>
      <c r="B205" s="964" t="str">
        <f t="shared" ca="1" si="11"/>
        <v>van gegevens. Voorspel een winnaar van het EK op het werkblad "Finalewedstrijden".</v>
      </c>
      <c r="C205" s="713" t="s">
        <v>1287</v>
      </c>
      <c r="D205" s="667" t="s">
        <v>1335</v>
      </c>
    </row>
    <row r="206" spans="1:4" s="666" customFormat="1" x14ac:dyDescent="0.3">
      <c r="A206" s="682" t="str">
        <f t="shared" si="10"/>
        <v>04-D-201</v>
      </c>
      <c r="B206" s="963" t="str">
        <f t="shared" ca="1" si="11"/>
        <v>Bij het genereren van de deelnamecode voor de winnaar van het EK is er een fout geconstateerd. Controleer</v>
      </c>
      <c r="C206" s="712" t="s">
        <v>1333</v>
      </c>
      <c r="D206" s="666" t="s">
        <v>1336</v>
      </c>
    </row>
    <row r="207" spans="1:4" s="667" customFormat="1" x14ac:dyDescent="0.3">
      <c r="A207" s="681" t="str">
        <f t="shared" si="10"/>
        <v>04-D-202</v>
      </c>
      <c r="B207" s="964" t="str">
        <f t="shared" ca="1" si="11"/>
        <v>uw invoer op het werkblad "Finalewedstrijden".</v>
      </c>
      <c r="C207" s="713" t="s">
        <v>526</v>
      </c>
      <c r="D207" s="667" t="s">
        <v>1337</v>
      </c>
    </row>
    <row r="208" spans="1:4" s="666" customFormat="1" x14ac:dyDescent="0.3">
      <c r="A208" s="682" t="str">
        <f t="shared" si="10"/>
        <v>04-D-203</v>
      </c>
      <c r="B208" s="963" t="str">
        <f t="shared" ca="1" si="11"/>
        <v>De deelnamecode voor de winnaar van het EK is zonder foutmeldingen gegenereerd.</v>
      </c>
      <c r="C208" s="712" t="s">
        <v>1288</v>
      </c>
      <c r="D208" s="666" t="s">
        <v>1314</v>
      </c>
    </row>
    <row r="209" spans="1:4" s="667" customFormat="1" x14ac:dyDescent="0.3">
      <c r="A209" s="668" t="str">
        <f t="shared" si="10"/>
        <v>04-D-204</v>
      </c>
      <c r="B209" s="964" t="str">
        <f t="shared" ca="1" si="11"/>
        <v/>
      </c>
      <c r="C209" s="713"/>
    </row>
    <row r="210" spans="1:4" s="666" customFormat="1" x14ac:dyDescent="0.3">
      <c r="A210" s="682" t="str">
        <f t="shared" si="10"/>
        <v>04-D-205</v>
      </c>
      <c r="B210" s="963" t="str">
        <f t="shared" ca="1" si="11"/>
        <v>Bonusvragen</v>
      </c>
      <c r="C210" s="712" t="s">
        <v>100</v>
      </c>
      <c r="D210" s="666" t="s">
        <v>1338</v>
      </c>
    </row>
    <row r="211" spans="1:4" s="667" customFormat="1" x14ac:dyDescent="0.3">
      <c r="A211" s="681" t="str">
        <f t="shared" si="10"/>
        <v>04-D-206</v>
      </c>
      <c r="B211" s="964" t="str">
        <f t="shared" ca="1" si="11"/>
        <v>Het genereren van de deelnamecode voor de bonusvragen is niet mogelijk in verband met het ontbreken</v>
      </c>
      <c r="C211" s="713" t="s">
        <v>358</v>
      </c>
      <c r="D211" s="667" t="s">
        <v>1339</v>
      </c>
    </row>
    <row r="212" spans="1:4" s="666" customFormat="1" x14ac:dyDescent="0.3">
      <c r="A212" s="682" t="str">
        <f t="shared" si="10"/>
        <v>04-D-207</v>
      </c>
      <c r="B212" s="963" t="str">
        <f t="shared" ca="1" si="11"/>
        <v>van gegevens. Controleer of alle velden zijn ingevuld op het werkblad "Bonusvragen".</v>
      </c>
      <c r="C212" s="712" t="s">
        <v>527</v>
      </c>
      <c r="D212" s="666" t="s">
        <v>1340</v>
      </c>
    </row>
    <row r="213" spans="1:4" s="667" customFormat="1" x14ac:dyDescent="0.3">
      <c r="A213" s="681" t="str">
        <f t="shared" si="10"/>
        <v>04-D-208</v>
      </c>
      <c r="B213" s="964" t="str">
        <f t="shared" ca="1" si="11"/>
        <v>Bij het genereren van de deelnamecode voor de bonusvragen is er een fout geconstateerd. Controleer uw</v>
      </c>
      <c r="C213" s="713" t="s">
        <v>360</v>
      </c>
      <c r="D213" s="667" t="s">
        <v>1341</v>
      </c>
    </row>
    <row r="214" spans="1:4" s="666" customFormat="1" x14ac:dyDescent="0.3">
      <c r="A214" s="682" t="str">
        <f t="shared" si="10"/>
        <v>04-D-209</v>
      </c>
      <c r="B214" s="963" t="str">
        <f t="shared" ca="1" si="11"/>
        <v>invoer op het werkblad "Bonusvragen".</v>
      </c>
      <c r="C214" s="712" t="s">
        <v>528</v>
      </c>
      <c r="D214" s="666" t="s">
        <v>1342</v>
      </c>
    </row>
    <row r="215" spans="1:4" s="667" customFormat="1" x14ac:dyDescent="0.3">
      <c r="A215" s="681" t="str">
        <f t="shared" si="10"/>
        <v>04-D-210</v>
      </c>
      <c r="B215" s="964" t="str">
        <f t="shared" ca="1" si="11"/>
        <v>Bij het genereren van de deelnamecode voor de bonusvragen zijn er fouten geconstateerd. Controleer uw</v>
      </c>
      <c r="C215" s="713" t="s">
        <v>362</v>
      </c>
      <c r="D215" s="667" t="s">
        <v>1343</v>
      </c>
    </row>
    <row r="216" spans="1:4" s="666" customFormat="1" x14ac:dyDescent="0.3">
      <c r="A216" s="682" t="str">
        <f t="shared" si="10"/>
        <v>04-D-211</v>
      </c>
      <c r="B216" s="963" t="str">
        <f t="shared" ca="1" si="11"/>
        <v>invoer op het werkblad "Bonusvragen".</v>
      </c>
      <c r="C216" s="712" t="s">
        <v>528</v>
      </c>
      <c r="D216" s="666" t="s">
        <v>1344</v>
      </c>
    </row>
    <row r="217" spans="1:4" s="667" customFormat="1" x14ac:dyDescent="0.3">
      <c r="A217" s="681" t="str">
        <f t="shared" si="10"/>
        <v>04-D-212</v>
      </c>
      <c r="B217" s="964" t="str">
        <f t="shared" ca="1" si="11"/>
        <v>De deelnamecode voor de bonusvragen is zonder foutmeldingen gegenereerd.</v>
      </c>
      <c r="C217" s="713" t="s">
        <v>364</v>
      </c>
      <c r="D217" s="667" t="s">
        <v>1315</v>
      </c>
    </row>
    <row r="218" spans="1:4" s="666" customFormat="1" x14ac:dyDescent="0.3">
      <c r="A218" s="671" t="str">
        <f t="shared" si="10"/>
        <v>04-D-213</v>
      </c>
      <c r="B218" s="963" t="str">
        <f t="shared" ca="1" si="11"/>
        <v/>
      </c>
      <c r="C218" s="712"/>
    </row>
    <row r="219" spans="1:4" s="667" customFormat="1" x14ac:dyDescent="0.3">
      <c r="A219" s="681" t="str">
        <f t="shared" si="10"/>
        <v>04-D-214</v>
      </c>
      <c r="B219" s="964" t="str">
        <f t="shared" ca="1" si="11"/>
        <v>In het onderstaande veld zal uw deelnamecode gegenereerd worden als alle velden volledig en goed zijn ingevuld.</v>
      </c>
      <c r="C219" s="713" t="s">
        <v>1285</v>
      </c>
      <c r="D219" s="667" t="s">
        <v>1284</v>
      </c>
    </row>
    <row r="220" spans="1:4" s="666" customFormat="1" x14ac:dyDescent="0.3">
      <c r="A220" s="682" t="str">
        <f t="shared" si="10"/>
        <v>04-D-215</v>
      </c>
      <c r="B220" s="963" t="str">
        <f t="shared" ca="1" si="11"/>
        <v>De deelnamecode kan niet worden gegenereerd door het ontbreken van gegevens of foutieve waarden. Het gaat om het volgende onderdeel</v>
      </c>
      <c r="C220" s="712" t="s">
        <v>1352</v>
      </c>
      <c r="D220" s="666" t="s">
        <v>1353</v>
      </c>
    </row>
    <row r="221" spans="1:4" s="667" customFormat="1" x14ac:dyDescent="0.3">
      <c r="A221" s="681" t="str">
        <f t="shared" si="10"/>
        <v>04-D-216</v>
      </c>
      <c r="B221" s="964" t="str">
        <f t="shared" ca="1" si="11"/>
        <v>De deelnamecode kan niet worden gegenereerd door het ontbreken van gegevens of foutieve waarden. Het gaat om de volgende onderdelen</v>
      </c>
      <c r="C221" s="713" t="s">
        <v>1348</v>
      </c>
      <c r="D221" s="667" t="s">
        <v>1354</v>
      </c>
    </row>
    <row r="222" spans="1:4" s="666" customFormat="1" x14ac:dyDescent="0.3">
      <c r="A222" s="682" t="str">
        <f t="shared" si="10"/>
        <v>04-D-217</v>
      </c>
      <c r="B222" s="963" t="str">
        <f t="shared" ca="1" si="11"/>
        <v>De deelnamecode kan niet worden gegenereerd door het ontbreken van het reglement. Vraag uw organisator om het reglement toe te voegen aan uw deelname formulier.</v>
      </c>
      <c r="C222" s="712" t="s">
        <v>1372</v>
      </c>
      <c r="D222" s="666" t="s">
        <v>1349</v>
      </c>
    </row>
    <row r="223" spans="1:4" s="667" customFormat="1" x14ac:dyDescent="0.3">
      <c r="A223" s="681" t="str">
        <f t="shared" si="10"/>
        <v>04-D-218</v>
      </c>
      <c r="B223" s="964" t="str">
        <f t="shared" ca="1" si="11"/>
        <v>Dit deelname formulier betreft een demo-versie voor het EK2020 in Europa. Het generenen van een deelnamecode is hierin uitgeschakeld ongeacht of alle onderdelen juist zijn ingevuld.</v>
      </c>
      <c r="C223" s="713" t="s">
        <v>1373</v>
      </c>
      <c r="D223" s="667" t="s">
        <v>1350</v>
      </c>
    </row>
    <row r="224" spans="1:4" s="673" customFormat="1" x14ac:dyDescent="0.3">
      <c r="A224" s="671" t="str">
        <f t="shared" si="10"/>
        <v>04-D-219</v>
      </c>
      <c r="B224" s="966" t="str">
        <f t="shared" ref="B224:B230" ca="1" si="12">TRIM(INDIRECT(CHAR(64+$C$2)&amp;ROW()))</f>
        <v/>
      </c>
      <c r="C224" s="953"/>
    </row>
    <row r="225" spans="1:4" s="670" customFormat="1" x14ac:dyDescent="0.3">
      <c r="A225" s="668" t="str">
        <f t="shared" si="10"/>
        <v>04-D-220</v>
      </c>
      <c r="B225" s="967" t="str">
        <f t="shared" ca="1" si="12"/>
        <v/>
      </c>
      <c r="C225" s="954"/>
    </row>
    <row r="226" spans="1:4" s="673" customFormat="1" x14ac:dyDescent="0.3">
      <c r="A226" s="671" t="str">
        <f t="shared" ref="A226:A250" si="13">LEFT(A225,5)&amp;RIGHT("000"&amp;RIGHT(A225,3)*1+1,3)</f>
        <v>04-D-221</v>
      </c>
      <c r="B226" s="966" t="str">
        <f t="shared" ca="1" si="12"/>
        <v/>
      </c>
      <c r="C226" s="953"/>
    </row>
    <row r="227" spans="1:4" s="670" customFormat="1" x14ac:dyDescent="0.3">
      <c r="A227" s="668" t="str">
        <f t="shared" si="13"/>
        <v>04-D-222</v>
      </c>
      <c r="B227" s="967" t="str">
        <f t="shared" ca="1" si="12"/>
        <v/>
      </c>
      <c r="C227" s="954"/>
    </row>
    <row r="228" spans="1:4" s="673" customFormat="1" x14ac:dyDescent="0.3">
      <c r="A228" s="671" t="str">
        <f t="shared" si="13"/>
        <v>04-D-223</v>
      </c>
      <c r="B228" s="966" t="str">
        <f t="shared" ca="1" si="12"/>
        <v/>
      </c>
      <c r="C228" s="953"/>
    </row>
    <row r="229" spans="1:4" s="670" customFormat="1" x14ac:dyDescent="0.3">
      <c r="A229" s="668" t="str">
        <f t="shared" si="13"/>
        <v>04-D-224</v>
      </c>
      <c r="B229" s="967" t="str">
        <f t="shared" ca="1" si="12"/>
        <v/>
      </c>
      <c r="C229" s="954"/>
    </row>
    <row r="230" spans="1:4" s="673" customFormat="1" x14ac:dyDescent="0.3">
      <c r="A230" s="671" t="str">
        <f t="shared" si="13"/>
        <v>04-D-225</v>
      </c>
      <c r="B230" s="966" t="str">
        <f t="shared" ca="1" si="12"/>
        <v/>
      </c>
      <c r="C230" s="953"/>
    </row>
    <row r="231" spans="1:4" s="670" customFormat="1" x14ac:dyDescent="0.3">
      <c r="A231" s="668" t="str">
        <f t="shared" si="13"/>
        <v>04-D-226</v>
      </c>
      <c r="B231" s="967"/>
      <c r="C231" s="954"/>
    </row>
    <row r="232" spans="1:4" s="673" customFormat="1" x14ac:dyDescent="0.3">
      <c r="A232" s="671" t="str">
        <f t="shared" si="13"/>
        <v>04-D-227</v>
      </c>
      <c r="B232" s="966"/>
      <c r="C232" s="953"/>
    </row>
    <row r="233" spans="1:4" s="670" customFormat="1" x14ac:dyDescent="0.3">
      <c r="A233" s="668" t="str">
        <f t="shared" si="13"/>
        <v>04-D-228</v>
      </c>
      <c r="B233" s="967"/>
      <c r="C233" s="954"/>
    </row>
    <row r="234" spans="1:4" s="673" customFormat="1" x14ac:dyDescent="0.3">
      <c r="A234" s="671" t="str">
        <f t="shared" si="13"/>
        <v>04-D-229</v>
      </c>
      <c r="B234" s="968"/>
      <c r="C234" s="953"/>
    </row>
    <row r="235" spans="1:4" s="670" customFormat="1" x14ac:dyDescent="0.3">
      <c r="A235" s="668" t="str">
        <f t="shared" si="13"/>
        <v>04-D-230</v>
      </c>
      <c r="B235" s="969"/>
      <c r="C235" s="954"/>
      <c r="D235" s="739"/>
    </row>
    <row r="236" spans="1:4" s="673" customFormat="1" x14ac:dyDescent="0.3">
      <c r="A236" s="671" t="str">
        <f t="shared" si="13"/>
        <v>04-D-231</v>
      </c>
      <c r="B236" s="968"/>
      <c r="C236" s="953"/>
    </row>
    <row r="237" spans="1:4" s="670" customFormat="1" x14ac:dyDescent="0.3">
      <c r="A237" s="668" t="str">
        <f t="shared" si="13"/>
        <v>04-D-232</v>
      </c>
      <c r="B237" s="969"/>
      <c r="C237" s="954"/>
    </row>
    <row r="238" spans="1:4" s="673" customFormat="1" x14ac:dyDescent="0.3">
      <c r="A238" s="671" t="str">
        <f t="shared" si="13"/>
        <v>04-D-233</v>
      </c>
      <c r="B238" s="968"/>
      <c r="C238" s="953"/>
      <c r="D238" s="740"/>
    </row>
    <row r="239" spans="1:4" s="670" customFormat="1" x14ac:dyDescent="0.3">
      <c r="A239" s="668" t="str">
        <f t="shared" si="13"/>
        <v>04-D-234</v>
      </c>
      <c r="B239" s="969"/>
      <c r="C239" s="954"/>
    </row>
    <row r="240" spans="1:4" s="673" customFormat="1" x14ac:dyDescent="0.3">
      <c r="A240" s="671" t="str">
        <f t="shared" si="13"/>
        <v>04-D-235</v>
      </c>
      <c r="B240" s="968"/>
      <c r="C240" s="953"/>
    </row>
    <row r="241" spans="1:3" s="670" customFormat="1" x14ac:dyDescent="0.3">
      <c r="A241" s="668" t="str">
        <f t="shared" si="13"/>
        <v>04-D-236</v>
      </c>
      <c r="B241" s="969"/>
      <c r="C241" s="954"/>
    </row>
    <row r="242" spans="1:3" s="673" customFormat="1" x14ac:dyDescent="0.3">
      <c r="A242" s="671" t="str">
        <f t="shared" si="13"/>
        <v>04-D-237</v>
      </c>
      <c r="B242" s="968"/>
      <c r="C242" s="953"/>
    </row>
    <row r="243" spans="1:3" s="670" customFormat="1" x14ac:dyDescent="0.3">
      <c r="A243" s="668" t="str">
        <f t="shared" si="13"/>
        <v>04-D-238</v>
      </c>
      <c r="B243" s="969"/>
      <c r="C243" s="954"/>
    </row>
    <row r="244" spans="1:3" s="673" customFormat="1" x14ac:dyDescent="0.3">
      <c r="A244" s="671" t="str">
        <f t="shared" si="13"/>
        <v>04-D-239</v>
      </c>
      <c r="B244" s="968"/>
      <c r="C244" s="953"/>
    </row>
    <row r="245" spans="1:3" s="670" customFormat="1" x14ac:dyDescent="0.3">
      <c r="A245" s="668" t="str">
        <f t="shared" si="13"/>
        <v>04-D-240</v>
      </c>
      <c r="B245" s="969"/>
      <c r="C245" s="954"/>
    </row>
    <row r="246" spans="1:3" s="673" customFormat="1" x14ac:dyDescent="0.3">
      <c r="A246" s="671" t="str">
        <f t="shared" si="13"/>
        <v>04-D-241</v>
      </c>
      <c r="B246" s="968"/>
      <c r="C246" s="953"/>
    </row>
    <row r="247" spans="1:3" s="670" customFormat="1" x14ac:dyDescent="0.3">
      <c r="A247" s="668" t="str">
        <f t="shared" si="13"/>
        <v>04-D-242</v>
      </c>
      <c r="B247" s="969"/>
      <c r="C247" s="954"/>
    </row>
    <row r="248" spans="1:3" s="673" customFormat="1" x14ac:dyDescent="0.3">
      <c r="A248" s="671" t="str">
        <f t="shared" si="13"/>
        <v>04-D-243</v>
      </c>
      <c r="B248" s="968"/>
      <c r="C248" s="953"/>
    </row>
    <row r="249" spans="1:3" s="670" customFormat="1" x14ac:dyDescent="0.3">
      <c r="A249" s="668" t="str">
        <f t="shared" si="13"/>
        <v>04-D-244</v>
      </c>
      <c r="B249" s="969"/>
      <c r="C249" s="954"/>
    </row>
    <row r="250" spans="1:3" s="673" customFormat="1" x14ac:dyDescent="0.3">
      <c r="A250" s="671" t="str">
        <f t="shared" si="13"/>
        <v>04-D-245</v>
      </c>
      <c r="B250" s="968"/>
      <c r="C250" s="953"/>
    </row>
  </sheetData>
  <hyperlinks>
    <hyperlink ref="C73" r:id="rId1" xr:uid="{00000000-0004-0000-0300-000000000000}"/>
    <hyperlink ref="D73" r:id="rId2" xr:uid="{00000000-0004-0000-0300-000001000000}"/>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01">
    <tabColor rgb="FF0084A4"/>
  </sheetPr>
  <dimension ref="A1:AH99"/>
  <sheetViews>
    <sheetView showRowColHeaders="0" tabSelected="1" zoomScaleNormal="100" workbookViewId="0"/>
  </sheetViews>
  <sheetFormatPr defaultColWidth="9.109375" defaultRowHeight="14.4" x14ac:dyDescent="0.3"/>
  <cols>
    <col min="1" max="5" width="2.6640625" style="462" customWidth="1"/>
    <col min="6" max="6" width="4.6640625" style="462" customWidth="1"/>
    <col min="7" max="7" width="2.6640625" style="462" customWidth="1"/>
    <col min="8" max="8" width="15.6640625" style="462" customWidth="1"/>
    <col min="9" max="9" width="4.6640625" style="462" customWidth="1"/>
    <col min="10" max="10" width="10.6640625" style="462" customWidth="1"/>
    <col min="11" max="11" width="7.6640625" style="462" customWidth="1"/>
    <col min="12" max="12" width="4.6640625" style="462" customWidth="1"/>
    <col min="13" max="13" width="11.6640625" style="462" customWidth="1"/>
    <col min="14" max="14" width="6.6640625" style="462" customWidth="1"/>
    <col min="15" max="15" width="4.6640625" style="462" customWidth="1"/>
    <col min="16" max="16" width="9.6640625" style="462" customWidth="1"/>
    <col min="17" max="17" width="8.6640625" style="462" customWidth="1"/>
    <col min="18" max="20" width="2.6640625" style="462" customWidth="1"/>
    <col min="21" max="21" width="4.6640625" style="462" customWidth="1"/>
    <col min="22" max="22" width="2.6640625" style="462" customWidth="1"/>
    <col min="23" max="23" width="24.6640625" style="462" customWidth="1"/>
    <col min="24" max="24" width="2.6640625" style="462" customWidth="1"/>
    <col min="25" max="26" width="14.6640625" style="462" customWidth="1"/>
    <col min="27" max="27" width="8.6640625" style="462" customWidth="1"/>
    <col min="28" max="29" width="14.6640625" style="462" customWidth="1"/>
    <col min="30" max="30" width="8.6640625" style="462" customWidth="1"/>
    <col min="31" max="34" width="14.6640625" style="462" customWidth="1"/>
    <col min="35" max="16384" width="9.109375" style="462"/>
  </cols>
  <sheetData>
    <row r="1" spans="1:26" x14ac:dyDescent="0.3">
      <c r="A1" s="452" t="s">
        <v>89</v>
      </c>
      <c r="B1" s="452">
        <v>246</v>
      </c>
      <c r="C1" s="452">
        <v>255</v>
      </c>
      <c r="D1" s="452">
        <v>0</v>
      </c>
    </row>
    <row r="2" spans="1:26" x14ac:dyDescent="0.3">
      <c r="B2" s="464"/>
      <c r="C2" s="464"/>
      <c r="D2" s="464"/>
      <c r="E2" s="464"/>
      <c r="F2" s="464"/>
      <c r="G2" s="464"/>
      <c r="H2" s="464"/>
      <c r="I2" s="464"/>
      <c r="J2" s="464"/>
      <c r="K2" s="464"/>
      <c r="L2" s="464"/>
      <c r="M2" s="464"/>
      <c r="N2" s="464"/>
      <c r="O2" s="464"/>
      <c r="P2" s="464"/>
      <c r="Q2" s="464"/>
      <c r="R2" s="464"/>
      <c r="S2" s="464"/>
      <c r="T2" s="464"/>
      <c r="V2" s="1065" t="str">
        <f ca="1">Taal01!$B$36</f>
        <v>Voorblad</v>
      </c>
      <c r="W2" s="1065"/>
      <c r="X2" s="1065"/>
      <c r="Y2" s="1065"/>
      <c r="Z2" s="1065"/>
    </row>
    <row r="3" spans="1:26" x14ac:dyDescent="0.3">
      <c r="B3" s="464"/>
      <c r="C3" s="1017"/>
      <c r="D3" s="1018"/>
      <c r="E3" s="1018"/>
      <c r="F3" s="1018"/>
      <c r="G3" s="1018"/>
      <c r="H3" s="1018"/>
      <c r="I3" s="1018"/>
      <c r="J3" s="1018"/>
      <c r="K3" s="1018"/>
      <c r="L3" s="1018"/>
      <c r="M3" s="1018"/>
      <c r="N3" s="1018"/>
      <c r="O3" s="1018"/>
      <c r="P3" s="1018"/>
      <c r="Q3" s="1018"/>
      <c r="R3" s="1019" t="str">
        <f ca="1">IF(Reglement!M3="","",Reglement!M3)</f>
        <v>EK2020: SV Marum jeugd JO7 t/m JO11</v>
      </c>
      <c r="S3" s="1020"/>
      <c r="T3" s="464"/>
      <c r="V3" s="1065"/>
      <c r="W3" s="1065"/>
      <c r="X3" s="1065"/>
      <c r="Y3" s="1065"/>
      <c r="Z3" s="1065"/>
    </row>
    <row r="4" spans="1:26" x14ac:dyDescent="0.3">
      <c r="B4" s="464"/>
      <c r="C4" s="463"/>
      <c r="D4" s="463"/>
      <c r="E4" s="463"/>
      <c r="F4" s="463"/>
      <c r="G4" s="463"/>
      <c r="H4" s="463"/>
      <c r="I4" s="463"/>
      <c r="J4" s="463"/>
      <c r="K4" s="463"/>
      <c r="L4" s="463"/>
      <c r="M4" s="463"/>
      <c r="N4" s="463"/>
      <c r="O4" s="463"/>
      <c r="P4" s="463"/>
      <c r="Q4" s="463"/>
      <c r="R4" s="450"/>
      <c r="S4" s="463"/>
      <c r="T4" s="464"/>
      <c r="V4" s="1065"/>
      <c r="W4" s="1065"/>
      <c r="X4" s="1065"/>
      <c r="Y4" s="1065"/>
      <c r="Z4" s="1065"/>
    </row>
    <row r="5" spans="1:26" x14ac:dyDescent="0.3">
      <c r="B5" s="464"/>
      <c r="C5" s="1069"/>
      <c r="D5" s="1070"/>
      <c r="E5" s="1070"/>
      <c r="F5" s="1070"/>
      <c r="G5" s="1070"/>
      <c r="H5" s="1070"/>
      <c r="I5" s="1070"/>
      <c r="J5" s="1070"/>
      <c r="K5" s="1070"/>
      <c r="L5" s="1070"/>
      <c r="M5" s="1070"/>
      <c r="N5" s="1070"/>
      <c r="O5" s="1070"/>
      <c r="P5" s="1070"/>
      <c r="Q5" s="1070"/>
      <c r="R5" s="1070"/>
      <c r="S5" s="1071"/>
      <c r="T5" s="464"/>
      <c r="V5" s="27"/>
      <c r="W5" s="74"/>
      <c r="X5" s="28"/>
    </row>
    <row r="6" spans="1:26" x14ac:dyDescent="0.3">
      <c r="B6" s="464"/>
      <c r="C6" s="1072"/>
      <c r="D6" s="1073"/>
      <c r="E6" s="1073"/>
      <c r="F6" s="1073"/>
      <c r="G6" s="1073"/>
      <c r="H6" s="1073"/>
      <c r="I6" s="1073"/>
      <c r="J6" s="1073"/>
      <c r="K6" s="1073"/>
      <c r="L6" s="1073"/>
      <c r="M6" s="1073"/>
      <c r="N6" s="1073"/>
      <c r="O6" s="1073"/>
      <c r="P6" s="1073"/>
      <c r="Q6" s="1073"/>
      <c r="R6" s="1073"/>
      <c r="S6" s="1074"/>
      <c r="T6" s="464"/>
      <c r="V6" s="680" t="str">
        <f>Taal01!$B$61&amp;" :"</f>
        <v>Choose your language :</v>
      </c>
      <c r="W6" s="57"/>
      <c r="X6" s="30"/>
    </row>
    <row r="7" spans="1:26" x14ac:dyDescent="0.3">
      <c r="B7" s="464"/>
      <c r="C7" s="1072"/>
      <c r="D7" s="1073"/>
      <c r="E7" s="1073"/>
      <c r="F7" s="1073"/>
      <c r="G7" s="1073"/>
      <c r="H7" s="1073"/>
      <c r="I7" s="1073"/>
      <c r="J7" s="1073"/>
      <c r="K7" s="1073"/>
      <c r="L7" s="1073"/>
      <c r="M7" s="1073"/>
      <c r="N7" s="1073"/>
      <c r="O7" s="1073"/>
      <c r="P7" s="1073"/>
      <c r="Q7" s="1073"/>
      <c r="R7" s="1073"/>
      <c r="S7" s="1074"/>
      <c r="T7" s="464"/>
      <c r="V7" s="678"/>
      <c r="W7" s="746" t="s">
        <v>584</v>
      </c>
      <c r="X7" s="679"/>
    </row>
    <row r="8" spans="1:26" x14ac:dyDescent="0.3">
      <c r="B8" s="464"/>
      <c r="C8" s="1072"/>
      <c r="D8" s="1073"/>
      <c r="E8" s="1073"/>
      <c r="F8" s="1073"/>
      <c r="G8" s="1073"/>
      <c r="H8" s="1073"/>
      <c r="I8" s="1073"/>
      <c r="J8" s="1073"/>
      <c r="K8" s="1073"/>
      <c r="L8" s="1073"/>
      <c r="M8" s="1073"/>
      <c r="N8" s="1073"/>
      <c r="O8" s="1073"/>
      <c r="P8" s="1073"/>
      <c r="Q8" s="1073"/>
      <c r="R8" s="1073"/>
      <c r="S8" s="1074"/>
      <c r="T8" s="464"/>
      <c r="V8" s="39"/>
      <c r="W8" s="75"/>
      <c r="X8" s="40"/>
    </row>
    <row r="9" spans="1:26" x14ac:dyDescent="0.3">
      <c r="B9" s="464"/>
      <c r="C9" s="1072"/>
      <c r="D9" s="1073"/>
      <c r="E9" s="1073"/>
      <c r="F9" s="1073"/>
      <c r="G9" s="1073"/>
      <c r="H9" s="1073"/>
      <c r="I9" s="1073"/>
      <c r="J9" s="1073"/>
      <c r="K9" s="1073"/>
      <c r="L9" s="1073"/>
      <c r="M9" s="1073"/>
      <c r="N9" s="1073"/>
      <c r="O9" s="1073"/>
      <c r="P9" s="1073"/>
      <c r="Q9" s="1073"/>
      <c r="R9" s="1073"/>
      <c r="S9" s="1074"/>
      <c r="T9" s="464"/>
    </row>
    <row r="10" spans="1:26" x14ac:dyDescent="0.3">
      <c r="B10" s="464"/>
      <c r="C10" s="1075"/>
      <c r="D10" s="1076"/>
      <c r="E10" s="1076"/>
      <c r="F10" s="1076"/>
      <c r="G10" s="1076"/>
      <c r="H10" s="1076"/>
      <c r="I10" s="1076"/>
      <c r="J10" s="1076"/>
      <c r="K10" s="1076"/>
      <c r="L10" s="1076"/>
      <c r="M10" s="1076"/>
      <c r="N10" s="1076"/>
      <c r="O10" s="1076"/>
      <c r="P10" s="1076"/>
      <c r="Q10" s="1076"/>
      <c r="R10" s="1076"/>
      <c r="S10" s="1077"/>
      <c r="T10" s="464"/>
    </row>
    <row r="11" spans="1:26" x14ac:dyDescent="0.3">
      <c r="B11" s="464"/>
      <c r="C11" s="464"/>
      <c r="D11" s="464"/>
      <c r="E11" s="464"/>
      <c r="F11" s="464"/>
      <c r="G11" s="464"/>
      <c r="H11" s="464"/>
      <c r="I11" s="464"/>
      <c r="J11" s="464"/>
      <c r="K11" s="464"/>
      <c r="L11" s="464"/>
      <c r="M11" s="464"/>
      <c r="N11" s="464"/>
      <c r="O11" s="464"/>
      <c r="P11" s="464"/>
      <c r="Q11" s="464"/>
      <c r="R11" s="464"/>
      <c r="S11" s="464"/>
      <c r="T11" s="464"/>
    </row>
    <row r="12" spans="1:26" x14ac:dyDescent="0.3">
      <c r="B12" s="464"/>
      <c r="C12" s="437"/>
      <c r="D12" s="438"/>
      <c r="E12" s="438"/>
      <c r="F12" s="438"/>
      <c r="G12" s="438"/>
      <c r="H12" s="438"/>
      <c r="I12" s="438"/>
      <c r="J12" s="438"/>
      <c r="K12" s="438"/>
      <c r="L12" s="438"/>
      <c r="M12" s="438"/>
      <c r="N12" s="438"/>
      <c r="O12" s="438"/>
      <c r="P12" s="438"/>
      <c r="Q12" s="438"/>
      <c r="R12" s="438"/>
      <c r="S12" s="439"/>
      <c r="T12" s="464"/>
    </row>
    <row r="13" spans="1:26" x14ac:dyDescent="0.3">
      <c r="B13" s="464"/>
      <c r="C13" s="440"/>
      <c r="D13" s="1078" t="str">
        <f ca="1">VLOOKUP(LOWER($S$65),$C$85:$L$98,3)</f>
        <v>HET EXCEL DEELNAME FORMULIER EK2020 (EUROPA)</v>
      </c>
      <c r="E13" s="1078"/>
      <c r="F13" s="1078"/>
      <c r="G13" s="1078"/>
      <c r="H13" s="1078"/>
      <c r="I13" s="1078"/>
      <c r="J13" s="1078"/>
      <c r="K13" s="1078"/>
      <c r="L13" s="1078"/>
      <c r="M13" s="1078"/>
      <c r="N13" s="1078"/>
      <c r="O13" s="1078"/>
      <c r="P13" s="1078"/>
      <c r="Q13" s="1078"/>
      <c r="R13" s="1078"/>
      <c r="S13" s="442"/>
      <c r="T13" s="464"/>
    </row>
    <row r="14" spans="1:26" x14ac:dyDescent="0.3">
      <c r="B14" s="464"/>
      <c r="C14" s="440"/>
      <c r="D14" s="1078"/>
      <c r="E14" s="1078"/>
      <c r="F14" s="1078"/>
      <c r="G14" s="1078"/>
      <c r="H14" s="1078"/>
      <c r="I14" s="1078"/>
      <c r="J14" s="1078"/>
      <c r="K14" s="1078"/>
      <c r="L14" s="1078"/>
      <c r="M14" s="1078"/>
      <c r="N14" s="1078"/>
      <c r="O14" s="1078"/>
      <c r="P14" s="1078"/>
      <c r="Q14" s="1078"/>
      <c r="R14" s="1078"/>
      <c r="S14" s="442"/>
      <c r="T14" s="464"/>
    </row>
    <row r="15" spans="1:26" x14ac:dyDescent="0.3">
      <c r="B15" s="464"/>
      <c r="C15" s="1079" t="str">
        <f>VLOOKUP(LOWER($S$65),$C$85:$L$98,10)</f>
        <v/>
      </c>
      <c r="D15" s="1080"/>
      <c r="E15" s="1080"/>
      <c r="F15" s="1080"/>
      <c r="G15" s="1080"/>
      <c r="H15" s="1080"/>
      <c r="I15" s="1080"/>
      <c r="J15" s="1080"/>
      <c r="K15" s="1080"/>
      <c r="L15" s="1080"/>
      <c r="M15" s="1080"/>
      <c r="N15" s="1080"/>
      <c r="O15" s="1080"/>
      <c r="P15" s="1080"/>
      <c r="Q15" s="1080"/>
      <c r="R15" s="1080"/>
      <c r="S15" s="1081"/>
      <c r="T15" s="464"/>
    </row>
    <row r="16" spans="1:26" x14ac:dyDescent="0.3">
      <c r="B16" s="464"/>
      <c r="C16" s="24"/>
      <c r="D16" s="24"/>
      <c r="E16" s="24"/>
      <c r="F16" s="24"/>
      <c r="G16" s="24"/>
      <c r="H16" s="24"/>
      <c r="I16" s="24"/>
      <c r="J16" s="24"/>
      <c r="K16" s="24"/>
      <c r="L16" s="24"/>
      <c r="M16" s="24"/>
      <c r="N16" s="24"/>
      <c r="O16" s="24"/>
      <c r="P16" s="24"/>
      <c r="Q16" s="24"/>
      <c r="R16" s="24"/>
      <c r="S16" s="24"/>
      <c r="T16" s="464"/>
    </row>
    <row r="17" spans="2:21" x14ac:dyDescent="0.3">
      <c r="B17" s="464"/>
      <c r="C17" s="1017"/>
      <c r="D17" s="1021" t="str">
        <f ca="1">Taal01!$B$8</f>
        <v>UEFA Europees Kampioenschap 2020: Europa</v>
      </c>
      <c r="E17" s="1018"/>
      <c r="F17" s="1018"/>
      <c r="G17" s="1018"/>
      <c r="H17" s="1018"/>
      <c r="I17" s="1018"/>
      <c r="J17" s="1018"/>
      <c r="K17" s="1018"/>
      <c r="L17" s="1018"/>
      <c r="M17" s="1018"/>
      <c r="N17" s="1018"/>
      <c r="O17" s="1018"/>
      <c r="P17" s="1018"/>
      <c r="Q17" s="1018"/>
      <c r="R17" s="1022"/>
      <c r="S17" s="1020"/>
      <c r="T17" s="464"/>
    </row>
    <row r="18" spans="2:21" x14ac:dyDescent="0.3">
      <c r="B18" s="464"/>
      <c r="C18" s="440"/>
      <c r="D18" s="451"/>
      <c r="E18" s="463"/>
      <c r="F18" s="463"/>
      <c r="G18" s="463"/>
      <c r="H18" s="463"/>
      <c r="I18" s="463"/>
      <c r="J18" s="463"/>
      <c r="K18" s="463"/>
      <c r="L18" s="463"/>
      <c r="M18" s="463"/>
      <c r="N18" s="463"/>
      <c r="O18" s="463"/>
      <c r="P18" s="463"/>
      <c r="Q18" s="463"/>
      <c r="R18" s="78"/>
      <c r="S18" s="442"/>
      <c r="T18" s="464"/>
    </row>
    <row r="19" spans="2:21" x14ac:dyDescent="0.3">
      <c r="B19" s="464"/>
      <c r="C19" s="440"/>
      <c r="D19" s="463"/>
      <c r="E19" s="463"/>
      <c r="F19" s="463"/>
      <c r="G19" s="463"/>
      <c r="H19" s="463"/>
      <c r="I19" s="463"/>
      <c r="J19" s="463"/>
      <c r="K19" s="463"/>
      <c r="L19" s="463"/>
      <c r="M19" s="463"/>
      <c r="N19" s="463"/>
      <c r="O19" s="463"/>
      <c r="P19" s="463"/>
      <c r="Q19" s="463"/>
      <c r="R19" s="463"/>
      <c r="S19" s="442"/>
      <c r="T19" s="464"/>
    </row>
    <row r="20" spans="2:21" x14ac:dyDescent="0.3">
      <c r="B20" s="464"/>
      <c r="C20" s="440"/>
      <c r="D20" s="463"/>
      <c r="E20" s="463"/>
      <c r="F20" s="463"/>
      <c r="G20" s="463"/>
      <c r="H20" s="463"/>
      <c r="I20" s="463"/>
      <c r="J20" s="463"/>
      <c r="K20" s="463"/>
      <c r="L20" s="463"/>
      <c r="M20" s="463"/>
      <c r="N20" s="117"/>
      <c r="O20" s="117"/>
      <c r="P20" s="117"/>
      <c r="Q20" s="117"/>
      <c r="R20" s="463"/>
      <c r="S20" s="442"/>
      <c r="T20" s="464"/>
    </row>
    <row r="21" spans="2:21" ht="15" customHeight="1" x14ac:dyDescent="0.3">
      <c r="B21" s="464"/>
      <c r="C21" s="440"/>
      <c r="D21" s="463"/>
      <c r="E21" s="463"/>
      <c r="F21" s="463"/>
      <c r="G21" s="463"/>
      <c r="H21" s="463"/>
      <c r="I21" s="463"/>
      <c r="J21" s="463"/>
      <c r="K21" s="463"/>
      <c r="L21" s="463"/>
      <c r="M21" s="463"/>
      <c r="N21" s="117"/>
      <c r="O21" s="117"/>
      <c r="P21" s="117"/>
      <c r="Q21" s="117"/>
      <c r="R21" s="463"/>
      <c r="S21" s="442"/>
      <c r="T21" s="464"/>
    </row>
    <row r="22" spans="2:21" ht="15" customHeight="1" x14ac:dyDescent="0.3">
      <c r="B22" s="464"/>
      <c r="C22" s="440"/>
      <c r="D22" s="464"/>
      <c r="E22" s="464"/>
      <c r="F22" s="464"/>
      <c r="G22" s="464"/>
      <c r="H22" s="464"/>
      <c r="I22" s="464"/>
      <c r="J22" s="463"/>
      <c r="K22" s="463"/>
      <c r="L22" s="463"/>
      <c r="M22" s="463"/>
      <c r="N22" s="117"/>
      <c r="O22" s="117"/>
      <c r="P22" s="117"/>
      <c r="Q22" s="117"/>
      <c r="R22" s="463"/>
      <c r="S22" s="442"/>
      <c r="T22" s="464"/>
    </row>
    <row r="23" spans="2:21" x14ac:dyDescent="0.3">
      <c r="B23" s="464"/>
      <c r="C23" s="440"/>
      <c r="D23" s="464"/>
      <c r="E23" s="464"/>
      <c r="F23" s="464"/>
      <c r="G23" s="464"/>
      <c r="H23" s="464"/>
      <c r="I23" s="464"/>
      <c r="J23" s="464"/>
      <c r="K23" s="464"/>
      <c r="L23" s="463"/>
      <c r="M23" s="463"/>
      <c r="N23" s="117"/>
      <c r="O23" s="117"/>
      <c r="P23" s="117"/>
      <c r="Q23" s="117"/>
      <c r="R23" s="463"/>
      <c r="S23" s="442"/>
      <c r="T23" s="464"/>
    </row>
    <row r="24" spans="2:21" x14ac:dyDescent="0.3">
      <c r="B24" s="464"/>
      <c r="C24" s="440"/>
      <c r="D24" s="464"/>
      <c r="E24" s="464"/>
      <c r="F24" s="464"/>
      <c r="G24" s="464"/>
      <c r="H24" s="464"/>
      <c r="I24" s="464"/>
      <c r="J24" s="464"/>
      <c r="K24" s="464"/>
      <c r="L24" s="463"/>
      <c r="M24" s="463"/>
      <c r="N24" s="117"/>
      <c r="O24" s="117"/>
      <c r="P24" s="117"/>
      <c r="Q24" s="117"/>
      <c r="R24" s="463"/>
      <c r="S24" s="442"/>
      <c r="T24" s="464"/>
      <c r="U24" s="462" t="s">
        <v>324</v>
      </c>
    </row>
    <row r="25" spans="2:21" x14ac:dyDescent="0.3">
      <c r="B25" s="464"/>
      <c r="C25" s="440"/>
      <c r="D25" s="464"/>
      <c r="E25" s="464"/>
      <c r="F25" s="464"/>
      <c r="G25" s="464"/>
      <c r="H25" s="464"/>
      <c r="I25" s="464"/>
      <c r="J25" s="464"/>
      <c r="K25" s="464"/>
      <c r="L25" s="463"/>
      <c r="M25" s="117"/>
      <c r="N25" s="117"/>
      <c r="O25" s="117"/>
      <c r="P25" s="117"/>
      <c r="Q25" s="117"/>
      <c r="R25" s="463"/>
      <c r="S25" s="442"/>
      <c r="T25" s="464"/>
    </row>
    <row r="26" spans="2:21" x14ac:dyDescent="0.3">
      <c r="B26" s="464"/>
      <c r="C26" s="440"/>
      <c r="D26" s="464"/>
      <c r="E26" s="464"/>
      <c r="F26" s="464"/>
      <c r="G26" s="464"/>
      <c r="H26" s="464"/>
      <c r="I26" s="464"/>
      <c r="J26" s="464"/>
      <c r="K26" s="464"/>
      <c r="L26" s="463"/>
      <c r="M26" s="117"/>
      <c r="N26" s="117"/>
      <c r="O26" s="117"/>
      <c r="P26" s="117"/>
      <c r="Q26" s="34"/>
      <c r="R26" s="463"/>
      <c r="S26" s="442"/>
      <c r="T26" s="464"/>
    </row>
    <row r="27" spans="2:21" ht="15" customHeight="1" x14ac:dyDescent="0.3">
      <c r="B27" s="464"/>
      <c r="C27" s="440"/>
      <c r="D27" s="464"/>
      <c r="E27" s="464"/>
      <c r="F27" s="464"/>
      <c r="G27" s="464"/>
      <c r="H27" s="464"/>
      <c r="I27" s="464"/>
      <c r="J27" s="464"/>
      <c r="K27" s="464"/>
      <c r="L27" s="463"/>
      <c r="M27" s="137"/>
      <c r="N27" s="137"/>
      <c r="O27" s="137"/>
      <c r="P27" s="137"/>
      <c r="Q27" s="137"/>
      <c r="R27" s="137"/>
      <c r="S27" s="442"/>
      <c r="T27" s="464"/>
    </row>
    <row r="28" spans="2:21" ht="15" customHeight="1" x14ac:dyDescent="0.3">
      <c r="B28" s="464"/>
      <c r="C28" s="440"/>
      <c r="D28" s="464"/>
      <c r="E28" s="464"/>
      <c r="F28" s="464"/>
      <c r="G28" s="464"/>
      <c r="H28" s="464"/>
      <c r="I28" s="464"/>
      <c r="J28" s="464"/>
      <c r="K28" s="464"/>
      <c r="L28" s="464"/>
      <c r="M28" s="464"/>
      <c r="N28" s="464"/>
      <c r="O28" s="464"/>
      <c r="P28" s="464"/>
      <c r="Q28" s="464"/>
      <c r="R28" s="464"/>
      <c r="S28" s="442"/>
      <c r="T28" s="464"/>
    </row>
    <row r="29" spans="2:21" x14ac:dyDescent="0.3">
      <c r="B29" s="464"/>
      <c r="C29" s="440"/>
      <c r="D29" s="464"/>
      <c r="E29" s="464"/>
      <c r="F29" s="464"/>
      <c r="G29" s="464"/>
      <c r="H29" s="464"/>
      <c r="I29" s="464"/>
      <c r="J29" s="464"/>
      <c r="K29" s="464"/>
      <c r="L29" s="464"/>
      <c r="M29" s="464"/>
      <c r="N29" s="464"/>
      <c r="O29" s="464"/>
      <c r="P29" s="464"/>
      <c r="Q29" s="464"/>
      <c r="R29" s="464"/>
      <c r="S29" s="442"/>
      <c r="T29" s="464"/>
    </row>
    <row r="30" spans="2:21" x14ac:dyDescent="0.3">
      <c r="B30" s="464"/>
      <c r="C30" s="440"/>
      <c r="D30" s="464"/>
      <c r="E30" s="464"/>
      <c r="F30" s="464"/>
      <c r="G30" s="464"/>
      <c r="H30" s="464"/>
      <c r="I30" s="464"/>
      <c r="J30" s="464"/>
      <c r="K30" s="464"/>
      <c r="L30" s="464"/>
      <c r="M30" s="464"/>
      <c r="N30" s="464"/>
      <c r="O30" s="464"/>
      <c r="P30" s="464"/>
      <c r="Q30" s="464"/>
      <c r="R30" s="464"/>
      <c r="S30" s="442"/>
      <c r="T30" s="464"/>
    </row>
    <row r="31" spans="2:21" x14ac:dyDescent="0.3">
      <c r="B31" s="464"/>
      <c r="C31" s="440"/>
      <c r="D31" s="463"/>
      <c r="E31" s="463"/>
      <c r="F31" s="463"/>
      <c r="G31" s="463"/>
      <c r="H31" s="463"/>
      <c r="I31" s="463"/>
      <c r="J31" s="463"/>
      <c r="K31" s="463"/>
      <c r="L31" s="463"/>
      <c r="M31" s="463"/>
      <c r="N31" s="463"/>
      <c r="O31" s="463"/>
      <c r="P31" s="463"/>
      <c r="Q31" s="463"/>
      <c r="R31" s="463"/>
      <c r="S31" s="442"/>
      <c r="T31" s="464"/>
    </row>
    <row r="32" spans="2:21" x14ac:dyDescent="0.3">
      <c r="B32" s="464"/>
      <c r="C32" s="440"/>
      <c r="D32" s="463"/>
      <c r="E32" s="463"/>
      <c r="F32" s="463"/>
      <c r="G32" s="463"/>
      <c r="H32" s="463"/>
      <c r="I32" s="463"/>
      <c r="J32" s="463"/>
      <c r="K32" s="463"/>
      <c r="L32" s="463"/>
      <c r="M32" s="463"/>
      <c r="N32" s="463"/>
      <c r="O32" s="463"/>
      <c r="P32" s="463"/>
      <c r="Q32" s="463"/>
      <c r="R32" s="463"/>
      <c r="S32" s="442"/>
      <c r="T32" s="464"/>
    </row>
    <row r="33" spans="2:20" x14ac:dyDescent="0.3">
      <c r="B33" s="464"/>
      <c r="C33" s="440"/>
      <c r="D33" s="463"/>
      <c r="E33" s="463"/>
      <c r="F33" s="463"/>
      <c r="G33" s="463"/>
      <c r="H33" s="463"/>
      <c r="I33" s="463"/>
      <c r="J33" s="463"/>
      <c r="K33" s="463"/>
      <c r="L33" s="463"/>
      <c r="M33" s="463"/>
      <c r="N33" s="463"/>
      <c r="O33" s="463"/>
      <c r="P33" s="463"/>
      <c r="Q33" s="463"/>
      <c r="R33" s="463"/>
      <c r="S33" s="442"/>
      <c r="T33" s="464"/>
    </row>
    <row r="34" spans="2:20" x14ac:dyDescent="0.3">
      <c r="B34" s="464"/>
      <c r="C34" s="440"/>
      <c r="D34" s="463"/>
      <c r="E34" s="463"/>
      <c r="F34" s="463"/>
      <c r="G34" s="463"/>
      <c r="H34" s="463"/>
      <c r="I34" s="463"/>
      <c r="J34" s="463"/>
      <c r="K34" s="463"/>
      <c r="L34" s="463"/>
      <c r="M34" s="463"/>
      <c r="N34" s="463"/>
      <c r="O34" s="463"/>
      <c r="P34" s="463"/>
      <c r="Q34" s="463"/>
      <c r="R34" s="463"/>
      <c r="S34" s="442"/>
      <c r="T34" s="464"/>
    </row>
    <row r="35" spans="2:20" ht="15" customHeight="1" x14ac:dyDescent="0.3">
      <c r="B35" s="464"/>
      <c r="C35" s="440"/>
      <c r="D35" s="463"/>
      <c r="E35" s="463"/>
      <c r="F35" s="463"/>
      <c r="G35" s="463"/>
      <c r="H35" s="463"/>
      <c r="I35" s="463"/>
      <c r="J35" s="463"/>
      <c r="K35" s="463"/>
      <c r="L35" s="463"/>
      <c r="M35" s="463"/>
      <c r="N35" s="463"/>
      <c r="O35" s="463"/>
      <c r="P35" s="463"/>
      <c r="Q35" s="463"/>
      <c r="R35" s="463"/>
      <c r="S35" s="442"/>
      <c r="T35" s="464"/>
    </row>
    <row r="36" spans="2:20" ht="15" customHeight="1" x14ac:dyDescent="0.3">
      <c r="B36" s="464"/>
      <c r="C36" s="440"/>
      <c r="D36" s="463"/>
      <c r="E36" s="463"/>
      <c r="F36" s="463"/>
      <c r="G36" s="463"/>
      <c r="H36" s="463"/>
      <c r="I36" s="463"/>
      <c r="J36" s="463"/>
      <c r="K36" s="463"/>
      <c r="L36" s="463"/>
      <c r="M36" s="463"/>
      <c r="N36" s="463"/>
      <c r="O36" s="463"/>
      <c r="P36" s="463"/>
      <c r="Q36" s="463"/>
      <c r="R36" s="463"/>
      <c r="S36" s="442"/>
      <c r="T36" s="464"/>
    </row>
    <row r="37" spans="2:20" ht="15" customHeight="1" x14ac:dyDescent="0.3">
      <c r="B37" s="464"/>
      <c r="C37" s="440"/>
      <c r="D37" s="463"/>
      <c r="E37" s="463"/>
      <c r="F37" s="463"/>
      <c r="G37" s="463"/>
      <c r="H37" s="463"/>
      <c r="I37" s="463"/>
      <c r="J37" s="463"/>
      <c r="K37" s="463"/>
      <c r="L37" s="463"/>
      <c r="M37" s="463"/>
      <c r="N37" s="463"/>
      <c r="O37" s="463"/>
      <c r="P37" s="463"/>
      <c r="Q37" s="463"/>
      <c r="R37" s="463"/>
      <c r="S37" s="442"/>
      <c r="T37" s="464"/>
    </row>
    <row r="38" spans="2:20" ht="15" customHeight="1" x14ac:dyDescent="0.3">
      <c r="B38" s="464"/>
      <c r="C38" s="440"/>
      <c r="D38" s="463"/>
      <c r="E38" s="463"/>
      <c r="F38" s="463"/>
      <c r="G38" s="463"/>
      <c r="H38" s="463"/>
      <c r="I38" s="463"/>
      <c r="J38" s="463"/>
      <c r="K38" s="463"/>
      <c r="L38" s="463"/>
      <c r="M38" s="463"/>
      <c r="N38" s="463"/>
      <c r="O38" s="463"/>
      <c r="P38" s="463"/>
      <c r="Q38" s="463"/>
      <c r="R38" s="463"/>
      <c r="S38" s="442"/>
      <c r="T38" s="464"/>
    </row>
    <row r="39" spans="2:20" ht="15" customHeight="1" x14ac:dyDescent="0.3">
      <c r="B39" s="464"/>
      <c r="C39" s="440"/>
      <c r="D39" s="463"/>
      <c r="E39" s="463"/>
      <c r="F39" s="463"/>
      <c r="G39" s="463"/>
      <c r="H39" s="463"/>
      <c r="I39" s="463"/>
      <c r="J39" s="463"/>
      <c r="K39" s="463"/>
      <c r="L39" s="463"/>
      <c r="M39" s="463"/>
      <c r="N39" s="463"/>
      <c r="O39" s="463"/>
      <c r="P39" s="463"/>
      <c r="Q39" s="463"/>
      <c r="R39" s="463"/>
      <c r="S39" s="442"/>
      <c r="T39" s="464"/>
    </row>
    <row r="40" spans="2:20" ht="15" customHeight="1" x14ac:dyDescent="0.3">
      <c r="B40" s="464"/>
      <c r="C40" s="440"/>
      <c r="D40" s="463"/>
      <c r="E40" s="463"/>
      <c r="F40" s="463"/>
      <c r="G40" s="463"/>
      <c r="H40" s="463"/>
      <c r="I40" s="463"/>
      <c r="J40" s="463"/>
      <c r="K40" s="463"/>
      <c r="L40" s="463"/>
      <c r="M40" s="463"/>
      <c r="N40" s="463"/>
      <c r="O40" s="463"/>
      <c r="P40" s="463"/>
      <c r="Q40" s="463"/>
      <c r="R40" s="463"/>
      <c r="S40" s="442"/>
      <c r="T40" s="464"/>
    </row>
    <row r="41" spans="2:20" ht="15" customHeight="1" x14ac:dyDescent="0.6">
      <c r="B41" s="464"/>
      <c r="C41" s="440"/>
      <c r="D41" s="463"/>
      <c r="E41" s="463"/>
      <c r="F41" s="463"/>
      <c r="G41" s="463"/>
      <c r="H41" s="463"/>
      <c r="I41" s="463"/>
      <c r="J41" s="534"/>
      <c r="K41" s="534"/>
      <c r="L41" s="534"/>
      <c r="M41" s="534"/>
      <c r="N41" s="463"/>
      <c r="O41" s="463"/>
      <c r="P41" s="463"/>
      <c r="Q41" s="463"/>
      <c r="R41" s="463"/>
      <c r="S41" s="442"/>
      <c r="T41" s="464"/>
    </row>
    <row r="42" spans="2:20" ht="15" customHeight="1" x14ac:dyDescent="0.6">
      <c r="B42" s="464"/>
      <c r="C42" s="440"/>
      <c r="D42" s="463"/>
      <c r="E42" s="463"/>
      <c r="F42" s="463"/>
      <c r="G42" s="463"/>
      <c r="H42" s="463"/>
      <c r="I42" s="463"/>
      <c r="J42" s="534"/>
      <c r="K42" s="534"/>
      <c r="L42" s="534"/>
      <c r="M42" s="534"/>
      <c r="N42" s="463"/>
      <c r="O42" s="463"/>
      <c r="P42" s="463"/>
      <c r="Q42" s="463"/>
      <c r="R42" s="463"/>
      <c r="S42" s="442"/>
      <c r="T42" s="464"/>
    </row>
    <row r="43" spans="2:20" ht="15" customHeight="1" x14ac:dyDescent="0.3">
      <c r="B43" s="464"/>
      <c r="C43" s="440"/>
      <c r="D43" s="34"/>
      <c r="E43" s="34"/>
      <c r="F43" s="34"/>
      <c r="G43" s="34"/>
      <c r="H43" s="34"/>
      <c r="I43" s="34"/>
      <c r="J43" s="1085" t="str">
        <f ca="1">UPPER(IF($D$13=$C$80&amp;" "&amp;$C$77,"",IF(M45=1,Taal01!$B$9,IF(M45&gt;1,SUBSTITUTE(Taal01!$B$10,"###",M45),""))))</f>
        <v>NOG 31 DAGEN TOT DE START VAN HET EK</v>
      </c>
      <c r="K43" s="1085"/>
      <c r="L43" s="1085"/>
      <c r="M43" s="1085"/>
      <c r="N43" s="463"/>
      <c r="O43" s="463"/>
      <c r="P43" s="463"/>
      <c r="Q43" s="463"/>
      <c r="R43" s="463"/>
      <c r="S43" s="442"/>
      <c r="T43" s="464"/>
    </row>
    <row r="44" spans="2:20" ht="15" customHeight="1" x14ac:dyDescent="0.3">
      <c r="B44" s="464"/>
      <c r="C44" s="440"/>
      <c r="D44" s="519"/>
      <c r="E44" s="519"/>
      <c r="F44" s="519"/>
      <c r="G44" s="519"/>
      <c r="H44" s="519"/>
      <c r="I44" s="519"/>
      <c r="J44" s="1085"/>
      <c r="K44" s="1085"/>
      <c r="L44" s="1085"/>
      <c r="M44" s="1085"/>
      <c r="N44" s="463"/>
      <c r="O44" s="463"/>
      <c r="P44" s="463"/>
      <c r="Q44" s="463"/>
      <c r="R44" s="463"/>
      <c r="S44" s="442"/>
      <c r="T44" s="464"/>
    </row>
    <row r="45" spans="2:20" ht="15" customHeight="1" x14ac:dyDescent="0.6">
      <c r="B45" s="464"/>
      <c r="C45" s="440"/>
      <c r="D45" s="520"/>
      <c r="E45" s="520"/>
      <c r="F45" s="520"/>
      <c r="G45" s="520"/>
      <c r="H45" s="520"/>
      <c r="I45" s="520"/>
      <c r="J45" s="755">
        <f ca="1">TODAY()</f>
        <v>44327</v>
      </c>
      <c r="K45" s="1068">
        <v>44358</v>
      </c>
      <c r="L45" s="1068"/>
      <c r="M45" s="533">
        <f ca="1">K45-J45</f>
        <v>31</v>
      </c>
      <c r="N45" s="463"/>
      <c r="O45" s="463"/>
      <c r="P45" s="463"/>
      <c r="Q45" s="463"/>
      <c r="R45" s="463"/>
      <c r="S45" s="442"/>
      <c r="T45" s="464"/>
    </row>
    <row r="46" spans="2:20" ht="15" customHeight="1" x14ac:dyDescent="0.6">
      <c r="B46" s="464"/>
      <c r="C46" s="440"/>
      <c r="D46" s="520"/>
      <c r="E46" s="520"/>
      <c r="F46" s="520"/>
      <c r="G46" s="520"/>
      <c r="H46" s="520"/>
      <c r="I46" s="520"/>
      <c r="J46" s="520"/>
      <c r="K46" s="463"/>
      <c r="L46" s="463"/>
      <c r="M46" s="463"/>
      <c r="N46" s="463"/>
      <c r="O46" s="463"/>
      <c r="P46" s="463"/>
      <c r="Q46" s="463"/>
      <c r="R46" s="463"/>
      <c r="S46" s="442"/>
      <c r="T46" s="464"/>
    </row>
    <row r="47" spans="2:20" x14ac:dyDescent="0.3">
      <c r="B47" s="464"/>
      <c r="C47" s="24"/>
      <c r="D47" s="531"/>
      <c r="E47" s="531"/>
      <c r="F47" s="531"/>
      <c r="G47" s="531"/>
      <c r="H47" s="531"/>
      <c r="I47" s="532"/>
      <c r="J47" s="532"/>
      <c r="K47" s="24"/>
      <c r="L47" s="24"/>
      <c r="M47" s="24"/>
      <c r="N47" s="24"/>
      <c r="O47" s="24"/>
      <c r="P47" s="24"/>
      <c r="Q47" s="24"/>
      <c r="R47" s="24"/>
      <c r="S47" s="24"/>
      <c r="T47" s="464"/>
    </row>
    <row r="48" spans="2:20" x14ac:dyDescent="0.3">
      <c r="B48" s="464"/>
      <c r="C48" s="440"/>
      <c r="D48" s="34"/>
      <c r="E48" s="34"/>
      <c r="F48" s="34"/>
      <c r="G48" s="34"/>
      <c r="H48" s="34"/>
      <c r="I48" s="34"/>
      <c r="J48" s="34"/>
      <c r="K48" s="463"/>
      <c r="L48" s="463"/>
      <c r="M48" s="463"/>
      <c r="N48" s="463"/>
      <c r="O48" s="463"/>
      <c r="P48" s="463"/>
      <c r="Q48" s="463"/>
      <c r="R48" s="463"/>
      <c r="S48" s="442"/>
      <c r="T48" s="464"/>
    </row>
    <row r="49" spans="2:20" ht="18.75" customHeight="1" x14ac:dyDescent="0.35">
      <c r="B49" s="464"/>
      <c r="C49" s="440"/>
      <c r="D49" s="463"/>
      <c r="E49" s="463"/>
      <c r="F49" s="463"/>
      <c r="G49" s="622" t="str">
        <f ca="1">Taal02!$B$6</f>
        <v>Groep A</v>
      </c>
      <c r="H49" s="623"/>
      <c r="I49" s="623"/>
      <c r="J49" s="624" t="str">
        <f ca="1">Taal02!$B$11</f>
        <v>Groep B</v>
      </c>
      <c r="K49" s="474"/>
      <c r="L49" s="625"/>
      <c r="M49" s="624" t="str">
        <f ca="1">Taal02!$B$16</f>
        <v>Groep C</v>
      </c>
      <c r="N49" s="623"/>
      <c r="O49" s="623"/>
      <c r="P49" s="624" t="str">
        <f ca="1">Taal02!$B$36</f>
        <v>Groep G</v>
      </c>
      <c r="Q49" s="99"/>
      <c r="R49" s="463"/>
      <c r="S49" s="442"/>
      <c r="T49" s="464"/>
    </row>
    <row r="50" spans="2:20" ht="18.75" customHeight="1" x14ac:dyDescent="0.35">
      <c r="B50" s="464"/>
      <c r="C50" s="440"/>
      <c r="D50" s="463"/>
      <c r="E50" s="463"/>
      <c r="F50" s="463"/>
      <c r="G50" s="623" t="str">
        <f ca="1">VLOOKUP(RIGHT(G49,1)&amp;"1",$X$67:$Z$98,2)</f>
        <v>Turkije</v>
      </c>
      <c r="H50" s="463"/>
      <c r="I50" s="463"/>
      <c r="J50" s="626" t="str">
        <f ca="1">VLOOKUP(RIGHT(J49,1)&amp;"1",$X$67:$Z$98,2)</f>
        <v>Denemarken</v>
      </c>
      <c r="K50" s="474"/>
      <c r="L50" s="474"/>
      <c r="M50" s="626" t="str">
        <f ca="1">VLOOKUP(RIGHT(M49,1)&amp;"1",$X$67:$Z$98,2)</f>
        <v>Nederland</v>
      </c>
      <c r="N50" s="463"/>
      <c r="O50" s="463"/>
      <c r="P50" s="626" t="str">
        <f ca="1">VLOOKUP(RIGHT(P49,1)&amp;"1",$X$67:$Z$98,2)</f>
        <v>Land G1</v>
      </c>
      <c r="Q50" s="99"/>
      <c r="R50" s="463"/>
      <c r="S50" s="442"/>
      <c r="T50" s="464"/>
    </row>
    <row r="51" spans="2:20" ht="18.75" customHeight="1" x14ac:dyDescent="0.35">
      <c r="B51" s="464"/>
      <c r="C51" s="440"/>
      <c r="D51" s="463"/>
      <c r="E51" s="463"/>
      <c r="F51" s="463"/>
      <c r="G51" s="623" t="str">
        <f ca="1">VLOOKUP(RIGHT(G49,1)&amp;"2",$X$67:$Z$98,2)</f>
        <v>Italië</v>
      </c>
      <c r="H51" s="463"/>
      <c r="I51" s="463"/>
      <c r="J51" s="626" t="str">
        <f ca="1">VLOOKUP(RIGHT(J49,1)&amp;"2",$X$67:$Z$98,2)</f>
        <v>Finland</v>
      </c>
      <c r="K51" s="474"/>
      <c r="L51" s="474"/>
      <c r="M51" s="626" t="str">
        <f ca="1">VLOOKUP(RIGHT(M49,1)&amp;"2",$X$67:$Z$98,2)</f>
        <v>Oekraïne</v>
      </c>
      <c r="N51" s="463"/>
      <c r="O51" s="463"/>
      <c r="P51" s="626" t="str">
        <f ca="1">VLOOKUP(RIGHT(P49,1)&amp;"2",$X$67:$Z$98,2)</f>
        <v>Land G2</v>
      </c>
      <c r="Q51" s="99"/>
      <c r="R51" s="463"/>
      <c r="S51" s="442"/>
      <c r="T51" s="464"/>
    </row>
    <row r="52" spans="2:20" ht="18.75" customHeight="1" x14ac:dyDescent="0.35">
      <c r="B52" s="464"/>
      <c r="C52" s="440"/>
      <c r="D52" s="463"/>
      <c r="E52" s="463"/>
      <c r="F52" s="463"/>
      <c r="G52" s="623" t="str">
        <f ca="1">VLOOKUP(RIGHT(G49,1)&amp;"3",$X$67:$Z$98,2)</f>
        <v>Wales</v>
      </c>
      <c r="H52" s="463"/>
      <c r="I52" s="463"/>
      <c r="J52" s="626" t="str">
        <f ca="1">VLOOKUP(RIGHT(J49,1)&amp;"3",$X$67:$Z$98,2)</f>
        <v>België</v>
      </c>
      <c r="K52" s="474"/>
      <c r="L52" s="474"/>
      <c r="M52" s="626" t="str">
        <f ca="1">VLOOKUP(RIGHT(M49,1)&amp;"3",$X$67:$Z$98,2)</f>
        <v>Oostenrijk</v>
      </c>
      <c r="N52" s="463"/>
      <c r="O52" s="463"/>
      <c r="P52" s="626" t="str">
        <f ca="1">VLOOKUP(RIGHT(P49,1)&amp;"3",$X$67:$Z$98,2)</f>
        <v>Land G3</v>
      </c>
      <c r="Q52" s="99"/>
      <c r="R52" s="463"/>
      <c r="S52" s="442"/>
      <c r="T52" s="464"/>
    </row>
    <row r="53" spans="2:20" ht="18.75" customHeight="1" x14ac:dyDescent="0.35">
      <c r="B53" s="464"/>
      <c r="C53" s="440"/>
      <c r="D53" s="463"/>
      <c r="E53" s="463"/>
      <c r="F53" s="463"/>
      <c r="G53" s="623" t="str">
        <f ca="1">VLOOKUP(RIGHT(G49,1)&amp;"4",$X$67:$Z$98,2)</f>
        <v>Zwitserland</v>
      </c>
      <c r="H53" s="463"/>
      <c r="I53" s="463"/>
      <c r="J53" s="626" t="str">
        <f ca="1">VLOOKUP(RIGHT(J49,1)&amp;"4",$X$67:$Z$98,2)</f>
        <v>Rusland</v>
      </c>
      <c r="K53" s="474"/>
      <c r="L53" s="474"/>
      <c r="M53" s="626" t="str">
        <f ca="1">VLOOKUP(RIGHT(M49,1)&amp;"4",$X$67:$Z$98,2)</f>
        <v>N.-Macedonië</v>
      </c>
      <c r="N53" s="463"/>
      <c r="O53" s="463"/>
      <c r="P53" s="626" t="str">
        <f ca="1">VLOOKUP(RIGHT(P49,1)&amp;"4",$X$67:$Z$98,2)</f>
        <v>Land G4</v>
      </c>
      <c r="Q53" s="99"/>
      <c r="R53" s="463"/>
      <c r="S53" s="442"/>
      <c r="T53" s="464"/>
    </row>
    <row r="54" spans="2:20" x14ac:dyDescent="0.3">
      <c r="B54" s="464"/>
      <c r="C54" s="440"/>
      <c r="D54" s="463"/>
      <c r="E54" s="463"/>
      <c r="F54" s="463"/>
      <c r="G54" s="463"/>
      <c r="H54" s="463"/>
      <c r="I54" s="463"/>
      <c r="J54" s="463"/>
      <c r="K54" s="463"/>
      <c r="L54" s="463"/>
      <c r="M54" s="463"/>
      <c r="N54" s="463"/>
      <c r="O54" s="463"/>
      <c r="P54" s="99"/>
      <c r="Q54" s="99"/>
      <c r="R54" s="463"/>
      <c r="S54" s="442"/>
      <c r="T54" s="464"/>
    </row>
    <row r="55" spans="2:20" ht="18" x14ac:dyDescent="0.35">
      <c r="B55" s="464"/>
      <c r="C55" s="440"/>
      <c r="D55" s="463"/>
      <c r="E55" s="463"/>
      <c r="F55" s="463"/>
      <c r="G55" s="622" t="str">
        <f ca="1">Taal02!$B$21</f>
        <v>Groep D</v>
      </c>
      <c r="H55" s="623"/>
      <c r="I55" s="623"/>
      <c r="J55" s="622" t="str">
        <f ca="1">Taal02!$B$26</f>
        <v>Groep E</v>
      </c>
      <c r="K55" s="463"/>
      <c r="L55" s="623"/>
      <c r="M55" s="622" t="str">
        <f ca="1">Taal02!$B$31</f>
        <v>Groep F</v>
      </c>
      <c r="N55" s="623"/>
      <c r="O55" s="623"/>
      <c r="P55" s="624" t="str">
        <f ca="1">Taal02!$B$41</f>
        <v>Groep H</v>
      </c>
      <c r="Q55" s="99"/>
      <c r="R55" s="463"/>
      <c r="S55" s="442"/>
      <c r="T55" s="464"/>
    </row>
    <row r="56" spans="2:20" ht="18" x14ac:dyDescent="0.35">
      <c r="B56" s="464"/>
      <c r="C56" s="440"/>
      <c r="D56" s="463"/>
      <c r="E56" s="463"/>
      <c r="F56" s="463"/>
      <c r="G56" s="623" t="str">
        <f ca="1">VLOOKUP(RIGHT(G55,1)&amp;"1",$X$67:$Z$98,2)</f>
        <v>Engeland</v>
      </c>
      <c r="H56" s="623"/>
      <c r="I56" s="623"/>
      <c r="J56" s="623" t="str">
        <f ca="1">VLOOKUP(RIGHT(J55,1)&amp;"1",$X$67:$Z$98,2)</f>
        <v>Spanje</v>
      </c>
      <c r="K56" s="623"/>
      <c r="L56" s="623"/>
      <c r="M56" s="623" t="str">
        <f ca="1">VLOOKUP(RIGHT(M55,1)&amp;"1",$X$67:$Z$98,2)</f>
        <v>Hongarije</v>
      </c>
      <c r="N56" s="623"/>
      <c r="O56" s="623"/>
      <c r="P56" s="626" t="str">
        <f ca="1">VLOOKUP(RIGHT(P55,1)&amp;"1",$X$67:$Z$98,2)</f>
        <v>Land H1</v>
      </c>
      <c r="Q56" s="99"/>
      <c r="R56" s="463"/>
      <c r="S56" s="442"/>
      <c r="T56" s="464"/>
    </row>
    <row r="57" spans="2:20" ht="18" x14ac:dyDescent="0.35">
      <c r="B57" s="464"/>
      <c r="C57" s="440"/>
      <c r="D57" s="463"/>
      <c r="E57" s="463"/>
      <c r="F57" s="463"/>
      <c r="G57" s="623" t="str">
        <f ca="1">VLOOKUP(RIGHT(G55,1)&amp;"2",$X$67:$Z$98,2)</f>
        <v>Kroatië</v>
      </c>
      <c r="H57" s="623"/>
      <c r="I57" s="623"/>
      <c r="J57" s="623" t="str">
        <f ca="1">VLOOKUP(RIGHT(J55,1)&amp;"2",$X$67:$Z$98,2)</f>
        <v>Zweden</v>
      </c>
      <c r="K57" s="623"/>
      <c r="L57" s="623"/>
      <c r="M57" s="623" t="str">
        <f ca="1">VLOOKUP(RIGHT(M55,1)&amp;"2",$X$67:$Z$98,2)</f>
        <v>Portugal</v>
      </c>
      <c r="N57" s="623"/>
      <c r="O57" s="623"/>
      <c r="P57" s="626" t="str">
        <f ca="1">VLOOKUP(RIGHT(P55,1)&amp;"2",$X$67:$Z$98,2)</f>
        <v>Land H2</v>
      </c>
      <c r="Q57" s="99"/>
      <c r="R57" s="463"/>
      <c r="S57" s="442"/>
      <c r="T57" s="464"/>
    </row>
    <row r="58" spans="2:20" ht="18" x14ac:dyDescent="0.35">
      <c r="B58" s="464"/>
      <c r="C58" s="440"/>
      <c r="D58" s="463"/>
      <c r="E58" s="463"/>
      <c r="F58" s="463"/>
      <c r="G58" s="623" t="str">
        <f ca="1">VLOOKUP(RIGHT(G55,1)&amp;"3",$X$67:$Z$98,2)</f>
        <v>Schotland</v>
      </c>
      <c r="H58" s="623"/>
      <c r="I58" s="623"/>
      <c r="J58" s="623" t="str">
        <f ca="1">VLOOKUP(RIGHT(J55,1)&amp;"3",$X$67:$Z$98,2)</f>
        <v>Polen</v>
      </c>
      <c r="K58" s="623"/>
      <c r="L58" s="623"/>
      <c r="M58" s="623" t="str">
        <f ca="1">VLOOKUP(RIGHT(M55,1)&amp;"3",$X$67:$Z$98,2)</f>
        <v>Frankrijk</v>
      </c>
      <c r="N58" s="623"/>
      <c r="O58" s="623"/>
      <c r="P58" s="626" t="str">
        <f ca="1">VLOOKUP(RIGHT(P55,1)&amp;"3",$X$67:$Z$98,2)</f>
        <v>Land H3</v>
      </c>
      <c r="Q58" s="99"/>
      <c r="R58" s="463"/>
      <c r="S58" s="442"/>
      <c r="T58" s="464"/>
    </row>
    <row r="59" spans="2:20" ht="18" x14ac:dyDescent="0.35">
      <c r="B59" s="464"/>
      <c r="C59" s="440"/>
      <c r="D59" s="463"/>
      <c r="E59" s="463"/>
      <c r="F59" s="463"/>
      <c r="G59" s="623" t="str">
        <f ca="1">VLOOKUP(RIGHT(G55,1)&amp;"4",$X$67:$Z$98,2)</f>
        <v>Tsjechië</v>
      </c>
      <c r="H59" s="623"/>
      <c r="I59" s="623"/>
      <c r="J59" s="623" t="str">
        <f ca="1">VLOOKUP(RIGHT(J55,1)&amp;"4",$X$67:$Z$98,2)</f>
        <v>Slowakije</v>
      </c>
      <c r="K59" s="623"/>
      <c r="L59" s="623"/>
      <c r="M59" s="623" t="str">
        <f ca="1">VLOOKUP(RIGHT(M55,1)&amp;"4",$X$67:$Z$98,2)</f>
        <v>Duitsland</v>
      </c>
      <c r="N59" s="623"/>
      <c r="O59" s="623"/>
      <c r="P59" s="626" t="str">
        <f ca="1">VLOOKUP(RIGHT(P55,1)&amp;"4",$X$67:$Z$98,2)</f>
        <v>Land H4</v>
      </c>
      <c r="Q59" s="99"/>
      <c r="R59" s="463"/>
      <c r="S59" s="442"/>
      <c r="T59" s="464"/>
    </row>
    <row r="60" spans="2:20" ht="18" x14ac:dyDescent="0.35">
      <c r="B60" s="464"/>
      <c r="C60" s="445"/>
      <c r="D60" s="443"/>
      <c r="E60" s="443"/>
      <c r="F60" s="443"/>
      <c r="G60" s="118"/>
      <c r="H60" s="118"/>
      <c r="I60" s="118"/>
      <c r="J60" s="118"/>
      <c r="K60" s="118"/>
      <c r="L60" s="118"/>
      <c r="M60" s="443"/>
      <c r="N60" s="118"/>
      <c r="O60" s="443"/>
      <c r="P60" s="443"/>
      <c r="Q60" s="443"/>
      <c r="R60" s="443"/>
      <c r="S60" s="446"/>
      <c r="T60" s="464"/>
    </row>
    <row r="61" spans="2:20" x14ac:dyDescent="0.3">
      <c r="B61" s="464"/>
      <c r="C61" s="464"/>
      <c r="D61" s="464"/>
      <c r="E61" s="464"/>
      <c r="F61" s="464"/>
      <c r="G61" s="464"/>
      <c r="H61" s="464"/>
      <c r="I61" s="464"/>
      <c r="J61" s="464"/>
      <c r="K61" s="464"/>
      <c r="L61" s="464"/>
      <c r="M61" s="464"/>
      <c r="N61" s="464"/>
      <c r="O61" s="464"/>
      <c r="P61" s="464"/>
      <c r="Q61" s="464"/>
      <c r="R61" s="464"/>
      <c r="S61" s="464"/>
      <c r="T61" s="464"/>
    </row>
    <row r="62" spans="2:20" x14ac:dyDescent="0.3">
      <c r="B62" s="464"/>
      <c r="C62" s="1017"/>
      <c r="D62" s="1023" t="str">
        <f>Reglement!D71&amp;IF(AND(OR(S65="a",S65="b",S65="c"),ISNUMBER(P67)),"   ("&amp;P67&amp;" "&amp;LOWER(Taal01!$B$33)&amp;")","")</f>
        <v>www.excel-pool.nl</v>
      </c>
      <c r="E62" s="1018"/>
      <c r="F62" s="1018"/>
      <c r="G62" s="1018"/>
      <c r="H62" s="1018"/>
      <c r="I62" s="1018"/>
      <c r="J62" s="1018"/>
      <c r="K62" s="1018"/>
      <c r="L62" s="1018"/>
      <c r="M62" s="1018"/>
      <c r="N62" s="1018"/>
      <c r="O62" s="1018"/>
      <c r="P62" s="1018"/>
      <c r="Q62" s="1018"/>
      <c r="R62" s="1024" t="str">
        <f>Reglement!M71</f>
        <v>©2021 Eric de Jong v20.00dj</v>
      </c>
      <c r="S62" s="1020"/>
      <c r="T62" s="464"/>
    </row>
    <row r="63" spans="2:20" x14ac:dyDescent="0.3">
      <c r="B63" s="464"/>
      <c r="C63" s="464"/>
      <c r="D63" s="464"/>
      <c r="E63" s="464"/>
      <c r="F63" s="464"/>
      <c r="G63" s="464"/>
      <c r="H63" s="464"/>
      <c r="I63" s="464"/>
      <c r="J63" s="464"/>
      <c r="K63" s="464"/>
      <c r="L63" s="464"/>
      <c r="M63" s="464"/>
      <c r="N63" s="464"/>
      <c r="O63" s="464"/>
      <c r="P63" s="464"/>
      <c r="Q63" s="464"/>
      <c r="R63" s="464"/>
      <c r="S63" s="464"/>
      <c r="T63" s="464"/>
    </row>
    <row r="65" spans="2:34" hidden="1" x14ac:dyDescent="0.3">
      <c r="B65" s="302" t="s">
        <v>259</v>
      </c>
      <c r="C65" s="47"/>
      <c r="D65" s="47"/>
      <c r="E65" s="47"/>
      <c r="F65" s="47"/>
      <c r="G65" s="303" t="s">
        <v>16</v>
      </c>
      <c r="H65" s="304" t="s">
        <v>898</v>
      </c>
      <c r="I65" s="1084" t="s">
        <v>899</v>
      </c>
      <c r="J65" s="1084"/>
      <c r="K65" s="47"/>
      <c r="L65" s="47"/>
      <c r="M65" s="47"/>
      <c r="N65" s="47"/>
      <c r="O65" s="305" t="s">
        <v>98</v>
      </c>
      <c r="P65" s="306" t="str">
        <f>IF(LEN(S65)=2,LEFT(RIGHT(R62,7),5),LEFT(RIGHT(R62,6),5))</f>
        <v>20.00</v>
      </c>
      <c r="Q65" s="41"/>
      <c r="R65" s="305" t="s">
        <v>91</v>
      </c>
      <c r="S65" s="307" t="str">
        <f>IF(TYPE(LEFT(RIGHT(R62,2),1)*1)=1,RIGHT(R62,1),RIGHT(R62,2))</f>
        <v>dj</v>
      </c>
      <c r="T65" s="47"/>
      <c r="U65" s="60"/>
      <c r="V65" s="60"/>
      <c r="W65" s="60"/>
      <c r="X65" s="754" t="s">
        <v>64</v>
      </c>
      <c r="Y65" s="725" t="s">
        <v>142</v>
      </c>
      <c r="Z65" s="725" t="s">
        <v>143</v>
      </c>
      <c r="AA65" s="732" t="str">
        <f>X65</f>
        <v>CODE</v>
      </c>
      <c r="AB65" s="729" t="str">
        <f t="shared" ref="AB65:AF65" si="0">Y65</f>
        <v>LAND</v>
      </c>
      <c r="AC65" s="730" t="str">
        <f t="shared" si="0"/>
        <v>AFKORTING</v>
      </c>
      <c r="AD65" s="346" t="str">
        <f t="shared" si="0"/>
        <v>CODE</v>
      </c>
      <c r="AE65" s="346" t="str">
        <f t="shared" si="0"/>
        <v>LAND</v>
      </c>
      <c r="AF65" s="465" t="str">
        <f t="shared" si="0"/>
        <v>AFKORTING</v>
      </c>
      <c r="AG65" s="346" t="str">
        <f>Y65</f>
        <v>LAND</v>
      </c>
      <c r="AH65" s="651" t="s">
        <v>422</v>
      </c>
    </row>
    <row r="66" spans="2:34" hidden="1" x14ac:dyDescent="0.3">
      <c r="B66" s="302" t="s">
        <v>260</v>
      </c>
      <c r="C66" s="47"/>
      <c r="D66" s="47"/>
      <c r="E66" s="47"/>
      <c r="F66" s="47"/>
      <c r="G66" s="303" t="s">
        <v>16</v>
      </c>
      <c r="H66" s="306" t="s">
        <v>393</v>
      </c>
      <c r="I66" s="757" t="s">
        <v>392</v>
      </c>
      <c r="J66" s="47"/>
      <c r="K66" s="47"/>
      <c r="L66" s="47"/>
      <c r="M66" s="47"/>
      <c r="N66" s="47"/>
      <c r="O66" s="305" t="s">
        <v>105</v>
      </c>
      <c r="P66" s="47" t="str">
        <f>IF(Reglement!Q81=1,"JA","NEE")</f>
        <v>JA</v>
      </c>
      <c r="Q66" s="47"/>
      <c r="R66" s="305"/>
      <c r="S66" s="307"/>
      <c r="T66" s="47"/>
      <c r="U66" s="60"/>
      <c r="V66" s="709"/>
      <c r="W66" s="710">
        <f>LOOKUP(W7,W67:W76,V67:V76)</f>
        <v>1</v>
      </c>
      <c r="X66" s="754"/>
      <c r="Y66" s="725"/>
      <c r="Z66" s="725"/>
      <c r="AA66" s="733"/>
      <c r="AB66" s="729"/>
      <c r="AC66" s="731"/>
      <c r="AD66" s="60"/>
      <c r="AE66" s="347"/>
      <c r="AF66" s="465"/>
      <c r="AG66" s="347"/>
      <c r="AH66" s="1011"/>
    </row>
    <row r="67" spans="2:34" hidden="1" x14ac:dyDescent="0.3">
      <c r="B67" s="302" t="s">
        <v>261</v>
      </c>
      <c r="C67" s="47"/>
      <c r="D67" s="47"/>
      <c r="E67" s="47"/>
      <c r="F67" s="47"/>
      <c r="G67" s="303" t="s">
        <v>16</v>
      </c>
      <c r="H67" s="308"/>
      <c r="I67" s="47"/>
      <c r="J67" s="47"/>
      <c r="K67" s="47"/>
      <c r="L67" s="47"/>
      <c r="M67" s="47"/>
      <c r="N67" s="47"/>
      <c r="O67" s="305" t="s">
        <v>102</v>
      </c>
      <c r="P67" s="521" t="s">
        <v>447</v>
      </c>
      <c r="Q67" s="47"/>
      <c r="R67" s="47"/>
      <c r="S67" s="47"/>
      <c r="T67" s="47"/>
      <c r="U67" s="60"/>
      <c r="V67" s="708">
        <v>1</v>
      </c>
      <c r="W67" s="708" t="str">
        <f>Taal01!B62</f>
        <v>Dutch</v>
      </c>
      <c r="X67" s="754" t="s">
        <v>110</v>
      </c>
      <c r="Y67" s="725" t="str">
        <f ca="1">Taal02!$B$7</f>
        <v>Turkije</v>
      </c>
      <c r="Z67" s="725" t="s">
        <v>927</v>
      </c>
      <c r="AA67" s="733" t="str">
        <f ca="1">RIGHT(LEFT(Taal02!$B$48,(ROW()-66)*2),2)</f>
        <v>B3</v>
      </c>
      <c r="AB67" s="729" t="str">
        <f t="shared" ref="AB67:AB98" ca="1" si="1">VLOOKUP($AA67,$X$67:$Z$98,2)</f>
        <v>België</v>
      </c>
      <c r="AC67" s="731" t="str">
        <f t="shared" ref="AC67:AC98" ca="1" si="2">VLOOKUP($AA67,$X$67:$Z$98,3)</f>
        <v>BE</v>
      </c>
      <c r="AD67" s="347" t="s">
        <v>120</v>
      </c>
      <c r="AE67" s="347" t="str">
        <f t="shared" ref="AE67:AE98" ca="1" si="3">VLOOKUP($AD67,$X$67:$Z$98,2)</f>
        <v>Oostenrijk</v>
      </c>
      <c r="AF67" s="465" t="str">
        <f>VLOOKUP($AD67,$X$67:$Z$98,3)</f>
        <v>AT</v>
      </c>
      <c r="AG67" s="347" t="str">
        <f ca="1">AE67</f>
        <v>Oostenrijk</v>
      </c>
      <c r="AH67" s="1011" t="s">
        <v>483</v>
      </c>
    </row>
    <row r="68" spans="2:34" hidden="1" x14ac:dyDescent="0.3">
      <c r="B68" s="47"/>
      <c r="C68" s="47"/>
      <c r="D68" s="47"/>
      <c r="E68" s="47"/>
      <c r="F68" s="47"/>
      <c r="G68" s="47"/>
      <c r="H68" s="723" t="s">
        <v>897</v>
      </c>
      <c r="I68" s="47"/>
      <c r="J68" s="47"/>
      <c r="K68" s="47"/>
      <c r="L68" s="47"/>
      <c r="M68" s="47"/>
      <c r="N68" s="47"/>
      <c r="O68" s="305" t="s">
        <v>449</v>
      </c>
      <c r="P68" s="756" t="str">
        <f>IF(ISNUMBER($P$67),FLOOR(($P$67-1)/10,1),"nvt")</f>
        <v>nvt</v>
      </c>
      <c r="Q68" s="47"/>
      <c r="R68" s="47"/>
      <c r="S68" s="47"/>
      <c r="T68" s="47"/>
      <c r="U68" s="60"/>
      <c r="V68" s="708">
        <v>2</v>
      </c>
      <c r="W68" s="708" t="str">
        <f>Taal01!B63</f>
        <v>English</v>
      </c>
      <c r="X68" s="754" t="s">
        <v>111</v>
      </c>
      <c r="Y68" s="725" t="str">
        <f ca="1">Taal02!$B$8</f>
        <v>Italië</v>
      </c>
      <c r="Z68" s="725" t="s">
        <v>928</v>
      </c>
      <c r="AA68" s="733" t="str">
        <f ca="1">RIGHT(LEFT(Taal02!$B$48,(ROW()-66)*2),2)</f>
        <v>B1</v>
      </c>
      <c r="AB68" s="729" t="str">
        <f t="shared" ca="1" si="1"/>
        <v>Denemarken</v>
      </c>
      <c r="AC68" s="731" t="str">
        <f t="shared" ca="1" si="2"/>
        <v>DK</v>
      </c>
      <c r="AD68" s="347" t="s">
        <v>116</v>
      </c>
      <c r="AE68" s="347" t="str">
        <f t="shared" ca="1" si="3"/>
        <v>België</v>
      </c>
      <c r="AF68" s="465" t="str">
        <f t="shared" ref="AF68:AF98" si="4">VLOOKUP($AD68,$X$67:$Z$98,3)</f>
        <v>BE</v>
      </c>
      <c r="AG68" s="347" t="str">
        <f t="shared" ref="AG68:AG98" ca="1" si="5">AE68</f>
        <v>België</v>
      </c>
      <c r="AH68" s="1011" t="s">
        <v>484</v>
      </c>
    </row>
    <row r="69" spans="2:34" hidden="1" x14ac:dyDescent="0.3">
      <c r="B69" s="302" t="s">
        <v>391</v>
      </c>
      <c r="C69" s="47"/>
      <c r="D69" s="47"/>
      <c r="E69" s="47"/>
      <c r="F69" s="47"/>
      <c r="G69" s="303" t="s">
        <v>16</v>
      </c>
      <c r="H69" s="467" t="str">
        <f>IF(OR($S$65="a",$S$65="b",$S$65="c"),IF(AND($P$66="JA",Reglement!N81=0),"NEE","JA"),"n.v.t.")</f>
        <v>n.v.t.</v>
      </c>
      <c r="I69" s="47"/>
      <c r="J69" s="47"/>
      <c r="K69" s="47"/>
      <c r="L69" s="47"/>
      <c r="M69" s="47"/>
      <c r="N69" s="47"/>
      <c r="O69" s="305" t="s">
        <v>448</v>
      </c>
      <c r="P69" s="467" t="str">
        <f>IF(ISNUMBER($P$67),41,"nvt")</f>
        <v>nvt</v>
      </c>
      <c r="Q69" s="47"/>
      <c r="R69" s="47"/>
      <c r="S69" s="47"/>
      <c r="T69" s="47"/>
      <c r="U69" s="60"/>
      <c r="V69" s="708">
        <v>3</v>
      </c>
      <c r="W69" s="708"/>
      <c r="X69" s="754" t="s">
        <v>112</v>
      </c>
      <c r="Y69" s="725" t="str">
        <f ca="1">Taal02!$B$9</f>
        <v>Wales</v>
      </c>
      <c r="Z69" s="725" t="s">
        <v>942</v>
      </c>
      <c r="AA69" s="733" t="str">
        <f ca="1">RIGHT(LEFT(Taal02!$B$48,(ROW()-66)*2),2)</f>
        <v>F4</v>
      </c>
      <c r="AB69" s="729" t="str">
        <f t="shared" ca="1" si="1"/>
        <v>Duitsland</v>
      </c>
      <c r="AC69" s="731" t="str">
        <f t="shared" ca="1" si="2"/>
        <v>DE</v>
      </c>
      <c r="AD69" s="347" t="s">
        <v>113</v>
      </c>
      <c r="AE69" s="347" t="str">
        <f t="shared" ca="1" si="3"/>
        <v>Zwitserland</v>
      </c>
      <c r="AF69" s="465" t="str">
        <f t="shared" si="4"/>
        <v>CH</v>
      </c>
      <c r="AG69" s="347" t="str">
        <f t="shared" ca="1" si="5"/>
        <v>Zwitserland</v>
      </c>
      <c r="AH69" s="1011" t="s">
        <v>410</v>
      </c>
    </row>
    <row r="70" spans="2:34" hidden="1" x14ac:dyDescent="0.3">
      <c r="B70" s="302" t="s">
        <v>256</v>
      </c>
      <c r="C70" s="47"/>
      <c r="D70" s="47"/>
      <c r="E70" s="47"/>
      <c r="F70" s="47"/>
      <c r="G70" s="303" t="s">
        <v>16</v>
      </c>
      <c r="H70" s="47" t="str">
        <f>IF(OR($S$65="a",$S$65="b",$S$65="c"),IF(AND($P$66="JA",Reglement!G123="##"),"NEE","JA"),"n.v.t.")</f>
        <v>n.v.t.</v>
      </c>
      <c r="I70" s="47"/>
      <c r="J70" s="47"/>
      <c r="K70" s="47"/>
      <c r="L70" s="47"/>
      <c r="M70" s="47"/>
      <c r="N70" s="47"/>
      <c r="O70" s="305" t="s">
        <v>450</v>
      </c>
      <c r="P70" s="467" t="str">
        <f>IF(ISNUMBER($P$67),$P$67+$P$68+$P$69-1,"nvt")</f>
        <v>nvt</v>
      </c>
      <c r="Q70" s="47"/>
      <c r="R70" s="47"/>
      <c r="S70" s="47"/>
      <c r="T70" s="47"/>
      <c r="U70" s="60"/>
      <c r="V70" s="708">
        <v>4</v>
      </c>
      <c r="W70" s="708"/>
      <c r="X70" s="754" t="s">
        <v>113</v>
      </c>
      <c r="Y70" s="725" t="str">
        <f ca="1">Taal02!$B$10</f>
        <v>Zwitserland</v>
      </c>
      <c r="Z70" s="725" t="s">
        <v>482</v>
      </c>
      <c r="AA70" s="733" t="str">
        <f ca="1">RIGHT(LEFT(Taal02!$B$48,(ROW()-66)*2),2)</f>
        <v>D1</v>
      </c>
      <c r="AB70" s="729" t="str">
        <f t="shared" ca="1" si="1"/>
        <v>Engeland</v>
      </c>
      <c r="AC70" s="731" t="str">
        <f t="shared" ca="1" si="2"/>
        <v>GB</v>
      </c>
      <c r="AD70" s="347" t="s">
        <v>124</v>
      </c>
      <c r="AE70" s="347" t="str">
        <f t="shared" ca="1" si="3"/>
        <v>Tsjechië</v>
      </c>
      <c r="AF70" s="465" t="str">
        <f t="shared" si="4"/>
        <v>CZ</v>
      </c>
      <c r="AG70" s="347" t="str">
        <f t="shared" ca="1" si="5"/>
        <v>Tsjechië</v>
      </c>
      <c r="AH70" s="1011" t="s">
        <v>485</v>
      </c>
    </row>
    <row r="71" spans="2:34" hidden="1" x14ac:dyDescent="0.3">
      <c r="B71" s="302" t="s">
        <v>100</v>
      </c>
      <c r="C71" s="47"/>
      <c r="D71" s="47"/>
      <c r="E71" s="47"/>
      <c r="F71" s="47"/>
      <c r="G71" s="303" t="s">
        <v>16</v>
      </c>
      <c r="H71" s="47" t="str">
        <f>IF(OR($S$65="a",$S$65="b",$S$65="c"),IF(AND($P$66="JA",Reglement!S87="NEE"),"NEE","JA"),"n.v.t.")</f>
        <v>n.v.t.</v>
      </c>
      <c r="I71" s="47"/>
      <c r="J71" s="47"/>
      <c r="K71" s="47"/>
      <c r="L71" s="47"/>
      <c r="M71" s="47"/>
      <c r="N71" s="47"/>
      <c r="O71" s="305" t="s">
        <v>446</v>
      </c>
      <c r="P71" s="467" t="str">
        <f>IF(ISNUMBER($P$67),$P$70+IF(RIGHT(P67,1)*1=0,4,3),"nvt")</f>
        <v>nvt</v>
      </c>
      <c r="Q71" s="47"/>
      <c r="R71" s="47"/>
      <c r="S71" s="47"/>
      <c r="T71" s="47"/>
      <c r="U71" s="60"/>
      <c r="V71" s="708">
        <v>5</v>
      </c>
      <c r="W71" s="708"/>
      <c r="X71" s="754" t="s">
        <v>114</v>
      </c>
      <c r="Y71" s="725" t="str">
        <f ca="1">Taal02!$B$12</f>
        <v>Denemarken</v>
      </c>
      <c r="Z71" s="725" t="s">
        <v>477</v>
      </c>
      <c r="AA71" s="733" t="str">
        <f ca="1">RIGHT(LEFT(Taal02!$B$48,(ROW()-66)*2),2)</f>
        <v>B2</v>
      </c>
      <c r="AB71" s="729" t="str">
        <f t="shared" ca="1" si="1"/>
        <v>Finland</v>
      </c>
      <c r="AC71" s="731" t="str">
        <f t="shared" ca="1" si="2"/>
        <v>FI</v>
      </c>
      <c r="AD71" s="347" t="s">
        <v>133</v>
      </c>
      <c r="AE71" s="347" t="str">
        <f t="shared" ca="1" si="3"/>
        <v>Duitsland</v>
      </c>
      <c r="AF71" s="465" t="str">
        <f t="shared" si="4"/>
        <v>DE</v>
      </c>
      <c r="AG71" s="347" t="str">
        <f t="shared" ca="1" si="5"/>
        <v>Duitsland</v>
      </c>
      <c r="AH71" s="1011" t="s">
        <v>486</v>
      </c>
    </row>
    <row r="72" spans="2:34" hidden="1" x14ac:dyDescent="0.3">
      <c r="B72" s="47"/>
      <c r="C72" s="47"/>
      <c r="D72" s="47"/>
      <c r="E72" s="47"/>
      <c r="F72" s="47"/>
      <c r="G72" s="47"/>
      <c r="H72" s="47"/>
      <c r="I72" s="47"/>
      <c r="J72" s="47"/>
      <c r="K72" s="47"/>
      <c r="L72" s="47"/>
      <c r="M72" s="47"/>
      <c r="N72" s="47"/>
      <c r="O72" s="305" t="s">
        <v>957</v>
      </c>
      <c r="P72" s="741">
        <f>Reglement!$G$139</f>
        <v>2</v>
      </c>
      <c r="Q72" s="1086" t="str">
        <f>IF(P72=0,Taal01!B17,IF(P72=1,Taal01!B18,IF(P72=3,Taal01!B19,"")))</f>
        <v/>
      </c>
      <c r="R72" s="1086"/>
      <c r="S72" s="1086"/>
      <c r="T72" s="1086"/>
      <c r="U72" s="60"/>
      <c r="V72" s="708">
        <v>6</v>
      </c>
      <c r="W72" s="708"/>
      <c r="X72" s="754" t="s">
        <v>115</v>
      </c>
      <c r="Y72" s="725" t="str">
        <f ca="1">Taal02!$B$13</f>
        <v>Finland</v>
      </c>
      <c r="Z72" s="725" t="s">
        <v>929</v>
      </c>
      <c r="AA72" s="733" t="str">
        <f ca="1">RIGHT(LEFT(Taal02!$B$48,(ROW()-66)*2),2)</f>
        <v>F3</v>
      </c>
      <c r="AB72" s="729" t="str">
        <f t="shared" ca="1" si="1"/>
        <v>Frankrijk</v>
      </c>
      <c r="AC72" s="731" t="str">
        <f t="shared" ca="1" si="2"/>
        <v>FR</v>
      </c>
      <c r="AD72" s="347" t="s">
        <v>114</v>
      </c>
      <c r="AE72" s="347" t="str">
        <f t="shared" ca="1" si="3"/>
        <v>Denemarken</v>
      </c>
      <c r="AF72" s="465" t="str">
        <f t="shared" si="4"/>
        <v>DK</v>
      </c>
      <c r="AG72" s="347" t="str">
        <f t="shared" ca="1" si="5"/>
        <v>Denemarken</v>
      </c>
      <c r="AH72" s="1011" t="s">
        <v>487</v>
      </c>
    </row>
    <row r="73" spans="2:34" hidden="1" x14ac:dyDescent="0.3">
      <c r="B73" s="309"/>
      <c r="C73" s="309"/>
      <c r="D73" s="309"/>
      <c r="E73" s="309"/>
      <c r="F73" s="309"/>
      <c r="G73" s="309"/>
      <c r="H73" s="309"/>
      <c r="I73" s="309"/>
      <c r="J73" s="309"/>
      <c r="K73" s="309"/>
      <c r="L73" s="309"/>
      <c r="M73" s="309"/>
      <c r="N73" s="309"/>
      <c r="O73" s="309"/>
      <c r="P73" s="309"/>
      <c r="Q73" s="309"/>
      <c r="R73" s="309"/>
      <c r="S73" s="309"/>
      <c r="T73" s="309"/>
      <c r="U73" s="60"/>
      <c r="V73" s="708">
        <v>7</v>
      </c>
      <c r="W73" s="708"/>
      <c r="X73" s="754" t="s">
        <v>116</v>
      </c>
      <c r="Y73" s="725" t="str">
        <f ca="1">Taal02!$B$14</f>
        <v>België</v>
      </c>
      <c r="Z73" s="725" t="s">
        <v>471</v>
      </c>
      <c r="AA73" s="733" t="str">
        <f ca="1">RIGHT(LEFT(Taal02!$B$48,(ROW()-66)*2),2)</f>
        <v>F1</v>
      </c>
      <c r="AB73" s="729" t="str">
        <f t="shared" ca="1" si="1"/>
        <v>Hongarije</v>
      </c>
      <c r="AC73" s="731" t="str">
        <f t="shared" ca="1" si="2"/>
        <v>HU</v>
      </c>
      <c r="AD73" s="347" t="s">
        <v>125</v>
      </c>
      <c r="AE73" s="347" t="str">
        <f t="shared" ca="1" si="3"/>
        <v>Spanje</v>
      </c>
      <c r="AF73" s="465" t="str">
        <f t="shared" si="4"/>
        <v>ES</v>
      </c>
      <c r="AG73" s="347" t="str">
        <f t="shared" ca="1" si="5"/>
        <v>Spanje</v>
      </c>
      <c r="AH73" s="1011" t="s">
        <v>488</v>
      </c>
    </row>
    <row r="74" spans="2:34" hidden="1" x14ac:dyDescent="0.3">
      <c r="B74" s="310"/>
      <c r="C74" s="310"/>
      <c r="D74" s="310"/>
      <c r="E74" s="310"/>
      <c r="F74" s="310"/>
      <c r="G74" s="310"/>
      <c r="H74" s="310"/>
      <c r="I74" s="310"/>
      <c r="J74" s="310"/>
      <c r="K74" s="310"/>
      <c r="L74" s="310"/>
      <c r="M74" s="310"/>
      <c r="N74" s="310"/>
      <c r="O74" s="310"/>
      <c r="P74" s="310"/>
      <c r="Q74" s="310"/>
      <c r="R74" s="310"/>
      <c r="S74" s="310"/>
      <c r="T74" s="310"/>
      <c r="U74" s="60"/>
      <c r="V74" s="708">
        <v>8</v>
      </c>
      <c r="W74" s="708"/>
      <c r="X74" s="754" t="s">
        <v>117</v>
      </c>
      <c r="Y74" s="725" t="str">
        <f ca="1">Taal02!$B$15</f>
        <v>Rusland</v>
      </c>
      <c r="Z74" s="725" t="s">
        <v>94</v>
      </c>
      <c r="AA74" s="733" t="str">
        <f ca="1">RIGHT(LEFT(Taal02!$B$48,(ROW()-66)*2),2)</f>
        <v>A2</v>
      </c>
      <c r="AB74" s="729" t="str">
        <f t="shared" ca="1" si="1"/>
        <v>Italië</v>
      </c>
      <c r="AC74" s="731" t="str">
        <f t="shared" ca="1" si="2"/>
        <v>IT</v>
      </c>
      <c r="AD74" s="347" t="s">
        <v>115</v>
      </c>
      <c r="AE74" s="347" t="str">
        <f t="shared" ca="1" si="3"/>
        <v>Finland</v>
      </c>
      <c r="AF74" s="465" t="str">
        <f t="shared" si="4"/>
        <v>FI</v>
      </c>
      <c r="AG74" s="347" t="str">
        <f t="shared" ca="1" si="5"/>
        <v>Finland</v>
      </c>
      <c r="AH74" s="1011" t="s">
        <v>411</v>
      </c>
    </row>
    <row r="75" spans="2:34" hidden="1" x14ac:dyDescent="0.3">
      <c r="B75" s="311"/>
      <c r="C75" s="311"/>
      <c r="D75" s="311"/>
      <c r="E75" s="311"/>
      <c r="F75" s="311"/>
      <c r="G75" s="311"/>
      <c r="H75" s="311"/>
      <c r="I75" s="311"/>
      <c r="J75" s="311"/>
      <c r="K75" s="311"/>
      <c r="L75" s="311"/>
      <c r="M75" s="311"/>
      <c r="N75" s="311"/>
      <c r="O75" s="311"/>
      <c r="P75" s="311"/>
      <c r="Q75" s="311"/>
      <c r="R75" s="311"/>
      <c r="S75" s="311"/>
      <c r="T75" s="311"/>
      <c r="U75" s="60"/>
      <c r="V75" s="708">
        <v>9</v>
      </c>
      <c r="W75" s="708"/>
      <c r="X75" s="754" t="s">
        <v>118</v>
      </c>
      <c r="Y75" s="725" t="str">
        <f ca="1">Taal02!$B$17</f>
        <v>Nederland</v>
      </c>
      <c r="Z75" s="725" t="s">
        <v>930</v>
      </c>
      <c r="AA75" s="733" t="str">
        <f ca="1">RIGHT(LEFT(Taal02!$B$48,(ROW()-66)*2),2)</f>
        <v>D2</v>
      </c>
      <c r="AB75" s="729" t="str">
        <f t="shared" ca="1" si="1"/>
        <v>Kroatië</v>
      </c>
      <c r="AC75" s="731" t="str">
        <f t="shared" ca="1" si="2"/>
        <v>HR</v>
      </c>
      <c r="AD75" s="347" t="s">
        <v>132</v>
      </c>
      <c r="AE75" s="347" t="str">
        <f t="shared" ca="1" si="3"/>
        <v>Frankrijk</v>
      </c>
      <c r="AF75" s="465" t="str">
        <f t="shared" si="4"/>
        <v>FR</v>
      </c>
      <c r="AG75" s="347" t="str">
        <f t="shared" ca="1" si="5"/>
        <v>Frankrijk</v>
      </c>
      <c r="AH75" s="1011" t="s">
        <v>489</v>
      </c>
    </row>
    <row r="76" spans="2:34" hidden="1" x14ac:dyDescent="0.3">
      <c r="B76" s="312"/>
      <c r="C76" s="312"/>
      <c r="D76" s="312"/>
      <c r="E76" s="312"/>
      <c r="F76" s="312"/>
      <c r="G76" s="312"/>
      <c r="H76" s="312"/>
      <c r="I76" s="312"/>
      <c r="J76" s="312"/>
      <c r="K76" s="312"/>
      <c r="L76" s="312"/>
      <c r="M76" s="312"/>
      <c r="N76" s="312"/>
      <c r="O76" s="312"/>
      <c r="P76" s="312"/>
      <c r="Q76" s="312"/>
      <c r="R76" s="312"/>
      <c r="S76" s="312"/>
      <c r="T76" s="312"/>
      <c r="U76" s="60"/>
      <c r="V76" s="708">
        <v>10</v>
      </c>
      <c r="W76" s="708"/>
      <c r="X76" s="754" t="s">
        <v>119</v>
      </c>
      <c r="Y76" s="725" t="str">
        <f ca="1">Taal02!$B$18</f>
        <v>Oekraïne</v>
      </c>
      <c r="Z76" s="725" t="s">
        <v>931</v>
      </c>
      <c r="AA76" s="733" t="str">
        <f ca="1">RIGHT(LEFT(Taal02!$B$48,(ROW()-66)*2),2)</f>
        <v>C1</v>
      </c>
      <c r="AB76" s="729" t="str">
        <f t="shared" ca="1" si="1"/>
        <v>Nederland</v>
      </c>
      <c r="AC76" s="731" t="str">
        <f t="shared" ca="1" si="2"/>
        <v>NL</v>
      </c>
      <c r="AD76" s="347" t="s">
        <v>121</v>
      </c>
      <c r="AE76" s="347" t="str">
        <f t="shared" ca="1" si="3"/>
        <v>Engeland</v>
      </c>
      <c r="AF76" s="465" t="str">
        <f t="shared" si="4"/>
        <v>GB</v>
      </c>
      <c r="AG76" s="347" t="str">
        <f t="shared" ca="1" si="5"/>
        <v>Engeland</v>
      </c>
      <c r="AH76" s="1011" t="s">
        <v>412</v>
      </c>
    </row>
    <row r="77" spans="2:34" hidden="1" x14ac:dyDescent="0.3">
      <c r="B77" s="12"/>
      <c r="C77" s="12" t="str">
        <f ca="1">UPPER(Taal01!$B$6&amp;" ("&amp;Taal01!$B$7&amp;")")</f>
        <v>EK2020 (EUROPA)</v>
      </c>
      <c r="D77" s="12"/>
      <c r="E77" s="12"/>
      <c r="F77" s="12"/>
      <c r="G77" s="12"/>
      <c r="H77" s="12"/>
      <c r="I77" s="12"/>
      <c r="J77" s="12"/>
      <c r="K77" s="12"/>
      <c r="L77" s="12"/>
      <c r="M77" s="12"/>
      <c r="N77" s="12"/>
      <c r="O77" s="12"/>
      <c r="P77" s="12"/>
      <c r="Q77" s="12"/>
      <c r="R77" s="12"/>
      <c r="S77" s="12"/>
      <c r="T77" s="12"/>
      <c r="U77" s="60"/>
      <c r="V77" s="60"/>
      <c r="W77" s="60"/>
      <c r="X77" s="754" t="s">
        <v>120</v>
      </c>
      <c r="Y77" s="725" t="str">
        <f ca="1">Taal02!$B$19</f>
        <v>Oostenrijk</v>
      </c>
      <c r="Z77" s="725" t="s">
        <v>932</v>
      </c>
      <c r="AA77" s="733" t="str">
        <f ca="1">RIGHT(LEFT(Taal02!$B$48,(ROW()-66)*2),2)</f>
        <v>C4</v>
      </c>
      <c r="AB77" s="729" t="str">
        <f t="shared" ca="1" si="1"/>
        <v>N.-Macedonië</v>
      </c>
      <c r="AC77" s="731" t="str">
        <f t="shared" ca="1" si="2"/>
        <v>MK</v>
      </c>
      <c r="AD77" s="347" t="s">
        <v>122</v>
      </c>
      <c r="AE77" s="347" t="str">
        <f t="shared" ca="1" si="3"/>
        <v>Kroatië</v>
      </c>
      <c r="AF77" s="465" t="str">
        <f t="shared" si="4"/>
        <v>HR</v>
      </c>
      <c r="AG77" s="347" t="str">
        <f t="shared" ca="1" si="5"/>
        <v>Kroatië</v>
      </c>
      <c r="AH77" s="1011" t="s">
        <v>413</v>
      </c>
    </row>
    <row r="78" spans="2:34" hidden="1" x14ac:dyDescent="0.3">
      <c r="B78" s="12"/>
      <c r="C78" s="12" t="str">
        <f ca="1">UPPER(Taal01!$B$15)</f>
        <v>HET BEHEERDERS BESTAND</v>
      </c>
      <c r="D78" s="12"/>
      <c r="E78" s="12"/>
      <c r="F78" s="12"/>
      <c r="G78" s="12"/>
      <c r="H78" s="12"/>
      <c r="I78" s="12"/>
      <c r="J78" s="12"/>
      <c r="K78" s="12"/>
      <c r="L78" s="12"/>
      <c r="M78" s="12"/>
      <c r="N78" s="12"/>
      <c r="O78" s="12"/>
      <c r="P78" s="12"/>
      <c r="Q78" s="12"/>
      <c r="R78" s="12"/>
      <c r="S78" s="12"/>
      <c r="T78" s="12"/>
      <c r="U78" s="60"/>
      <c r="V78" s="60"/>
      <c r="W78" s="60"/>
      <c r="X78" s="754" t="s">
        <v>129</v>
      </c>
      <c r="Y78" s="725" t="str">
        <f ca="1">Taal02!$B$20</f>
        <v>N.-Macedonië</v>
      </c>
      <c r="Z78" s="725" t="s">
        <v>1382</v>
      </c>
      <c r="AA78" s="733" t="str">
        <f ca="1">RIGHT(LEFT(Taal02!$B$48,(ROW()-66)*2),2)</f>
        <v>C2</v>
      </c>
      <c r="AB78" s="729" t="str">
        <f t="shared" ca="1" si="1"/>
        <v>Oekraïne</v>
      </c>
      <c r="AC78" s="731" t="str">
        <f t="shared" ca="1" si="2"/>
        <v>UA</v>
      </c>
      <c r="AD78" s="347" t="s">
        <v>130</v>
      </c>
      <c r="AE78" s="347" t="str">
        <f t="shared" ca="1" si="3"/>
        <v>Hongarije</v>
      </c>
      <c r="AF78" s="465" t="str">
        <f t="shared" si="4"/>
        <v>HU</v>
      </c>
      <c r="AG78" s="347" t="str">
        <f t="shared" ca="1" si="5"/>
        <v>Hongarije</v>
      </c>
      <c r="AH78" s="1011" t="s">
        <v>414</v>
      </c>
    </row>
    <row r="79" spans="2:34" hidden="1" x14ac:dyDescent="0.3">
      <c r="B79" s="12"/>
      <c r="C79" s="12" t="str">
        <f ca="1">UPPER(Taal01!$B$20)</f>
        <v>EXTRA BEHEERDERSMODULE VOOR DE ORGANISATOREN</v>
      </c>
      <c r="D79" s="12"/>
      <c r="E79" s="12"/>
      <c r="F79" s="12"/>
      <c r="G79" s="12"/>
      <c r="H79" s="12"/>
      <c r="I79" s="12"/>
      <c r="J79" s="12"/>
      <c r="K79" s="12"/>
      <c r="L79" s="12" t="str">
        <f ca="1">UPPER(Taal01!B27)</f>
        <v>LET OP: VOOR EEN OPTIMAAL GEBRUIK VAN DIT BESTAND WORDT GEADVISEERD OM DE MACRO'S IN TE SCHAKELEN.</v>
      </c>
      <c r="M79" s="12"/>
      <c r="N79" s="12"/>
      <c r="O79" s="12"/>
      <c r="P79" s="12"/>
      <c r="Q79" s="12"/>
      <c r="R79" s="12"/>
      <c r="S79" s="12"/>
      <c r="T79" s="12"/>
      <c r="U79" s="60"/>
      <c r="V79" s="60"/>
      <c r="W79" s="60"/>
      <c r="X79" s="754" t="s">
        <v>121</v>
      </c>
      <c r="Y79" s="725" t="str">
        <f ca="1">Taal02!$B$22</f>
        <v>Engeland</v>
      </c>
      <c r="Z79" s="725" t="s">
        <v>481</v>
      </c>
      <c r="AA79" s="733" t="str">
        <f ca="1">RIGHT(LEFT(Taal02!$B$48,(ROW()-66)*2),2)</f>
        <v>C3</v>
      </c>
      <c r="AB79" s="729" t="str">
        <f t="shared" ca="1" si="1"/>
        <v>Oostenrijk</v>
      </c>
      <c r="AC79" s="731" t="str">
        <f t="shared" ca="1" si="2"/>
        <v>AT</v>
      </c>
      <c r="AD79" s="347" t="s">
        <v>111</v>
      </c>
      <c r="AE79" s="347" t="str">
        <f t="shared" ca="1" si="3"/>
        <v>Italië</v>
      </c>
      <c r="AF79" s="465" t="str">
        <f t="shared" si="4"/>
        <v>IT</v>
      </c>
      <c r="AG79" s="347" t="str">
        <f t="shared" ca="1" si="5"/>
        <v>Italië</v>
      </c>
      <c r="AH79" s="1011" t="s">
        <v>500</v>
      </c>
    </row>
    <row r="80" spans="2:34" hidden="1" x14ac:dyDescent="0.3">
      <c r="B80" s="12"/>
      <c r="C80" s="12" t="str">
        <f ca="1">UPPER(Taal01!$B$21)</f>
        <v>HET DEELNAME FOMULIER</v>
      </c>
      <c r="D80" s="12"/>
      <c r="E80" s="12"/>
      <c r="F80" s="12"/>
      <c r="G80" s="12"/>
      <c r="H80" s="12"/>
      <c r="I80" s="12"/>
      <c r="J80" s="12"/>
      <c r="K80" s="12"/>
      <c r="L80" s="12" t="str">
        <f ca="1">UPPER(Taal01!B28)</f>
        <v>LET OP: DEZE MODULE MAAKT GEBRUIK VAN MACRO'S. HET WORD GEADVISEERD OM DEZE IN TE SCHAKELEN.</v>
      </c>
      <c r="M80" s="12"/>
      <c r="N80" s="12"/>
      <c r="O80" s="12"/>
      <c r="P80" s="12"/>
      <c r="Q80" s="12"/>
      <c r="R80" s="12"/>
      <c r="S80" s="12"/>
      <c r="T80" s="12"/>
      <c r="U80" s="60"/>
      <c r="V80" s="60"/>
      <c r="W80" s="60"/>
      <c r="X80" s="754" t="s">
        <v>122</v>
      </c>
      <c r="Y80" s="725" t="str">
        <f ca="1">Taal02!$B$23</f>
        <v>Kroatië</v>
      </c>
      <c r="Z80" s="725" t="s">
        <v>479</v>
      </c>
      <c r="AA80" s="733" t="str">
        <f ca="1">RIGHT(LEFT(Taal02!$B$48,(ROW()-66)*2),2)</f>
        <v>E3</v>
      </c>
      <c r="AB80" s="729" t="str">
        <f t="shared" ca="1" si="1"/>
        <v>Polen</v>
      </c>
      <c r="AC80" s="731" t="str">
        <f t="shared" ca="1" si="2"/>
        <v>PL</v>
      </c>
      <c r="AD80" s="347" t="s">
        <v>129</v>
      </c>
      <c r="AE80" s="347" t="str">
        <f t="shared" ca="1" si="3"/>
        <v>N.-Macedonië</v>
      </c>
      <c r="AF80" s="465" t="str">
        <f t="shared" si="4"/>
        <v>MK</v>
      </c>
      <c r="AG80" s="347" t="str">
        <f t="shared" ca="1" si="5"/>
        <v>N.-Macedonië</v>
      </c>
      <c r="AH80" s="1011" t="s">
        <v>490</v>
      </c>
    </row>
    <row r="81" spans="2:34" hidden="1" x14ac:dyDescent="0.3">
      <c r="B81" s="12"/>
      <c r="C81" s="12" t="str">
        <f ca="1">UPPER(Taal01!$B$22)</f>
        <v>HET EXCEL DEELNAME FORMULIER</v>
      </c>
      <c r="D81" s="12"/>
      <c r="E81" s="12"/>
      <c r="F81" s="12"/>
      <c r="G81" s="12"/>
      <c r="H81" s="12"/>
      <c r="I81" s="12"/>
      <c r="J81" s="12"/>
      <c r="K81" s="12"/>
      <c r="L81" s="12" t="str">
        <f ca="1">UPPER(Taal01!B29)</f>
        <v>LET OP: DIT FORMULIER BEVAT GEEN REGLEMENT. VRAAG UW ORGANISATOR OM HET REGLEMENT TOE TE VOEGEN.</v>
      </c>
      <c r="M81" s="12"/>
      <c r="N81" s="12"/>
      <c r="O81" s="12"/>
      <c r="P81" s="12"/>
      <c r="Q81" s="12"/>
      <c r="R81" s="12"/>
      <c r="S81" s="12"/>
      <c r="T81" s="12"/>
      <c r="U81" s="60"/>
      <c r="V81" s="60"/>
      <c r="W81" s="60"/>
      <c r="X81" s="754" t="s">
        <v>123</v>
      </c>
      <c r="Y81" s="725" t="str">
        <f ca="1">Taal02!$B$24</f>
        <v>Schotland</v>
      </c>
      <c r="Z81" s="725" t="s">
        <v>1385</v>
      </c>
      <c r="AA81" s="733" t="str">
        <f ca="1">RIGHT(LEFT(Taal02!$B$48,(ROW()-66)*2),2)</f>
        <v>F2</v>
      </c>
      <c r="AB81" s="729" t="str">
        <f t="shared" ca="1" si="1"/>
        <v>Portugal</v>
      </c>
      <c r="AC81" s="731" t="str">
        <f t="shared" ca="1" si="2"/>
        <v>PT</v>
      </c>
      <c r="AD81" s="347" t="s">
        <v>118</v>
      </c>
      <c r="AE81" s="347" t="str">
        <f t="shared" ca="1" si="3"/>
        <v>Nederland</v>
      </c>
      <c r="AF81" s="465" t="str">
        <f t="shared" si="4"/>
        <v>NL</v>
      </c>
      <c r="AG81" s="347" t="str">
        <f t="shared" ca="1" si="5"/>
        <v>Nederland</v>
      </c>
      <c r="AH81" s="1011" t="s">
        <v>415</v>
      </c>
    </row>
    <row r="82" spans="2:34" hidden="1" x14ac:dyDescent="0.3">
      <c r="B82" s="12"/>
      <c r="C82" s="12" t="str">
        <f ca="1">UPPER(Taal01!$B$23)</f>
        <v>EXTERNE RANGLIJST</v>
      </c>
      <c r="D82" s="12"/>
      <c r="E82" s="12"/>
      <c r="F82" s="12"/>
      <c r="G82" s="12"/>
      <c r="H82" s="12"/>
      <c r="I82" s="12"/>
      <c r="J82" s="12"/>
      <c r="K82" s="12"/>
      <c r="L82" s="12" t="str">
        <f ca="1">UPPER(IF(LEN(S65)=2,Taal01!$B$30,Taal01!$B$31))</f>
        <v>LET OP: DEZE MODULE MAAKT GEBRUIKT VAN MACRO'S EN IS GESCHIKT VOOR MAXIMAAL ### DEELNEMERS.</v>
      </c>
      <c r="M82" s="12"/>
      <c r="N82" s="12"/>
      <c r="O82" s="12"/>
      <c r="P82" s="12"/>
      <c r="Q82" s="12"/>
      <c r="R82" s="12"/>
      <c r="S82" s="12"/>
      <c r="T82" s="12"/>
      <c r="U82" s="60"/>
      <c r="V82" s="60"/>
      <c r="W82" s="60"/>
      <c r="X82" s="754" t="s">
        <v>124</v>
      </c>
      <c r="Y82" s="725" t="str">
        <f ca="1">Taal02!$B$25</f>
        <v>Tsjechië</v>
      </c>
      <c r="Z82" s="725" t="s">
        <v>933</v>
      </c>
      <c r="AA82" s="733" t="str">
        <f ca="1">RIGHT(LEFT(Taal02!$B$48,(ROW()-66)*2),2)</f>
        <v>B4</v>
      </c>
      <c r="AB82" s="729" t="str">
        <f t="shared" ca="1" si="1"/>
        <v>Rusland</v>
      </c>
      <c r="AC82" s="731" t="str">
        <f t="shared" ca="1" si="2"/>
        <v>RU</v>
      </c>
      <c r="AD82" s="347" t="s">
        <v>127</v>
      </c>
      <c r="AE82" s="347" t="str">
        <f t="shared" ca="1" si="3"/>
        <v>Polen</v>
      </c>
      <c r="AF82" s="465" t="str">
        <f t="shared" si="4"/>
        <v>PL</v>
      </c>
      <c r="AG82" s="347" t="str">
        <f t="shared" ca="1" si="5"/>
        <v>Polen</v>
      </c>
      <c r="AH82" s="1011" t="s">
        <v>491</v>
      </c>
    </row>
    <row r="83" spans="2:34" hidden="1" x14ac:dyDescent="0.3">
      <c r="B83" s="12"/>
      <c r="C83" s="12" t="str">
        <f ca="1">UPPER(Taal01!$B$24)</f>
        <v>UITBREIDINGSMODULE VOOR HET BEHEERDERS BESTAND</v>
      </c>
      <c r="D83" s="12"/>
      <c r="E83" s="12"/>
      <c r="F83" s="12"/>
      <c r="G83" s="12"/>
      <c r="H83" s="12"/>
      <c r="I83" s="12"/>
      <c r="J83" s="12"/>
      <c r="K83" s="12"/>
      <c r="L83" s="12" t="str">
        <f ca="1">UPPER(Taal01!B32)</f>
        <v>LET OP: DEZE UPDATE MAAKT GEBRUIK VAN MACRO'S. GEADVISEERD WORDT OM DEZE IN TE SCHAKELEN.</v>
      </c>
      <c r="M83" s="12"/>
      <c r="N83" s="12"/>
      <c r="O83" s="12"/>
      <c r="P83" s="12"/>
      <c r="Q83" s="12"/>
      <c r="R83" s="12"/>
      <c r="S83" s="12"/>
      <c r="T83" s="12"/>
      <c r="U83" s="60"/>
      <c r="V83" s="60"/>
      <c r="W83" s="60"/>
      <c r="X83" s="754" t="s">
        <v>125</v>
      </c>
      <c r="Y83" s="725" t="str">
        <f ca="1">Taal02!$B$27</f>
        <v>Spanje</v>
      </c>
      <c r="Z83" s="725" t="s">
        <v>480</v>
      </c>
      <c r="AA83" s="733" t="str">
        <f ca="1">RIGHT(LEFT(Taal02!$B$48,(ROW()-66)*2),2)</f>
        <v>D3</v>
      </c>
      <c r="AB83" s="729" t="str">
        <f t="shared" ca="1" si="1"/>
        <v>Schotland</v>
      </c>
      <c r="AC83" s="731" t="str">
        <f t="shared" ca="1" si="2"/>
        <v>SC</v>
      </c>
      <c r="AD83" s="347" t="s">
        <v>131</v>
      </c>
      <c r="AE83" s="347" t="str">
        <f t="shared" ca="1" si="3"/>
        <v>Portugal</v>
      </c>
      <c r="AF83" s="465" t="str">
        <f t="shared" si="4"/>
        <v>PT</v>
      </c>
      <c r="AG83" s="347" t="str">
        <f t="shared" ca="1" si="5"/>
        <v>Portugal</v>
      </c>
      <c r="AH83" s="1011" t="s">
        <v>492</v>
      </c>
    </row>
    <row r="84" spans="2:34" hidden="1" x14ac:dyDescent="0.3">
      <c r="B84" s="12"/>
      <c r="C84" s="12" t="str">
        <f ca="1">UPPER(Taal01!$B$25)</f>
        <v>UPDATE VOOR DE EXCEL EK-POOL NAAR VERSIE</v>
      </c>
      <c r="D84" s="63"/>
      <c r="E84" s="63"/>
      <c r="F84" s="63"/>
      <c r="G84" s="63"/>
      <c r="H84" s="63"/>
      <c r="I84" s="63"/>
      <c r="J84" s="63"/>
      <c r="K84" s="63"/>
      <c r="L84" s="12"/>
      <c r="M84" s="12"/>
      <c r="N84" s="12"/>
      <c r="O84" s="12"/>
      <c r="P84" s="12"/>
      <c r="Q84" s="12"/>
      <c r="R84" s="12"/>
      <c r="S84" s="12"/>
      <c r="T84" s="12"/>
      <c r="U84" s="60"/>
      <c r="V84" s="60"/>
      <c r="W84" s="60"/>
      <c r="X84" s="754" t="s">
        <v>126</v>
      </c>
      <c r="Y84" s="725" t="str">
        <f ca="1">Taal02!$B$28</f>
        <v>Zweden</v>
      </c>
      <c r="Z84" s="725" t="s">
        <v>476</v>
      </c>
      <c r="AA84" s="733" t="str">
        <f ca="1">RIGHT(LEFT(Taal02!$B$48,(ROW()-66)*2),2)</f>
        <v>E4</v>
      </c>
      <c r="AB84" s="729" t="str">
        <f t="shared" ca="1" si="1"/>
        <v>Slowakije</v>
      </c>
      <c r="AC84" s="731" t="str">
        <f t="shared" ca="1" si="2"/>
        <v>SK</v>
      </c>
      <c r="AD84" s="347" t="s">
        <v>117</v>
      </c>
      <c r="AE84" s="347" t="str">
        <f t="shared" ca="1" si="3"/>
        <v>Rusland</v>
      </c>
      <c r="AF84" s="465" t="str">
        <f t="shared" si="4"/>
        <v>RU</v>
      </c>
      <c r="AG84" s="347" t="str">
        <f t="shared" ca="1" si="5"/>
        <v>Rusland</v>
      </c>
      <c r="AH84" s="1011" t="s">
        <v>493</v>
      </c>
    </row>
    <row r="85" spans="2:34" hidden="1" x14ac:dyDescent="0.3">
      <c r="B85" s="12"/>
      <c r="C85" s="119" t="s">
        <v>101</v>
      </c>
      <c r="D85" s="135" t="s">
        <v>16</v>
      </c>
      <c r="E85" s="12" t="str">
        <f ca="1">$C$78&amp;" "&amp;$C$77</f>
        <v>HET BEHEERDERS BESTAND EK2020 (EUROPA)</v>
      </c>
      <c r="F85" s="12"/>
      <c r="G85" s="12"/>
      <c r="H85" s="12"/>
      <c r="I85" s="12"/>
      <c r="J85" s="12"/>
      <c r="K85" s="12"/>
      <c r="L85" s="12" t="str">
        <f ca="1">IF(H66="deelnemer","",L79)</f>
        <v>LET OP: VOOR EEN OPTIMAAL GEBRUIK VAN DIT BESTAND WORDT GEADVISEERD OM DE MACRO'S IN TE SCHAKELEN.</v>
      </c>
      <c r="M85" s="12"/>
      <c r="N85" s="12"/>
      <c r="O85" s="12"/>
      <c r="P85" s="12"/>
      <c r="Q85" s="12"/>
      <c r="R85" s="12"/>
      <c r="S85" s="12"/>
      <c r="T85" s="12"/>
      <c r="U85" s="60"/>
      <c r="V85" s="60"/>
      <c r="W85" s="60"/>
      <c r="X85" s="754" t="s">
        <v>127</v>
      </c>
      <c r="Y85" s="725" t="str">
        <f ca="1">Taal02!$B$29</f>
        <v>Polen</v>
      </c>
      <c r="Z85" s="725" t="s">
        <v>478</v>
      </c>
      <c r="AA85" s="733" t="str">
        <f ca="1">RIGHT(LEFT(Taal02!$B$48,(ROW()-66)*2),2)</f>
        <v>E1</v>
      </c>
      <c r="AB85" s="729" t="str">
        <f t="shared" ca="1" si="1"/>
        <v>Spanje</v>
      </c>
      <c r="AC85" s="731" t="str">
        <f t="shared" ca="1" si="2"/>
        <v>ES</v>
      </c>
      <c r="AD85" s="347" t="s">
        <v>123</v>
      </c>
      <c r="AE85" s="347" t="str">
        <f t="shared" ca="1" si="3"/>
        <v>Schotland</v>
      </c>
      <c r="AF85" s="465" t="str">
        <f t="shared" si="4"/>
        <v>SC</v>
      </c>
      <c r="AG85" s="347" t="str">
        <f t="shared" ca="1" si="5"/>
        <v>Schotland</v>
      </c>
      <c r="AH85" s="1011" t="s">
        <v>494</v>
      </c>
    </row>
    <row r="86" spans="2:34" hidden="1" x14ac:dyDescent="0.3">
      <c r="B86" s="12"/>
      <c r="C86" s="654" t="str">
        <f>CHAR(CODE(C85)+1)</f>
        <v>b</v>
      </c>
      <c r="D86" s="655" t="s">
        <v>16</v>
      </c>
      <c r="E86" s="656" t="str">
        <f ca="1">$C$78&amp;" "&amp;$C$77</f>
        <v>HET BEHEERDERS BESTAND EK2020 (EUROPA)</v>
      </c>
      <c r="F86" s="656"/>
      <c r="G86" s="656"/>
      <c r="H86" s="656"/>
      <c r="I86" s="656"/>
      <c r="J86" s="656"/>
      <c r="K86" s="656"/>
      <c r="L86" s="12" t="str">
        <f>""</f>
        <v/>
      </c>
      <c r="M86" s="12"/>
      <c r="N86" s="12"/>
      <c r="O86" s="12"/>
      <c r="P86" s="12"/>
      <c r="Q86" s="12"/>
      <c r="R86" s="12"/>
      <c r="S86" s="12"/>
      <c r="T86" s="12"/>
      <c r="U86" s="60"/>
      <c r="V86" s="60"/>
      <c r="W86" s="60"/>
      <c r="X86" s="754" t="s">
        <v>128</v>
      </c>
      <c r="Y86" s="725" t="str">
        <f ca="1">Taal02!$B$30</f>
        <v>Slowakije</v>
      </c>
      <c r="Z86" s="725" t="s">
        <v>1383</v>
      </c>
      <c r="AA86" s="733" t="str">
        <f ca="1">RIGHT(LEFT(Taal02!$B$48,(ROW()-66)*2),2)</f>
        <v>D4</v>
      </c>
      <c r="AB86" s="729" t="str">
        <f t="shared" ca="1" si="1"/>
        <v>Tsjechië</v>
      </c>
      <c r="AC86" s="731" t="str">
        <f ca="1">VLOOKUP($AA86,$X$67:$Z$98,3)</f>
        <v>CZ</v>
      </c>
      <c r="AD86" s="347" t="s">
        <v>126</v>
      </c>
      <c r="AE86" s="347" t="str">
        <f t="shared" ca="1" si="3"/>
        <v>Zweden</v>
      </c>
      <c r="AF86" s="465" t="str">
        <f t="shared" si="4"/>
        <v>SE</v>
      </c>
      <c r="AG86" s="347" t="str">
        <f t="shared" ca="1" si="5"/>
        <v>Zweden</v>
      </c>
      <c r="AH86" s="1011" t="s">
        <v>501</v>
      </c>
    </row>
    <row r="87" spans="2:34" hidden="1" x14ac:dyDescent="0.3">
      <c r="B87" s="12"/>
      <c r="C87" s="119" t="str">
        <f>CHAR(CODE(C86)+1)</f>
        <v>c</v>
      </c>
      <c r="D87" s="135" t="s">
        <v>16</v>
      </c>
      <c r="E87" s="12" t="str">
        <f ca="1">$C$78&amp;" "&amp;$C$77&amp;" - "&amp;UPPER(Taal01!$B$16)</f>
        <v>HET BEHEERDERS BESTAND EK2020 (EUROPA) - DEMO</v>
      </c>
      <c r="F87" s="12"/>
      <c r="G87" s="12"/>
      <c r="H87" s="12"/>
      <c r="I87" s="12"/>
      <c r="J87" s="12"/>
      <c r="K87" s="12"/>
      <c r="L87" s="12" t="str">
        <f ca="1">IF(H66="deelnemer","",L79)</f>
        <v>LET OP: VOOR EEN OPTIMAAL GEBRUIK VAN DIT BESTAND WORDT GEADVISEERD OM DE MACRO'S IN TE SCHAKELEN.</v>
      </c>
      <c r="M87" s="12"/>
      <c r="N87" s="12"/>
      <c r="O87" s="12"/>
      <c r="P87" s="12"/>
      <c r="Q87" s="12"/>
      <c r="R87" s="12"/>
      <c r="S87" s="12"/>
      <c r="T87" s="12"/>
      <c r="U87" s="60"/>
      <c r="V87" s="60"/>
      <c r="W87" s="60"/>
      <c r="X87" s="754" t="s">
        <v>130</v>
      </c>
      <c r="Y87" s="725" t="str">
        <f ca="1">Taal02!$B$32</f>
        <v>Hongarije</v>
      </c>
      <c r="Z87" s="725" t="s">
        <v>1384</v>
      </c>
      <c r="AA87" s="733" t="str">
        <f ca="1">RIGHT(LEFT(Taal02!$B$48,(ROW()-66)*2),2)</f>
        <v>A1</v>
      </c>
      <c r="AB87" s="729" t="str">
        <f t="shared" ca="1" si="1"/>
        <v>Turkije</v>
      </c>
      <c r="AC87" s="731" t="str">
        <f t="shared" ca="1" si="2"/>
        <v>TR</v>
      </c>
      <c r="AD87" s="347" t="s">
        <v>128</v>
      </c>
      <c r="AE87" s="347" t="str">
        <f t="shared" ca="1" si="3"/>
        <v>Slowakije</v>
      </c>
      <c r="AF87" s="465" t="str">
        <f t="shared" si="4"/>
        <v>SK</v>
      </c>
      <c r="AG87" s="347" t="str">
        <f t="shared" ca="1" si="5"/>
        <v>Slowakije</v>
      </c>
      <c r="AH87" s="1011" t="s">
        <v>416</v>
      </c>
    </row>
    <row r="88" spans="2:34" hidden="1" x14ac:dyDescent="0.3">
      <c r="B88" s="12"/>
      <c r="C88" s="119" t="str">
        <f>IF(LEN(S65)=2,IF(OR(RIGHT(S65,1)="e",RIGHT(S65,1)="g",RIGHT(S65,1)="i",RIGHT(S65,1)="k"),S65,"cc"),"cc")</f>
        <v>cc</v>
      </c>
      <c r="D88" s="135" t="s">
        <v>16</v>
      </c>
      <c r="E88" s="12" t="str">
        <f ca="1">$C$80&amp;" "&amp;$C$77</f>
        <v>HET DEELNAME FOMULIER EK2020 (EUROPA)</v>
      </c>
      <c r="F88" s="12"/>
      <c r="G88" s="12"/>
      <c r="H88" s="12"/>
      <c r="I88" s="12"/>
      <c r="J88" s="12"/>
      <c r="K88" s="12"/>
      <c r="L88" s="12" t="str">
        <f>IF($P$66="JA","",$L$81)</f>
        <v/>
      </c>
      <c r="M88" s="12"/>
      <c r="N88" s="12"/>
      <c r="O88" s="12"/>
      <c r="P88" s="12"/>
      <c r="Q88" s="12"/>
      <c r="R88" s="12"/>
      <c r="S88" s="12"/>
      <c r="T88" s="12"/>
      <c r="U88" s="60"/>
      <c r="V88" s="60"/>
      <c r="W88" s="60"/>
      <c r="X88" s="754" t="s">
        <v>131</v>
      </c>
      <c r="Y88" s="725" t="str">
        <f ca="1">Taal02!$B$33</f>
        <v>Portugal</v>
      </c>
      <c r="Z88" s="725" t="s">
        <v>475</v>
      </c>
      <c r="AA88" s="733" t="str">
        <f ca="1">RIGHT(LEFT(Taal02!$B$48,(ROW()-66)*2),2)</f>
        <v>A3</v>
      </c>
      <c r="AB88" s="729" t="str">
        <f t="shared" ca="1" si="1"/>
        <v>Wales</v>
      </c>
      <c r="AC88" s="731" t="str">
        <f t="shared" ca="1" si="2"/>
        <v>WA</v>
      </c>
      <c r="AD88" s="347" t="s">
        <v>110</v>
      </c>
      <c r="AE88" s="347" t="str">
        <f t="shared" ca="1" si="3"/>
        <v>Turkije</v>
      </c>
      <c r="AF88" s="465" t="str">
        <f t="shared" si="4"/>
        <v>TR</v>
      </c>
      <c r="AG88" s="347" t="str">
        <f t="shared" ca="1" si="5"/>
        <v>Turkije</v>
      </c>
      <c r="AH88" s="1011" t="s">
        <v>417</v>
      </c>
    </row>
    <row r="89" spans="2:34" hidden="1" x14ac:dyDescent="0.3">
      <c r="B89" s="12"/>
      <c r="C89" s="119" t="str">
        <f>IF(LEN(S65)=2,IF(OR(RIGHT(S65,1)="d",RIGHT(S65,1)="f",RIGHT(S65,1)="h",RIGHT(S65,1)="j"),S65,"ll"),"ll")</f>
        <v>dj</v>
      </c>
      <c r="D89" s="135" t="s">
        <v>16</v>
      </c>
      <c r="E89" s="12" t="str">
        <f ca="1">$C$81&amp;" "&amp;$C$77</f>
        <v>HET EXCEL DEELNAME FORMULIER EK2020 (EUROPA)</v>
      </c>
      <c r="F89" s="12"/>
      <c r="G89" s="12"/>
      <c r="H89" s="12"/>
      <c r="I89" s="12"/>
      <c r="J89" s="12"/>
      <c r="K89" s="12"/>
      <c r="L89" s="12" t="str">
        <f>IF($P$66="JA","",$L$81)</f>
        <v/>
      </c>
      <c r="M89" s="12"/>
      <c r="N89" s="12"/>
      <c r="O89" s="12"/>
      <c r="P89" s="12"/>
      <c r="Q89" s="12"/>
      <c r="R89" s="12"/>
      <c r="S89" s="12"/>
      <c r="T89" s="12"/>
      <c r="U89" s="60"/>
      <c r="V89" s="60"/>
      <c r="W89" s="60"/>
      <c r="X89" s="754" t="s">
        <v>132</v>
      </c>
      <c r="Y89" s="725" t="str">
        <f ca="1">Taal02!$B$34</f>
        <v>Frankrijk</v>
      </c>
      <c r="Z89" s="725" t="s">
        <v>474</v>
      </c>
      <c r="AA89" s="733" t="str">
        <f ca="1">RIGHT(LEFT(Taal02!$B$48,(ROW()-66)*2),2)</f>
        <v>E2</v>
      </c>
      <c r="AB89" s="729" t="str">
        <f t="shared" ca="1" si="1"/>
        <v>Zweden</v>
      </c>
      <c r="AC89" s="731" t="str">
        <f t="shared" ca="1" si="2"/>
        <v>SE</v>
      </c>
      <c r="AD89" s="347" t="s">
        <v>119</v>
      </c>
      <c r="AE89" s="347" t="str">
        <f t="shared" ca="1" si="3"/>
        <v>Oekraïne</v>
      </c>
      <c r="AF89" s="465" t="str">
        <f t="shared" si="4"/>
        <v>UA</v>
      </c>
      <c r="AG89" s="347" t="str">
        <f t="shared" ca="1" si="5"/>
        <v>Oekraïne</v>
      </c>
      <c r="AH89" s="1011" t="s">
        <v>418</v>
      </c>
    </row>
    <row r="90" spans="2:34" hidden="1" x14ac:dyDescent="0.3">
      <c r="B90" s="12"/>
      <c r="C90" s="119" t="str">
        <f>IF(LEN($S$65)=1,"r","rr")</f>
        <v>rr</v>
      </c>
      <c r="D90" s="135" t="s">
        <v>16</v>
      </c>
      <c r="E90" s="12" t="str">
        <f t="shared" ref="E90:E95" ca="1" si="6">IF(LEN($S$65)=1,$C$82&amp;" "&amp;$C$77,$C$83)</f>
        <v>UITBREIDINGSMODULE VOOR HET BEHEERDERS BESTAND</v>
      </c>
      <c r="F90" s="12"/>
      <c r="G90" s="12"/>
      <c r="H90" s="12"/>
      <c r="I90" s="12"/>
      <c r="J90" s="12"/>
      <c r="K90" s="12"/>
      <c r="L90" s="12" t="str">
        <f t="shared" ref="L90:L95" ca="1" si="7">SUBSTITUTE($L$82,"###",$P$67)</f>
        <v>LET OP: DEZE MODULE MAAKT GEBRUIKT VAN MACRO'S EN IS GESCHIKT VOOR MAXIMAAL nvt DEELNEMERS.</v>
      </c>
      <c r="M90" s="12"/>
      <c r="N90" s="12"/>
      <c r="O90" s="12"/>
      <c r="P90" s="12"/>
      <c r="Q90" s="12"/>
      <c r="R90" s="12"/>
      <c r="S90" s="12"/>
      <c r="T90" s="12"/>
      <c r="U90" s="60"/>
      <c r="V90" s="60"/>
      <c r="W90" s="60"/>
      <c r="X90" s="754" t="s">
        <v>133</v>
      </c>
      <c r="Y90" s="725" t="str">
        <f ca="1">Taal02!$B$35</f>
        <v>Duitsland</v>
      </c>
      <c r="Z90" s="725" t="s">
        <v>6</v>
      </c>
      <c r="AA90" s="733" t="str">
        <f ca="1">RIGHT(LEFT(Taal02!$B$48,(ROW()-66)*2),2)</f>
        <v>A4</v>
      </c>
      <c r="AB90" s="729" t="str">
        <f t="shared" ca="1" si="1"/>
        <v>Zwitserland</v>
      </c>
      <c r="AC90" s="731" t="str">
        <f t="shared" ca="1" si="2"/>
        <v>CH</v>
      </c>
      <c r="AD90" s="347" t="s">
        <v>112</v>
      </c>
      <c r="AE90" s="347" t="str">
        <f t="shared" ca="1" si="3"/>
        <v>Wales</v>
      </c>
      <c r="AF90" s="465" t="str">
        <f t="shared" si="4"/>
        <v>WA</v>
      </c>
      <c r="AG90" s="347" t="str">
        <f t="shared" ca="1" si="5"/>
        <v>Wales</v>
      </c>
      <c r="AH90" s="1011" t="s">
        <v>495</v>
      </c>
    </row>
    <row r="91" spans="2:34" hidden="1" x14ac:dyDescent="0.3">
      <c r="B91" s="12"/>
      <c r="C91" s="119" t="str">
        <f>IF(LEN($S$65)=1,"s","ss")</f>
        <v>ss</v>
      </c>
      <c r="D91" s="135" t="s">
        <v>16</v>
      </c>
      <c r="E91" s="12" t="str">
        <f t="shared" ca="1" si="6"/>
        <v>UITBREIDINGSMODULE VOOR HET BEHEERDERS BESTAND</v>
      </c>
      <c r="F91" s="12"/>
      <c r="G91" s="12"/>
      <c r="H91" s="12"/>
      <c r="I91" s="12"/>
      <c r="J91" s="12"/>
      <c r="K91" s="12"/>
      <c r="L91" s="12" t="str">
        <f t="shared" ca="1" si="7"/>
        <v>LET OP: DEZE MODULE MAAKT GEBRUIKT VAN MACRO'S EN IS GESCHIKT VOOR MAXIMAAL nvt DEELNEMERS.</v>
      </c>
      <c r="M91" s="12"/>
      <c r="N91" s="12"/>
      <c r="O91" s="12"/>
      <c r="P91" s="12"/>
      <c r="Q91" s="12"/>
      <c r="R91" s="12"/>
      <c r="S91" s="12"/>
      <c r="T91" s="12"/>
      <c r="U91" s="60"/>
      <c r="V91" s="60"/>
      <c r="W91" s="60"/>
      <c r="X91" s="754" t="s">
        <v>134</v>
      </c>
      <c r="Y91" s="725" t="str">
        <f ca="1">Taal02!$B$37</f>
        <v>Land G1</v>
      </c>
      <c r="Z91" s="725" t="s">
        <v>934</v>
      </c>
      <c r="AA91" s="733" t="str">
        <f ca="1">RIGHT(LEFT(Taal02!$B$48,(ROW()-66)*2),2)</f>
        <v>G1</v>
      </c>
      <c r="AB91" s="729" t="str">
        <f t="shared" ca="1" si="1"/>
        <v>Land G1</v>
      </c>
      <c r="AC91" s="731" t="str">
        <f t="shared" ca="1" si="2"/>
        <v>XA</v>
      </c>
      <c r="AD91" s="347" t="s">
        <v>134</v>
      </c>
      <c r="AE91" s="347" t="str">
        <f t="shared" ca="1" si="3"/>
        <v>Land G1</v>
      </c>
      <c r="AF91" s="465" t="str">
        <f t="shared" si="4"/>
        <v>XA</v>
      </c>
      <c r="AG91" s="347" t="str">
        <f t="shared" ca="1" si="5"/>
        <v>Land G1</v>
      </c>
      <c r="AH91" s="1011" t="s">
        <v>496</v>
      </c>
    </row>
    <row r="92" spans="2:34" hidden="1" x14ac:dyDescent="0.3">
      <c r="B92" s="12"/>
      <c r="C92" s="119" t="str">
        <f>IF(LEN($S$65)=1,"t","tt")</f>
        <v>tt</v>
      </c>
      <c r="D92" s="135" t="s">
        <v>16</v>
      </c>
      <c r="E92" s="12" t="str">
        <f t="shared" ca="1" si="6"/>
        <v>UITBREIDINGSMODULE VOOR HET BEHEERDERS BESTAND</v>
      </c>
      <c r="F92" s="12"/>
      <c r="G92" s="12"/>
      <c r="H92" s="12"/>
      <c r="I92" s="12"/>
      <c r="J92" s="12"/>
      <c r="K92" s="12"/>
      <c r="L92" s="12" t="str">
        <f t="shared" ca="1" si="7"/>
        <v>LET OP: DEZE MODULE MAAKT GEBRUIKT VAN MACRO'S EN IS GESCHIKT VOOR MAXIMAAL nvt DEELNEMERS.</v>
      </c>
      <c r="M92" s="12"/>
      <c r="N92" s="12"/>
      <c r="O92" s="12"/>
      <c r="P92" s="12"/>
      <c r="Q92" s="12"/>
      <c r="R92" s="12"/>
      <c r="S92" s="12"/>
      <c r="T92" s="12"/>
      <c r="U92" s="60"/>
      <c r="V92" s="60"/>
      <c r="W92" s="60"/>
      <c r="X92" s="754" t="s">
        <v>135</v>
      </c>
      <c r="Y92" s="725" t="str">
        <f ca="1">Taal02!$B$38</f>
        <v>Land G2</v>
      </c>
      <c r="Z92" s="725" t="s">
        <v>935</v>
      </c>
      <c r="AA92" s="733" t="str">
        <f ca="1">RIGHT(LEFT(Taal02!$B$48,(ROW()-66)*2),2)</f>
        <v>G2</v>
      </c>
      <c r="AB92" s="729" t="str">
        <f t="shared" ca="1" si="1"/>
        <v>Land G2</v>
      </c>
      <c r="AC92" s="731" t="str">
        <f t="shared" ca="1" si="2"/>
        <v>XB</v>
      </c>
      <c r="AD92" s="347" t="s">
        <v>135</v>
      </c>
      <c r="AE92" s="347" t="str">
        <f t="shared" ca="1" si="3"/>
        <v>Land G2</v>
      </c>
      <c r="AF92" s="465" t="str">
        <f t="shared" si="4"/>
        <v>XB</v>
      </c>
      <c r="AG92" s="347" t="str">
        <f t="shared" ca="1" si="5"/>
        <v>Land G2</v>
      </c>
      <c r="AH92" s="1011" t="s">
        <v>497</v>
      </c>
    </row>
    <row r="93" spans="2:34" hidden="1" x14ac:dyDescent="0.3">
      <c r="B93" s="12"/>
      <c r="C93" s="119" t="str">
        <f>IF(LEN($S$65)=1,"u","uu")</f>
        <v>uu</v>
      </c>
      <c r="D93" s="135" t="s">
        <v>16</v>
      </c>
      <c r="E93" s="12" t="str">
        <f t="shared" ca="1" si="6"/>
        <v>UITBREIDINGSMODULE VOOR HET BEHEERDERS BESTAND</v>
      </c>
      <c r="F93" s="12"/>
      <c r="G93" s="12"/>
      <c r="H93" s="12"/>
      <c r="I93" s="12"/>
      <c r="J93" s="12"/>
      <c r="K93" s="12"/>
      <c r="L93" s="12" t="str">
        <f t="shared" ca="1" si="7"/>
        <v>LET OP: DEZE MODULE MAAKT GEBRUIKT VAN MACRO'S EN IS GESCHIKT VOOR MAXIMAAL nvt DEELNEMERS.</v>
      </c>
      <c r="M93" s="12"/>
      <c r="N93" s="12"/>
      <c r="O93" s="12"/>
      <c r="P93" s="12"/>
      <c r="Q93" s="12"/>
      <c r="R93" s="12"/>
      <c r="S93" s="12"/>
      <c r="T93" s="12"/>
      <c r="U93" s="60"/>
      <c r="V93" s="60"/>
      <c r="W93" s="60"/>
      <c r="X93" s="754" t="s">
        <v>136</v>
      </c>
      <c r="Y93" s="725" t="str">
        <f ca="1">Taal02!$B$39</f>
        <v>Land G3</v>
      </c>
      <c r="Z93" s="725" t="s">
        <v>936</v>
      </c>
      <c r="AA93" s="733" t="str">
        <f ca="1">RIGHT(LEFT(Taal02!$B$48,(ROW()-66)*2),2)</f>
        <v>G3</v>
      </c>
      <c r="AB93" s="729" t="str">
        <f t="shared" ca="1" si="1"/>
        <v>Land G3</v>
      </c>
      <c r="AC93" s="731" t="str">
        <f t="shared" ca="1" si="2"/>
        <v>XC</v>
      </c>
      <c r="AD93" s="347" t="s">
        <v>136</v>
      </c>
      <c r="AE93" s="347" t="str">
        <f t="shared" ca="1" si="3"/>
        <v>Land G3</v>
      </c>
      <c r="AF93" s="465" t="str">
        <f t="shared" si="4"/>
        <v>XC</v>
      </c>
      <c r="AG93" s="347" t="str">
        <f t="shared" ca="1" si="5"/>
        <v>Land G3</v>
      </c>
      <c r="AH93" s="1011" t="s">
        <v>419</v>
      </c>
    </row>
    <row r="94" spans="2:34" hidden="1" x14ac:dyDescent="0.3">
      <c r="B94" s="12"/>
      <c r="C94" s="119" t="str">
        <f>IF(LEN($S$65)=1,"v","vv")</f>
        <v>vv</v>
      </c>
      <c r="D94" s="135" t="s">
        <v>16</v>
      </c>
      <c r="E94" s="12" t="str">
        <f t="shared" ca="1" si="6"/>
        <v>UITBREIDINGSMODULE VOOR HET BEHEERDERS BESTAND</v>
      </c>
      <c r="F94" s="12"/>
      <c r="G94" s="12"/>
      <c r="H94" s="12"/>
      <c r="I94" s="12"/>
      <c r="J94" s="12"/>
      <c r="K94" s="12"/>
      <c r="L94" s="12" t="str">
        <f t="shared" ca="1" si="7"/>
        <v>LET OP: DEZE MODULE MAAKT GEBRUIKT VAN MACRO'S EN IS GESCHIKT VOOR MAXIMAAL nvt DEELNEMERS.</v>
      </c>
      <c r="M94" s="12"/>
      <c r="N94" s="12"/>
      <c r="O94" s="12"/>
      <c r="P94" s="12"/>
      <c r="Q94" s="12"/>
      <c r="R94" s="12"/>
      <c r="S94" s="12"/>
      <c r="T94" s="12"/>
      <c r="U94" s="60"/>
      <c r="V94" s="60"/>
      <c r="W94" s="60"/>
      <c r="X94" s="754" t="s">
        <v>137</v>
      </c>
      <c r="Y94" s="725" t="str">
        <f ca="1">Taal02!$B$40</f>
        <v>Land G4</v>
      </c>
      <c r="Z94" s="725" t="s">
        <v>937</v>
      </c>
      <c r="AA94" s="733" t="str">
        <f ca="1">RIGHT(LEFT(Taal02!$B$48,(ROW()-66)*2),2)</f>
        <v>G4</v>
      </c>
      <c r="AB94" s="729" t="str">
        <f t="shared" ca="1" si="1"/>
        <v>Land G4</v>
      </c>
      <c r="AC94" s="731" t="str">
        <f t="shared" ca="1" si="2"/>
        <v>XD</v>
      </c>
      <c r="AD94" s="347" t="s">
        <v>137</v>
      </c>
      <c r="AE94" s="347" t="str">
        <f t="shared" ca="1" si="3"/>
        <v>Land G4</v>
      </c>
      <c r="AF94" s="465" t="str">
        <f t="shared" si="4"/>
        <v>XD</v>
      </c>
      <c r="AG94" s="347" t="str">
        <f t="shared" ca="1" si="5"/>
        <v>Land G4</v>
      </c>
      <c r="AH94" s="1011" t="s">
        <v>498</v>
      </c>
    </row>
    <row r="95" spans="2:34" hidden="1" x14ac:dyDescent="0.3">
      <c r="B95" s="12"/>
      <c r="C95" s="119" t="str">
        <f>IF(LEN($S$65)=1,"w","ww")</f>
        <v>ww</v>
      </c>
      <c r="D95" s="135" t="s">
        <v>16</v>
      </c>
      <c r="E95" s="12" t="str">
        <f t="shared" ca="1" si="6"/>
        <v>UITBREIDINGSMODULE VOOR HET BEHEERDERS BESTAND</v>
      </c>
      <c r="F95" s="12"/>
      <c r="G95" s="12"/>
      <c r="H95" s="12"/>
      <c r="I95" s="12"/>
      <c r="J95" s="12"/>
      <c r="K95" s="12"/>
      <c r="L95" s="12" t="str">
        <f t="shared" ca="1" si="7"/>
        <v>LET OP: DEZE MODULE MAAKT GEBRUIKT VAN MACRO'S EN IS GESCHIKT VOOR MAXIMAAL nvt DEELNEMERS.</v>
      </c>
      <c r="M95" s="12"/>
      <c r="N95" s="12"/>
      <c r="O95" s="12"/>
      <c r="P95" s="12"/>
      <c r="Q95" s="12"/>
      <c r="R95" s="12"/>
      <c r="S95" s="12"/>
      <c r="T95" s="12"/>
      <c r="U95" s="60"/>
      <c r="V95" s="60"/>
      <c r="W95" s="60"/>
      <c r="X95" s="754" t="s">
        <v>138</v>
      </c>
      <c r="Y95" s="725" t="str">
        <f ca="1">Taal02!$B$42</f>
        <v>Land H1</v>
      </c>
      <c r="Z95" s="725" t="s">
        <v>938</v>
      </c>
      <c r="AA95" s="733" t="str">
        <f ca="1">RIGHT(LEFT(Taal02!$B$48,(ROW()-66)*2),2)</f>
        <v>H1</v>
      </c>
      <c r="AB95" s="729" t="str">
        <f t="shared" ca="1" si="1"/>
        <v>Land H1</v>
      </c>
      <c r="AC95" s="731" t="str">
        <f t="shared" ca="1" si="2"/>
        <v>XE</v>
      </c>
      <c r="AD95" s="347" t="s">
        <v>138</v>
      </c>
      <c r="AE95" s="347" t="str">
        <f t="shared" ca="1" si="3"/>
        <v>Land H1</v>
      </c>
      <c r="AF95" s="465" t="str">
        <f t="shared" si="4"/>
        <v>XE</v>
      </c>
      <c r="AG95" s="347" t="str">
        <f t="shared" ca="1" si="5"/>
        <v>Land H1</v>
      </c>
      <c r="AH95" s="1011" t="s">
        <v>502</v>
      </c>
    </row>
    <row r="96" spans="2:34" hidden="1" x14ac:dyDescent="0.3">
      <c r="B96" s="12"/>
      <c r="C96" s="119" t="s">
        <v>458</v>
      </c>
      <c r="D96" s="135" t="s">
        <v>16</v>
      </c>
      <c r="E96" s="12" t="str">
        <f ca="1">$C$79</f>
        <v>EXTRA BEHEERDERSMODULE VOOR DE ORGANISATOREN</v>
      </c>
      <c r="F96" s="12"/>
      <c r="G96" s="12"/>
      <c r="H96" s="12"/>
      <c r="I96" s="12"/>
      <c r="J96" s="12"/>
      <c r="K96" s="12"/>
      <c r="L96" s="12" t="str">
        <f ca="1">$L$80</f>
        <v>LET OP: DEZE MODULE MAAKT GEBRUIK VAN MACRO'S. HET WORD GEADVISEERD OM DEZE IN TE SCHAKELEN.</v>
      </c>
      <c r="M96" s="12"/>
      <c r="N96" s="12"/>
      <c r="O96" s="12"/>
      <c r="P96" s="12"/>
      <c r="Q96" s="12"/>
      <c r="R96" s="12"/>
      <c r="S96" s="12"/>
      <c r="T96" s="12"/>
      <c r="U96" s="60"/>
      <c r="V96" s="60"/>
      <c r="W96" s="60"/>
      <c r="X96" s="754" t="s">
        <v>139</v>
      </c>
      <c r="Y96" s="725" t="str">
        <f ca="1">Taal02!$B$43</f>
        <v>Land H2</v>
      </c>
      <c r="Z96" s="725" t="s">
        <v>939</v>
      </c>
      <c r="AA96" s="733" t="str">
        <f ca="1">RIGHT(LEFT(Taal02!$B$48,(ROW()-66)*2),2)</f>
        <v>H2</v>
      </c>
      <c r="AB96" s="729" t="str">
        <f t="shared" ca="1" si="1"/>
        <v>Land H2</v>
      </c>
      <c r="AC96" s="731" t="str">
        <f t="shared" ca="1" si="2"/>
        <v>XF</v>
      </c>
      <c r="AD96" s="347" t="s">
        <v>139</v>
      </c>
      <c r="AE96" s="347" t="str">
        <f t="shared" ca="1" si="3"/>
        <v>Land H2</v>
      </c>
      <c r="AF96" s="465" t="str">
        <f t="shared" si="4"/>
        <v>XF</v>
      </c>
      <c r="AG96" s="347" t="str">
        <f t="shared" ca="1" si="5"/>
        <v>Land H2</v>
      </c>
      <c r="AH96" s="1011" t="s">
        <v>499</v>
      </c>
    </row>
    <row r="97" spans="2:34" hidden="1" x14ac:dyDescent="0.3">
      <c r="B97" s="12"/>
      <c r="C97" s="119" t="s">
        <v>459</v>
      </c>
      <c r="D97" s="135" t="s">
        <v>16</v>
      </c>
      <c r="E97" s="12" t="str">
        <f ca="1">$C$84&amp;" "&amp;$P$65&amp;"#"</f>
        <v>UPDATE VOOR DE EXCEL EK-POOL NAAR VERSIE 20.00#</v>
      </c>
      <c r="F97" s="12"/>
      <c r="G97" s="12"/>
      <c r="H97" s="12"/>
      <c r="I97" s="12"/>
      <c r="J97" s="12"/>
      <c r="K97" s="12"/>
      <c r="L97" s="12" t="str">
        <f ca="1">$L$80</f>
        <v>LET OP: DEZE MODULE MAAKT GEBRUIK VAN MACRO'S. HET WORD GEADVISEERD OM DEZE IN TE SCHAKELEN.</v>
      </c>
      <c r="M97" s="12"/>
      <c r="N97" s="12"/>
      <c r="O97" s="12"/>
      <c r="P97" s="12"/>
      <c r="Q97" s="12"/>
      <c r="R97" s="12"/>
      <c r="S97" s="12"/>
      <c r="T97" s="12"/>
      <c r="U97" s="60"/>
      <c r="V97" s="60"/>
      <c r="W97" s="60"/>
      <c r="X97" s="754" t="s">
        <v>140</v>
      </c>
      <c r="Y97" s="725" t="str">
        <f ca="1">Taal02!$B$44</f>
        <v>Land H3</v>
      </c>
      <c r="Z97" s="725" t="s">
        <v>940</v>
      </c>
      <c r="AA97" s="733" t="str">
        <f ca="1">RIGHT(LEFT(Taal02!$B$48,(ROW()-66)*2),2)</f>
        <v>H3</v>
      </c>
      <c r="AB97" s="729" t="str">
        <f t="shared" ca="1" si="1"/>
        <v>Land H3</v>
      </c>
      <c r="AC97" s="731" t="str">
        <f t="shared" ca="1" si="2"/>
        <v>XG</v>
      </c>
      <c r="AD97" s="347" t="s">
        <v>140</v>
      </c>
      <c r="AE97" s="347" t="str">
        <f t="shared" ca="1" si="3"/>
        <v>Land H3</v>
      </c>
      <c r="AF97" s="465" t="str">
        <f t="shared" si="4"/>
        <v>XG</v>
      </c>
      <c r="AG97" s="347" t="str">
        <f t="shared" ca="1" si="5"/>
        <v>Land H3</v>
      </c>
      <c r="AH97" s="1011" t="s">
        <v>420</v>
      </c>
    </row>
    <row r="98" spans="2:34" hidden="1" x14ac:dyDescent="0.3">
      <c r="B98" s="12"/>
      <c r="C98" s="119" t="s">
        <v>460</v>
      </c>
      <c r="D98" s="135" t="s">
        <v>16</v>
      </c>
      <c r="E98" s="12" t="str">
        <f ca="1">UPPER(Taal01!$B$26)</f>
        <v>HELPBESTAND VOOR EXCEL-POOL.NL</v>
      </c>
      <c r="F98" s="12"/>
      <c r="G98" s="12"/>
      <c r="H98" s="12"/>
      <c r="I98" s="12"/>
      <c r="J98" s="12"/>
      <c r="K98" s="12"/>
      <c r="L98" s="12" t="str">
        <f>""</f>
        <v/>
      </c>
      <c r="M98" s="12"/>
      <c r="N98" s="12"/>
      <c r="O98" s="12"/>
      <c r="P98" s="12"/>
      <c r="Q98" s="12"/>
      <c r="R98" s="12"/>
      <c r="S98" s="12"/>
      <c r="T98" s="12"/>
      <c r="U98" s="60"/>
      <c r="V98" s="60"/>
      <c r="W98" s="60"/>
      <c r="X98" s="754" t="s">
        <v>141</v>
      </c>
      <c r="Y98" s="725" t="str">
        <f ca="1">Taal02!$B$45</f>
        <v>Land H4</v>
      </c>
      <c r="Z98" s="725" t="s">
        <v>941</v>
      </c>
      <c r="AA98" s="733" t="str">
        <f ca="1">RIGHT(LEFT(Taal02!$B$48,(ROW()-66)*2),2)</f>
        <v>H4</v>
      </c>
      <c r="AB98" s="729" t="str">
        <f t="shared" ca="1" si="1"/>
        <v>Land H4</v>
      </c>
      <c r="AC98" s="731" t="str">
        <f t="shared" ca="1" si="2"/>
        <v>XH</v>
      </c>
      <c r="AD98" s="347" t="s">
        <v>141</v>
      </c>
      <c r="AE98" s="347" t="str">
        <f t="shared" ca="1" si="3"/>
        <v>Land H4</v>
      </c>
      <c r="AF98" s="465" t="str">
        <f t="shared" si="4"/>
        <v>XH</v>
      </c>
      <c r="AG98" s="347" t="str">
        <f t="shared" ca="1" si="5"/>
        <v>Land H4</v>
      </c>
      <c r="AH98" s="1011" t="s">
        <v>421</v>
      </c>
    </row>
    <row r="99" spans="2:34" hidden="1" x14ac:dyDescent="0.3">
      <c r="B99" s="12"/>
      <c r="C99" s="12"/>
      <c r="D99" s="12"/>
      <c r="E99" s="12"/>
      <c r="F99" s="12"/>
      <c r="G99" s="12"/>
      <c r="H99" s="12"/>
      <c r="I99" s="12"/>
      <c r="J99" s="12"/>
      <c r="K99" s="12"/>
      <c r="L99" s="12"/>
      <c r="M99" s="12"/>
      <c r="N99" s="12"/>
      <c r="O99" s="12"/>
      <c r="P99" s="12"/>
      <c r="Q99" s="12"/>
      <c r="R99" s="12"/>
      <c r="S99" s="12"/>
      <c r="T99" s="12"/>
      <c r="U99" s="726"/>
      <c r="V99" s="726"/>
      <c r="W99" s="726"/>
      <c r="X99" s="728" t="s">
        <v>409</v>
      </c>
      <c r="Y99" s="726"/>
      <c r="Z99" s="727"/>
      <c r="AA99" s="1066" t="s">
        <v>389</v>
      </c>
      <c r="AB99" s="1082"/>
      <c r="AC99" s="1083"/>
      <c r="AD99" s="1066" t="s">
        <v>390</v>
      </c>
      <c r="AE99" s="1067"/>
      <c r="AF99" s="1067"/>
      <c r="AG99" s="1067"/>
      <c r="AH99" s="651" t="s">
        <v>543</v>
      </c>
    </row>
  </sheetData>
  <sheetProtection algorithmName="SHA-512" hashValue="jLcvRwv8oK/0rP8ie1P4zfkuNhcfuP8YttmSIysHj9joL7uQmbsrTaOSspHF3Go7vnsSAtrgXhqteY1QblBoHg==" saltValue="FW/XxN4U+idQobCBdBjy+A==" spinCount="100000" sheet="1" objects="1" scenarios="1" selectLockedCells="1"/>
  <mergeCells count="10">
    <mergeCell ref="V2:Z4"/>
    <mergeCell ref="AD99:AG99"/>
    <mergeCell ref="K45:L45"/>
    <mergeCell ref="C5:S10"/>
    <mergeCell ref="D13:R14"/>
    <mergeCell ref="C15:S15"/>
    <mergeCell ref="AA99:AC99"/>
    <mergeCell ref="I65:J65"/>
    <mergeCell ref="J43:M44"/>
    <mergeCell ref="Q72:T72"/>
  </mergeCells>
  <conditionalFormatting sqref="R3 D17:D18 D62 R62">
    <cfRule type="expression" dxfId="274" priority="21">
      <formula>$A$1="wit"</formula>
    </cfRule>
    <cfRule type="expression" dxfId="273" priority="22">
      <formula>$A$1="zwart"</formula>
    </cfRule>
  </conditionalFormatting>
  <dataValidations count="1">
    <dataValidation type="list" allowBlank="1" showInputMessage="1" showErrorMessage="1" sqref="W7" xr:uid="{00000000-0002-0000-0500-000000000000}">
      <formula1>OFFSET(W67,0,0,COUNTA(W67:W76)-0)</formula1>
    </dataValidation>
  </dataValidations>
  <printOptions horizontalCentered="1"/>
  <pageMargins left="0.19685039370078741" right="0.19685039370078741" top="0.39370078740157483" bottom="0.39370078740157483" header="0.31496062992125984" footer="0.31496062992125984"/>
  <pageSetup paperSize="9" scale="80"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02">
    <tabColor rgb="FF0084A4"/>
  </sheetPr>
  <dimension ref="A1:Z139"/>
  <sheetViews>
    <sheetView showRowColHeaders="0" topLeftCell="A58" workbookViewId="0"/>
  </sheetViews>
  <sheetFormatPr defaultColWidth="9.109375" defaultRowHeight="14.4" x14ac:dyDescent="0.3"/>
  <cols>
    <col min="1" max="3" width="2.6640625" style="462" customWidth="1"/>
    <col min="4" max="4" width="3.6640625" style="462" customWidth="1"/>
    <col min="5" max="8" width="10.6640625" style="462" customWidth="1"/>
    <col min="9" max="9" width="6.6640625" style="462" customWidth="1"/>
    <col min="10" max="10" width="4.6640625" style="462" customWidth="1"/>
    <col min="11" max="11" width="3.6640625" style="462" customWidth="1"/>
    <col min="12" max="12" width="27.6640625" style="462" customWidth="1"/>
    <col min="13" max="13" width="10.6640625" style="462" customWidth="1"/>
    <col min="14" max="15" width="2.6640625" style="462" customWidth="1"/>
    <col min="16" max="16" width="0.109375" style="462" customWidth="1"/>
    <col min="17" max="17" width="4.6640625" style="462" customWidth="1"/>
    <col min="18" max="21" width="12.6640625" style="462" hidden="1" customWidth="1"/>
    <col min="22" max="22" width="9.109375" style="462" customWidth="1"/>
    <col min="23" max="23" width="10.5546875" style="462" bestFit="1" customWidth="1"/>
    <col min="24" max="16384" width="9.109375" style="462"/>
  </cols>
  <sheetData>
    <row r="1" spans="1:26" x14ac:dyDescent="0.3">
      <c r="A1" s="452" t="str">
        <f>Voorblad!A1</f>
        <v>wit</v>
      </c>
      <c r="B1" s="452">
        <f>Voorblad!B1</f>
        <v>246</v>
      </c>
      <c r="C1" s="452">
        <f>Voorblad!C1</f>
        <v>255</v>
      </c>
      <c r="D1" s="452">
        <f>Voorblad!D1</f>
        <v>0</v>
      </c>
      <c r="E1" s="121"/>
      <c r="F1" s="121"/>
      <c r="G1" s="121"/>
      <c r="H1" s="121"/>
      <c r="I1" s="121"/>
      <c r="J1" s="121"/>
      <c r="K1" s="121"/>
      <c r="L1" s="121"/>
      <c r="M1" s="121"/>
      <c r="O1" s="1107"/>
      <c r="P1" s="1107"/>
      <c r="R1" s="1115"/>
      <c r="S1" s="1115"/>
      <c r="T1" s="12"/>
      <c r="U1" s="12"/>
    </row>
    <row r="2" spans="1:26" ht="15" customHeight="1" x14ac:dyDescent="0.3">
      <c r="B2" s="128"/>
      <c r="C2" s="1108" t="str">
        <f>IF(Q82*Q83*Q84=1,IF(Q85=Q86,"","DE INGEVOERDE REGLEMENTCODE IS NIET GELDIG VOOR HET HUIDIGE FORMULIER"),Voorblad!L81)</f>
        <v/>
      </c>
      <c r="D2" s="1108"/>
      <c r="E2" s="1108"/>
      <c r="F2" s="1108"/>
      <c r="G2" s="1108"/>
      <c r="H2" s="1108"/>
      <c r="I2" s="1108"/>
      <c r="J2" s="1108"/>
      <c r="K2" s="1108"/>
      <c r="L2" s="1108"/>
      <c r="M2" s="1108"/>
      <c r="N2" s="1108"/>
      <c r="O2" s="1088"/>
      <c r="P2" s="1088"/>
      <c r="R2" s="1115"/>
      <c r="S2" s="1115"/>
      <c r="T2" s="12"/>
      <c r="U2" s="12"/>
      <c r="V2" s="1065" t="str">
        <f ca="1">Taal01!$B$37</f>
        <v>Reglement</v>
      </c>
      <c r="W2" s="1065"/>
      <c r="X2" s="1065"/>
      <c r="Y2" s="1065"/>
      <c r="Z2" s="1065"/>
    </row>
    <row r="3" spans="1:26" ht="15" customHeight="1" x14ac:dyDescent="0.3">
      <c r="B3" s="464"/>
      <c r="C3" s="1017"/>
      <c r="D3" s="1021" t="str">
        <f ca="1">IF(Q81=1,Taal03!B6,"")&amp;IF(N81*Q81=1," "&amp;SUBSTITUTE(Taal03!B7,"#",1),"")</f>
        <v>Het Algemeen Reglement</v>
      </c>
      <c r="E3" s="1018"/>
      <c r="F3" s="1018"/>
      <c r="G3" s="1018"/>
      <c r="H3" s="1018"/>
      <c r="I3" s="1018"/>
      <c r="J3" s="1018"/>
      <c r="K3" s="1018"/>
      <c r="L3" s="1018"/>
      <c r="M3" s="1019" t="str">
        <f ca="1">IF(H93="","",Taal01!$B$6&amp;": "&amp;SUBSTITUTE(H93,"*#"," "))</f>
        <v>EK2020: SV Marum jeugd JO7 t/m JO11</v>
      </c>
      <c r="N3" s="1020"/>
      <c r="O3" s="464"/>
      <c r="P3" s="115" t="s">
        <v>1441</v>
      </c>
      <c r="R3" s="1115"/>
      <c r="S3" s="1115"/>
      <c r="T3" s="12"/>
      <c r="U3" s="12"/>
      <c r="V3" s="1065"/>
      <c r="W3" s="1065"/>
      <c r="X3" s="1065"/>
      <c r="Y3" s="1065"/>
      <c r="Z3" s="1065"/>
    </row>
    <row r="4" spans="1:26" ht="15" customHeight="1" x14ac:dyDescent="0.3">
      <c r="B4" s="464"/>
      <c r="C4" s="464"/>
      <c r="D4" s="464"/>
      <c r="E4" s="464"/>
      <c r="F4" s="464"/>
      <c r="G4" s="464"/>
      <c r="H4" s="464"/>
      <c r="I4" s="464"/>
      <c r="J4" s="464"/>
      <c r="K4" s="464"/>
      <c r="L4" s="464"/>
      <c r="M4" s="464"/>
      <c r="N4" s="464"/>
      <c r="O4" s="1088"/>
      <c r="P4" s="1088"/>
      <c r="R4" s="12"/>
      <c r="S4" s="12"/>
      <c r="T4" s="12"/>
      <c r="U4" s="12"/>
      <c r="V4" s="1065"/>
      <c r="W4" s="1065"/>
      <c r="X4" s="1065"/>
      <c r="Y4" s="1065"/>
      <c r="Z4" s="1065"/>
    </row>
    <row r="5" spans="1:26" ht="15" customHeight="1" x14ac:dyDescent="0.3">
      <c r="B5" s="464"/>
      <c r="C5" s="1017"/>
      <c r="D5" s="1021" t="str">
        <f ca="1">IF(Q81=1,Taal03!B8,"")</f>
        <v>De Regels</v>
      </c>
      <c r="E5" s="1018"/>
      <c r="F5" s="1018"/>
      <c r="G5" s="1018"/>
      <c r="H5" s="1018"/>
      <c r="I5" s="1018"/>
      <c r="J5" s="1018"/>
      <c r="K5" s="1018"/>
      <c r="L5" s="1018"/>
      <c r="M5" s="1018"/>
      <c r="N5" s="1020"/>
      <c r="O5" s="1087"/>
      <c r="P5" s="1088"/>
      <c r="R5" s="48" t="str">
        <f ca="1">H92&amp;" "&amp;I92</f>
        <v>31 mei</v>
      </c>
      <c r="S5" s="61" t="s">
        <v>49</v>
      </c>
      <c r="T5" s="12"/>
      <c r="U5" s="12"/>
    </row>
    <row r="6" spans="1:26" ht="14.1" customHeight="1" x14ac:dyDescent="0.3">
      <c r="B6" s="464"/>
      <c r="C6" s="440"/>
      <c r="D6" s="463"/>
      <c r="E6" s="463"/>
      <c r="F6" s="463"/>
      <c r="G6" s="463"/>
      <c r="H6" s="463"/>
      <c r="I6" s="463"/>
      <c r="J6" s="463"/>
      <c r="K6" s="463"/>
      <c r="L6" s="463"/>
      <c r="M6" s="463"/>
      <c r="N6" s="442"/>
      <c r="O6" s="1087"/>
      <c r="P6" s="1088"/>
      <c r="R6" s="48" t="str">
        <f>IF(F82="","NEE",H91)</f>
        <v>NEE</v>
      </c>
      <c r="S6" s="61" t="s">
        <v>76</v>
      </c>
      <c r="T6" s="12"/>
      <c r="U6" s="12"/>
    </row>
    <row r="7" spans="1:26" ht="14.1" customHeight="1" x14ac:dyDescent="0.3">
      <c r="B7" s="464"/>
      <c r="C7" s="440"/>
      <c r="D7" s="1110" t="str">
        <f ca="1">SUBSTITUTE(SUBSTITUTE(SUBSTITUTE(SUBSTITUTE(IF(R7="JA",Taal03!B9,Taal03!B10),"$$$",SUBSTITUTE(H94,"*#"," ")),"&amp;&amp;&amp;",H95),"###",R5),"() ","")</f>
        <v>De Deelnamecode en/of het Deelname Formulier dienen voor 31 mei ingeleverd worden bij Marleen Dekker (jac@svmarum.nl).</v>
      </c>
      <c r="E7" s="1110"/>
      <c r="F7" s="1110"/>
      <c r="G7" s="1110"/>
      <c r="H7" s="1110"/>
      <c r="I7" s="1110"/>
      <c r="J7" s="1110"/>
      <c r="K7" s="1110"/>
      <c r="L7" s="1110"/>
      <c r="M7" s="1110"/>
      <c r="N7" s="442"/>
      <c r="O7" s="1087"/>
      <c r="P7" s="1088"/>
      <c r="R7" s="48" t="str">
        <f>IF(F82="","NEE",IF(G94="00","NEE","JA"))</f>
        <v>JA</v>
      </c>
      <c r="S7" s="61" t="s">
        <v>78</v>
      </c>
      <c r="T7" s="12"/>
      <c r="U7" s="12"/>
    </row>
    <row r="8" spans="1:26" ht="14.1" customHeight="1" x14ac:dyDescent="0.3">
      <c r="B8" s="464"/>
      <c r="C8" s="440"/>
      <c r="D8" s="1110"/>
      <c r="E8" s="1110"/>
      <c r="F8" s="1110"/>
      <c r="G8" s="1110"/>
      <c r="H8" s="1110"/>
      <c r="I8" s="1110"/>
      <c r="J8" s="1110"/>
      <c r="K8" s="1110"/>
      <c r="L8" s="1110"/>
      <c r="M8" s="1110"/>
      <c r="N8" s="442"/>
      <c r="O8" s="1087"/>
      <c r="P8" s="1088"/>
      <c r="R8" s="48" t="str">
        <f>IF(F82="","NEE",IF(G95="00","NEE","JA"))</f>
        <v>JA</v>
      </c>
      <c r="S8" s="61" t="s">
        <v>77</v>
      </c>
      <c r="T8" s="12"/>
      <c r="U8" s="12"/>
    </row>
    <row r="9" spans="1:26" ht="9.9" customHeight="1" x14ac:dyDescent="0.3">
      <c r="B9" s="464"/>
      <c r="C9" s="440"/>
      <c r="D9" s="1110"/>
      <c r="E9" s="1110"/>
      <c r="F9" s="1110"/>
      <c r="G9" s="1110"/>
      <c r="H9" s="1110"/>
      <c r="I9" s="1110"/>
      <c r="J9" s="1110"/>
      <c r="K9" s="1110"/>
      <c r="L9" s="1110"/>
      <c r="M9" s="1110"/>
      <c r="N9" s="442"/>
      <c r="O9" s="1087"/>
      <c r="P9" s="1088"/>
      <c r="R9" s="12"/>
      <c r="S9" s="90"/>
      <c r="T9" s="12"/>
      <c r="U9" s="12"/>
    </row>
    <row r="10" spans="1:26" ht="14.1" customHeight="1" x14ac:dyDescent="0.3">
      <c r="B10" s="464"/>
      <c r="C10" s="440"/>
      <c r="D10" s="1109" t="str">
        <f ca="1">IF(R10="geen",Taal03!B15,SUBSTITUTE(IF(H106=0,Taal03!B16,IF(C98= "NEE",Taal03!B17,Taal03!B18)),"###",FIXED(M106,2))&amp;" "&amp;IF(R71=RIGHT(S71,2),Taal03!B19,Taal03!B20))</f>
        <v>Bij deze pool is deelname gratis en is er dus geen inleg verplicht om mee te spelen.</v>
      </c>
      <c r="E10" s="1109"/>
      <c r="F10" s="1109"/>
      <c r="G10" s="1109"/>
      <c r="H10" s="1109"/>
      <c r="I10" s="1109"/>
      <c r="J10" s="1109"/>
      <c r="K10" s="1109"/>
      <c r="L10" s="1109"/>
      <c r="M10" s="1109"/>
      <c r="N10" s="1111"/>
      <c r="O10" s="1087"/>
      <c r="P10" s="1088"/>
      <c r="R10" s="48" t="str">
        <f>IF(H91="JA","wel","geen")</f>
        <v>geen</v>
      </c>
      <c r="S10" s="61" t="s">
        <v>48</v>
      </c>
      <c r="T10" s="12"/>
      <c r="U10" s="12"/>
    </row>
    <row r="11" spans="1:26" ht="9.9" customHeight="1" x14ac:dyDescent="0.3">
      <c r="B11" s="464"/>
      <c r="C11" s="440"/>
      <c r="D11" s="1109"/>
      <c r="E11" s="1109"/>
      <c r="F11" s="1109"/>
      <c r="G11" s="1109"/>
      <c r="H11" s="1109"/>
      <c r="I11" s="1109"/>
      <c r="J11" s="1109"/>
      <c r="K11" s="1109"/>
      <c r="L11" s="1109"/>
      <c r="M11" s="1109"/>
      <c r="N11" s="1111"/>
      <c r="O11" s="1087"/>
      <c r="P11" s="1088"/>
      <c r="R11" s="12"/>
      <c r="S11" s="90"/>
      <c r="T11" s="12"/>
      <c r="U11" s="12"/>
    </row>
    <row r="12" spans="1:26" ht="14.1" customHeight="1" x14ac:dyDescent="0.3">
      <c r="B12" s="464"/>
      <c r="C12" s="440"/>
      <c r="D12" s="1109" t="str">
        <f ca="1">IF(R12="wel",Taal03!B21,Taal03!B22)</f>
        <v>Het is niet toegestaan om als deelnemer meerdere deelname formulieren in te leveren.</v>
      </c>
      <c r="E12" s="1109"/>
      <c r="F12" s="1109"/>
      <c r="G12" s="1109"/>
      <c r="H12" s="1109"/>
      <c r="I12" s="1109"/>
      <c r="J12" s="1109"/>
      <c r="K12" s="1109"/>
      <c r="L12" s="1109"/>
      <c r="M12" s="1109"/>
      <c r="N12" s="442"/>
      <c r="O12" s="1087"/>
      <c r="P12" s="1088"/>
      <c r="R12" s="48" t="str">
        <f>IF(H89="JA","wel","niet")</f>
        <v>niet</v>
      </c>
      <c r="S12" s="61" t="s">
        <v>47</v>
      </c>
      <c r="T12" s="12"/>
      <c r="U12" s="12"/>
    </row>
    <row r="13" spans="1:26" ht="9.9" customHeight="1" x14ac:dyDescent="0.3">
      <c r="B13" s="464"/>
      <c r="C13" s="440"/>
      <c r="D13" s="1109"/>
      <c r="E13" s="1109"/>
      <c r="F13" s="1109"/>
      <c r="G13" s="1109"/>
      <c r="H13" s="1109"/>
      <c r="I13" s="1109"/>
      <c r="J13" s="1109"/>
      <c r="K13" s="1109"/>
      <c r="L13" s="1109"/>
      <c r="M13" s="1109"/>
      <c r="N13" s="442"/>
      <c r="O13" s="1087"/>
      <c r="P13" s="1088"/>
      <c r="R13" s="12"/>
      <c r="S13" s="90"/>
      <c r="T13" s="12"/>
      <c r="U13" s="12"/>
    </row>
    <row r="14" spans="1:26" ht="14.1" customHeight="1" x14ac:dyDescent="0.3">
      <c r="B14" s="464"/>
      <c r="C14" s="440"/>
      <c r="D14" s="1109" t="str">
        <f ca="1">Taal03!B13</f>
        <v>Na de start van de openingsceremonie is het niet meer mogelijk om uw voorspellingen aan te passen.</v>
      </c>
      <c r="E14" s="1109"/>
      <c r="F14" s="1109"/>
      <c r="G14" s="1109"/>
      <c r="H14" s="1109"/>
      <c r="I14" s="1109"/>
      <c r="J14" s="1109"/>
      <c r="K14" s="1109"/>
      <c r="L14" s="1109"/>
      <c r="M14" s="1109"/>
      <c r="N14" s="442"/>
      <c r="O14" s="762"/>
      <c r="P14" s="763"/>
      <c r="R14" s="12"/>
      <c r="S14" s="90"/>
      <c r="T14" s="12"/>
      <c r="U14" s="12"/>
    </row>
    <row r="15" spans="1:26" ht="9.9" customHeight="1" x14ac:dyDescent="0.3">
      <c r="B15" s="464"/>
      <c r="C15" s="440"/>
      <c r="D15" s="1109"/>
      <c r="E15" s="1109"/>
      <c r="F15" s="1109"/>
      <c r="G15" s="1109"/>
      <c r="H15" s="1109"/>
      <c r="I15" s="1109"/>
      <c r="J15" s="1109"/>
      <c r="K15" s="1109"/>
      <c r="L15" s="1109"/>
      <c r="M15" s="1109"/>
      <c r="N15" s="442"/>
      <c r="O15" s="762"/>
      <c r="P15" s="763"/>
      <c r="R15" s="12"/>
      <c r="S15" s="90"/>
      <c r="T15" s="12"/>
      <c r="U15" s="12"/>
    </row>
    <row r="16" spans="1:26" ht="14.1" customHeight="1" x14ac:dyDescent="0.3">
      <c r="B16" s="464"/>
      <c r="C16" s="440"/>
      <c r="D16" s="1109" t="str">
        <f ca="1">IF(G133="JA",Taal03!B23,Taal03!B24)</f>
        <v>Het is niet mogelijk om uitslagen te voorspellen waarin één land meer dan 9 doelpunten maakt. Wanneer een land toch meer dan 9 doelpunten maakt tijdens één wedstrijd zal bij de uitslag 9 doelpunten genoteerd worden.</v>
      </c>
      <c r="E16" s="1109"/>
      <c r="F16" s="1109"/>
      <c r="G16" s="1109"/>
      <c r="H16" s="1109"/>
      <c r="I16" s="1109"/>
      <c r="J16" s="1109"/>
      <c r="K16" s="1109"/>
      <c r="L16" s="1109"/>
      <c r="M16" s="1109"/>
      <c r="N16" s="442"/>
      <c r="O16" s="1087"/>
      <c r="P16" s="1088"/>
      <c r="R16" s="12"/>
      <c r="S16" s="760"/>
      <c r="T16" s="12"/>
      <c r="U16" s="12"/>
    </row>
    <row r="17" spans="1:21" ht="14.1" customHeight="1" x14ac:dyDescent="0.3">
      <c r="B17" s="464"/>
      <c r="C17" s="440"/>
      <c r="D17" s="1109"/>
      <c r="E17" s="1109"/>
      <c r="F17" s="1109"/>
      <c r="G17" s="1109"/>
      <c r="H17" s="1109"/>
      <c r="I17" s="1109"/>
      <c r="J17" s="1109"/>
      <c r="K17" s="1109"/>
      <c r="L17" s="1109"/>
      <c r="M17" s="1109"/>
      <c r="N17" s="442"/>
      <c r="O17" s="1087"/>
      <c r="P17" s="1088"/>
      <c r="R17" s="12"/>
      <c r="S17" s="300"/>
      <c r="T17" s="12"/>
      <c r="U17" s="12"/>
    </row>
    <row r="18" spans="1:21" ht="9.9" customHeight="1" x14ac:dyDescent="0.3">
      <c r="B18" s="464"/>
      <c r="C18" s="440"/>
      <c r="D18" s="1109"/>
      <c r="E18" s="1109"/>
      <c r="F18" s="1109"/>
      <c r="G18" s="1109"/>
      <c r="H18" s="1109"/>
      <c r="I18" s="1109"/>
      <c r="J18" s="1109"/>
      <c r="K18" s="1109"/>
      <c r="L18" s="1109"/>
      <c r="M18" s="1109"/>
      <c r="N18" s="442"/>
      <c r="O18" s="1087"/>
      <c r="P18" s="1088"/>
      <c r="R18" s="12"/>
      <c r="S18" s="761"/>
      <c r="T18" s="12"/>
      <c r="U18" s="12"/>
    </row>
    <row r="19" spans="1:21" ht="14.1" customHeight="1" x14ac:dyDescent="0.3">
      <c r="B19" s="464"/>
      <c r="C19" s="440"/>
      <c r="D19" s="1109" t="str">
        <f ca="1">IF(R19=1,Taal03!B25,Taal03!B26)&amp;" "&amp;Taal03!B27</f>
        <v>In de finalewedstrijden wordt de uitslag aangehouden die bereikt is na het verstrijken van de eventuele verlenging inclusief de blessuretijd. Een gelijkspel in de finalewedstrijden is dus ook mogelijk.</v>
      </c>
      <c r="E19" s="1109"/>
      <c r="F19" s="1109"/>
      <c r="G19" s="1109"/>
      <c r="H19" s="1109"/>
      <c r="I19" s="1109"/>
      <c r="J19" s="1109"/>
      <c r="K19" s="1109"/>
      <c r="L19" s="1109"/>
      <c r="M19" s="1109"/>
      <c r="N19" s="442"/>
      <c r="O19" s="1087"/>
      <c r="P19" s="1088"/>
      <c r="R19" s="48">
        <f>H90</f>
        <v>2</v>
      </c>
      <c r="S19" s="61" t="s">
        <v>457</v>
      </c>
      <c r="T19" s="12"/>
      <c r="U19" s="12"/>
    </row>
    <row r="20" spans="1:21" ht="14.1" customHeight="1" x14ac:dyDescent="0.3">
      <c r="B20" s="464"/>
      <c r="C20" s="440"/>
      <c r="D20" s="1109"/>
      <c r="E20" s="1109"/>
      <c r="F20" s="1109"/>
      <c r="G20" s="1109"/>
      <c r="H20" s="1109"/>
      <c r="I20" s="1109"/>
      <c r="J20" s="1109"/>
      <c r="K20" s="1109"/>
      <c r="L20" s="1109"/>
      <c r="M20" s="1109"/>
      <c r="N20" s="442"/>
      <c r="O20" s="1087"/>
      <c r="P20" s="1088"/>
      <c r="R20" s="12"/>
      <c r="S20" s="761"/>
      <c r="T20" s="12"/>
      <c r="U20" s="12"/>
    </row>
    <row r="21" spans="1:21" ht="9.9" customHeight="1" x14ac:dyDescent="0.3">
      <c r="B21" s="464"/>
      <c r="C21" s="440"/>
      <c r="D21" s="1109"/>
      <c r="E21" s="1109"/>
      <c r="F21" s="1109"/>
      <c r="G21" s="1109"/>
      <c r="H21" s="1109"/>
      <c r="I21" s="1109"/>
      <c r="J21" s="1109"/>
      <c r="K21" s="1109"/>
      <c r="L21" s="1109"/>
      <c r="M21" s="1109"/>
      <c r="N21" s="442"/>
      <c r="O21" s="1087"/>
      <c r="P21" s="1088"/>
      <c r="R21" s="12"/>
      <c r="S21" s="761"/>
      <c r="T21" s="12"/>
      <c r="U21" s="12"/>
    </row>
    <row r="22" spans="1:21" ht="14.1" customHeight="1" x14ac:dyDescent="0.3">
      <c r="B22" s="464"/>
      <c r="C22" s="440"/>
      <c r="D22" s="1109" t="str">
        <f ca="1">Taal03!B28</f>
        <v>In gevallen waar het reglement niet in voorziet, beslist de wedstrijdleiding.</v>
      </c>
      <c r="E22" s="1109"/>
      <c r="F22" s="1109"/>
      <c r="G22" s="1109"/>
      <c r="H22" s="1109"/>
      <c r="I22" s="1109"/>
      <c r="J22" s="1109"/>
      <c r="K22" s="1109"/>
      <c r="L22" s="1109"/>
      <c r="M22" s="1109"/>
      <c r="N22" s="442"/>
      <c r="O22" s="1087"/>
      <c r="P22" s="1088"/>
      <c r="R22" s="12"/>
      <c r="S22" s="761"/>
      <c r="T22" s="12"/>
      <c r="U22" s="12"/>
    </row>
    <row r="23" spans="1:21" ht="9.9" customHeight="1" x14ac:dyDescent="0.3">
      <c r="B23" s="464"/>
      <c r="C23" s="440"/>
      <c r="D23" s="1109"/>
      <c r="E23" s="1109"/>
      <c r="F23" s="1109"/>
      <c r="G23" s="1109"/>
      <c r="H23" s="1109"/>
      <c r="I23" s="1109"/>
      <c r="J23" s="1109"/>
      <c r="K23" s="1109"/>
      <c r="L23" s="1109"/>
      <c r="M23" s="1109"/>
      <c r="N23" s="442"/>
      <c r="O23" s="1087"/>
      <c r="P23" s="1088"/>
      <c r="R23" s="1128" t="str">
        <f ca="1">SUBSTITUTE(S27&amp;S28&amp;S29&amp;S30&amp;S31&amp;S32&amp;S33&amp;S34&amp;S35&amp;S36&amp;S37&amp;S38&amp;S39&amp;S40&amp;S41&amp;S42&amp;S43&amp;S44&amp;S45&amp;S46&amp;S47&amp;S48&amp;S49&amp;S50&amp;S51&amp;S52&amp;S53&amp;S54&amp;S55&amp;S56&amp;S57&amp;S58&amp;S59&amp;S60&amp;S61&amp;S62&amp;S63&amp;S64&amp;S65&amp;S66&amp;S67&amp;S68,999,"")</f>
        <v>100101900102104105106900107108109110111900200201202204900300301302303900400401402900500501502503900</v>
      </c>
      <c r="S23" s="1128"/>
      <c r="T23" s="1128"/>
      <c r="U23" s="1128"/>
    </row>
    <row r="24" spans="1:21" ht="14.1" customHeight="1" x14ac:dyDescent="0.3">
      <c r="B24" s="464"/>
      <c r="C24" s="440"/>
      <c r="D24" s="1109" t="str">
        <f ca="1">Taal03!B29</f>
        <v>Door het inleveren van het deelname formulier gaat u akkoord met dit wedstrijdreglement.</v>
      </c>
      <c r="E24" s="1109"/>
      <c r="F24" s="1109"/>
      <c r="G24" s="1109"/>
      <c r="H24" s="1109"/>
      <c r="I24" s="1109"/>
      <c r="J24" s="1109"/>
      <c r="K24" s="1109"/>
      <c r="L24" s="1109"/>
      <c r="M24" s="1109"/>
      <c r="N24" s="442"/>
      <c r="O24" s="1087"/>
      <c r="P24" s="1088"/>
      <c r="R24" s="1128"/>
      <c r="S24" s="1128"/>
      <c r="T24" s="1128"/>
      <c r="U24" s="1128"/>
    </row>
    <row r="25" spans="1:21" ht="14.1" customHeight="1" x14ac:dyDescent="0.3">
      <c r="B25" s="464"/>
      <c r="C25" s="445"/>
      <c r="D25" s="1139"/>
      <c r="E25" s="1139"/>
      <c r="F25" s="1139"/>
      <c r="G25" s="1139"/>
      <c r="H25" s="1139"/>
      <c r="I25" s="1139"/>
      <c r="J25" s="1139"/>
      <c r="K25" s="1139"/>
      <c r="L25" s="1139"/>
      <c r="M25" s="1139"/>
      <c r="N25" s="446"/>
      <c r="O25" s="1087"/>
      <c r="P25" s="1088"/>
      <c r="R25" s="1128"/>
      <c r="S25" s="1128"/>
      <c r="T25" s="1128"/>
      <c r="U25" s="1128"/>
    </row>
    <row r="26" spans="1:21" ht="15" customHeight="1" x14ac:dyDescent="0.3">
      <c r="B26" s="464"/>
      <c r="C26" s="464"/>
      <c r="D26" s="464"/>
      <c r="E26" s="464"/>
      <c r="F26" s="464"/>
      <c r="G26" s="464"/>
      <c r="H26" s="464"/>
      <c r="I26" s="464"/>
      <c r="J26" s="464"/>
      <c r="K26" s="464"/>
      <c r="L26" s="464"/>
      <c r="M26" s="464"/>
      <c r="N26" s="464"/>
      <c r="O26" s="1088"/>
      <c r="P26" s="1088"/>
      <c r="R26" s="301"/>
      <c r="S26" s="90"/>
      <c r="T26" s="12"/>
      <c r="U26" s="12"/>
    </row>
    <row r="27" spans="1:21" ht="15" customHeight="1" x14ac:dyDescent="0.3">
      <c r="B27" s="464"/>
      <c r="C27" s="1017"/>
      <c r="D27" s="1021" t="str">
        <f ca="1">IF(Q81=1,Taal03!B49,"")</f>
        <v>De Puntentelling</v>
      </c>
      <c r="E27" s="1018"/>
      <c r="F27" s="1018"/>
      <c r="G27" s="1018"/>
      <c r="H27" s="1018"/>
      <c r="I27" s="1018"/>
      <c r="J27" s="1018"/>
      <c r="K27" s="1018"/>
      <c r="L27" s="1018"/>
      <c r="M27" s="1018"/>
      <c r="N27" s="1020"/>
      <c r="O27" s="1087"/>
      <c r="P27" s="1088"/>
      <c r="R27" s="301"/>
      <c r="S27" s="760">
        <f ca="1">IF(U27="",999,100)</f>
        <v>100</v>
      </c>
      <c r="T27" s="761" t="str">
        <f>""</f>
        <v/>
      </c>
      <c r="U27" s="243" t="str">
        <f ca="1">UPPER(Taal03!B54)</f>
        <v>HET VOORSPELLEN VAN DE LANDEN IN DE FINALEWEDSTRIJDEN</v>
      </c>
    </row>
    <row r="28" spans="1:21" ht="14.1" customHeight="1" x14ac:dyDescent="0.3">
      <c r="B28" s="464"/>
      <c r="C28" s="437"/>
      <c r="D28" s="32"/>
      <c r="E28" s="32"/>
      <c r="F28" s="32"/>
      <c r="G28" s="32"/>
      <c r="H28" s="32"/>
      <c r="I28" s="32"/>
      <c r="J28" s="32"/>
      <c r="K28" s="32"/>
      <c r="L28" s="32"/>
      <c r="M28" s="32"/>
      <c r="N28" s="439"/>
      <c r="O28" s="1087"/>
      <c r="P28" s="1088"/>
      <c r="R28" s="301"/>
      <c r="S28" s="761">
        <f ca="1">IF(U28="",999,101)</f>
        <v>101</v>
      </c>
      <c r="T28" s="761">
        <f>IF($Q$81=0,0,$H$117)</f>
        <v>15</v>
      </c>
      <c r="U28" s="12" t="str">
        <f ca="1">IF($Q$81=0,"",IF($H$117=1,Taal03!B$50,Taal03!B$51)&amp;" "&amp;Taal03!B57)</f>
        <v>Punten voor het goed voorspellen van de winnaar van het EK.</v>
      </c>
    </row>
    <row r="29" spans="1:21" ht="14.1" customHeight="1" x14ac:dyDescent="0.3">
      <c r="A29" s="483">
        <v>3</v>
      </c>
      <c r="B29" s="464"/>
      <c r="C29" s="440"/>
      <c r="D29" s="450" t="str">
        <f t="shared" ref="D29:D68" ca="1" si="0">VLOOKUP($R29,$S$27:$U$68,2,FALSE)</f>
        <v/>
      </c>
      <c r="E29" s="1089" t="str">
        <f t="shared" ref="E29:E68" ca="1" si="1">VLOOKUP($R29,$S$27:$U$68,3,FALSE)</f>
        <v>HET VOORSPELLEN VAN DE LANDEN IN DE FINALEWEDSTRIJDEN</v>
      </c>
      <c r="F29" s="1089"/>
      <c r="G29" s="1089"/>
      <c r="H29" s="1089"/>
      <c r="I29" s="1089"/>
      <c r="J29" s="1089"/>
      <c r="K29" s="1089"/>
      <c r="L29" s="1089"/>
      <c r="M29" s="1089"/>
      <c r="N29" s="1090"/>
      <c r="O29" s="762"/>
      <c r="P29" s="763"/>
      <c r="R29" s="761">
        <f t="shared" ref="R29:R68" ca="1" si="2">IF(LEN($R$23)&lt;$A29,900,RIGHT(LEFT($R$23,$A29),3))*1</f>
        <v>100</v>
      </c>
      <c r="S29" s="761">
        <f ca="1">IF(U27="",999,900)</f>
        <v>900</v>
      </c>
      <c r="T29" s="761" t="str">
        <f>""</f>
        <v/>
      </c>
      <c r="U29" s="761" t="str">
        <f>""</f>
        <v/>
      </c>
    </row>
    <row r="30" spans="1:21" ht="14.1" customHeight="1" x14ac:dyDescent="0.3">
      <c r="A30" s="483">
        <f>A29+3</f>
        <v>6</v>
      </c>
      <c r="B30" s="464"/>
      <c r="C30" s="440"/>
      <c r="D30" s="450">
        <f t="shared" ca="1" si="0"/>
        <v>15</v>
      </c>
      <c r="E30" s="1089" t="str">
        <f t="shared" ca="1" si="1"/>
        <v>Punten voor het goed voorspellen van de winnaar van het EK.</v>
      </c>
      <c r="F30" s="1089"/>
      <c r="G30" s="1089"/>
      <c r="H30" s="1089"/>
      <c r="I30" s="1089"/>
      <c r="J30" s="1089"/>
      <c r="K30" s="1089"/>
      <c r="L30" s="1089"/>
      <c r="M30" s="1089"/>
      <c r="N30" s="1090"/>
      <c r="O30" s="762"/>
      <c r="P30" s="763"/>
      <c r="R30" s="761">
        <f t="shared" ca="1" si="2"/>
        <v>101</v>
      </c>
      <c r="S30" s="761">
        <f ca="1">IF(U30="",999,102)</f>
        <v>102</v>
      </c>
      <c r="T30" s="761">
        <f>IF($Q$81=0,0,$H$118)</f>
        <v>8</v>
      </c>
      <c r="U30" s="12" t="str">
        <f ca="1">IF($Q$81=0,"",IF($H$118=1,Taal03!B$50,Taal03!B$51)&amp;" "&amp;Taal03!B58&amp;" ("&amp;IF($G$129="C",Taal03!B$55,Taal03!B$56)&amp;").")</f>
        <v>Punten voor elk goed voorspelde land in de finale (het land dient op de juiste positie te staan).</v>
      </c>
    </row>
    <row r="31" spans="1:21" ht="14.1" customHeight="1" x14ac:dyDescent="0.3">
      <c r="A31" s="483">
        <f t="shared" ref="A31:A68" si="3">A30+3</f>
        <v>9</v>
      </c>
      <c r="B31" s="464"/>
      <c r="C31" s="440"/>
      <c r="D31" s="450" t="str">
        <f t="shared" ca="1" si="0"/>
        <v/>
      </c>
      <c r="E31" s="1089" t="str">
        <f t="shared" ca="1" si="1"/>
        <v/>
      </c>
      <c r="F31" s="1089"/>
      <c r="G31" s="1089"/>
      <c r="H31" s="1089"/>
      <c r="I31" s="1089"/>
      <c r="J31" s="1089"/>
      <c r="K31" s="1089"/>
      <c r="L31" s="1089"/>
      <c r="M31" s="1089"/>
      <c r="N31" s="1090"/>
      <c r="O31" s="762"/>
      <c r="P31" s="763"/>
      <c r="R31" s="761">
        <f t="shared" ca="1" si="2"/>
        <v>900</v>
      </c>
      <c r="S31" s="761">
        <f>IF(OR(U31="",C119="NEE"),999,103)</f>
        <v>999</v>
      </c>
      <c r="T31" s="761">
        <f>IF(OR($Q$81=0,$C$119="NEE"),0,$H$119)</f>
        <v>0</v>
      </c>
      <c r="U31" s="12" t="str">
        <f>IF(OR($Q$81=0,$C$119="NEE"),"",IF($H$119=1,Taal03!B$50,Taal03!B$51)&amp;" "&amp;Taal03!B59&amp;" ("&amp;IF($G$129="C",Taal03!B$55,Taal03!B$56)&amp;").")</f>
        <v/>
      </c>
    </row>
    <row r="32" spans="1:21" ht="14.1" customHeight="1" x14ac:dyDescent="0.3">
      <c r="A32" s="483">
        <f t="shared" si="3"/>
        <v>12</v>
      </c>
      <c r="B32" s="464"/>
      <c r="C32" s="440"/>
      <c r="D32" s="450">
        <f t="shared" ca="1" si="0"/>
        <v>8</v>
      </c>
      <c r="E32" s="1089" t="str">
        <f t="shared" ca="1" si="1"/>
        <v>Punten voor elk goed voorspelde land in de finale (het land dient op de juiste positie te staan).</v>
      </c>
      <c r="F32" s="1089"/>
      <c r="G32" s="1089"/>
      <c r="H32" s="1089"/>
      <c r="I32" s="1089"/>
      <c r="J32" s="1089"/>
      <c r="K32" s="1089"/>
      <c r="L32" s="1089"/>
      <c r="M32" s="1089"/>
      <c r="N32" s="1090"/>
      <c r="O32" s="762"/>
      <c r="P32" s="763"/>
      <c r="R32" s="761">
        <f t="shared" ca="1" si="2"/>
        <v>102</v>
      </c>
      <c r="S32" s="761">
        <f ca="1">IF(U32="",999,104)</f>
        <v>104</v>
      </c>
      <c r="T32" s="761">
        <f>IF($Q$81=0,0,$H$120)</f>
        <v>6</v>
      </c>
      <c r="U32" s="12" t="str">
        <f ca="1">IF($Q$81=0,"",IF($H$120=1,Taal03!B$50,Taal03!B$51)&amp;" "&amp;Taal03!B60&amp;" ("&amp;IF($G$129="C",Taal03!B$55,Taal03!B$56)&amp;").")</f>
        <v>Punten voor elk goed voorspelde land in de halve finales (het land dient op de juiste positie te staan).</v>
      </c>
    </row>
    <row r="33" spans="1:21" ht="14.1" customHeight="1" x14ac:dyDescent="0.3">
      <c r="A33" s="483">
        <f t="shared" si="3"/>
        <v>15</v>
      </c>
      <c r="B33" s="464"/>
      <c r="C33" s="440"/>
      <c r="D33" s="450">
        <f t="shared" ca="1" si="0"/>
        <v>6</v>
      </c>
      <c r="E33" s="1089" t="str">
        <f t="shared" ca="1" si="1"/>
        <v>Punten voor elk goed voorspelde land in de halve finales (het land dient op de juiste positie te staan).</v>
      </c>
      <c r="F33" s="1089"/>
      <c r="G33" s="1089"/>
      <c r="H33" s="1089"/>
      <c r="I33" s="1089"/>
      <c r="J33" s="1089"/>
      <c r="K33" s="1089"/>
      <c r="L33" s="1089"/>
      <c r="M33" s="1089"/>
      <c r="N33" s="1090"/>
      <c r="O33" s="762"/>
      <c r="P33" s="763"/>
      <c r="R33" s="761">
        <f t="shared" ca="1" si="2"/>
        <v>104</v>
      </c>
      <c r="S33" s="761">
        <f ca="1">IF(U33="",999,105)</f>
        <v>105</v>
      </c>
      <c r="T33" s="761">
        <f>IF($Q$81=0,0,$H$121)</f>
        <v>4</v>
      </c>
      <c r="U33" s="12" t="str">
        <f ca="1">IF($Q$81=0,"",IF($H$121=1,Taal03!B$50,Taal03!B$51)&amp;" "&amp;Taal03!B61&amp;" ("&amp;IF($G$129="C",Taal03!B$55,Taal03!B$56)&amp;").")</f>
        <v>Punten voor elk goed voorspelde land in de kwartfinales (het land dient op de juiste positie te staan).</v>
      </c>
    </row>
    <row r="34" spans="1:21" ht="14.1" customHeight="1" x14ac:dyDescent="0.3">
      <c r="A34" s="483">
        <f t="shared" si="3"/>
        <v>18</v>
      </c>
      <c r="B34" s="464"/>
      <c r="C34" s="440"/>
      <c r="D34" s="450">
        <f t="shared" ca="1" si="0"/>
        <v>4</v>
      </c>
      <c r="E34" s="1089" t="str">
        <f t="shared" ca="1" si="1"/>
        <v>Punten voor elk goed voorspelde land in de kwartfinales (het land dient op de juiste positie te staan).</v>
      </c>
      <c r="F34" s="1089"/>
      <c r="G34" s="1089"/>
      <c r="H34" s="1089"/>
      <c r="I34" s="1089"/>
      <c r="J34" s="1089"/>
      <c r="K34" s="1089"/>
      <c r="L34" s="1089"/>
      <c r="M34" s="1089"/>
      <c r="N34" s="1090"/>
      <c r="O34" s="762"/>
      <c r="P34" s="763"/>
      <c r="R34" s="761">
        <f t="shared" ca="1" si="2"/>
        <v>105</v>
      </c>
      <c r="S34" s="761">
        <f ca="1">IF(U34="",999,106)</f>
        <v>106</v>
      </c>
      <c r="T34" s="761">
        <f>IF($Q$81=0,0,$H$122)</f>
        <v>2</v>
      </c>
      <c r="U34" s="12" t="str">
        <f ca="1">IF($Q$81=0,"",IF($H$122=1,Taal03!B$50,Taal03!B$51)&amp;" "&amp;Taal03!B62&amp;" ("&amp;IF($G$129="C",Taal03!B$55,Taal03!B$56)&amp;").")</f>
        <v>Punten voor elk goed voorspelde land in de achtste finales (het land dient op de juiste positie te staan).</v>
      </c>
    </row>
    <row r="35" spans="1:21" ht="14.1" customHeight="1" x14ac:dyDescent="0.3">
      <c r="A35" s="483">
        <f t="shared" si="3"/>
        <v>21</v>
      </c>
      <c r="B35" s="464"/>
      <c r="C35" s="440"/>
      <c r="D35" s="450">
        <f t="shared" ca="1" si="0"/>
        <v>2</v>
      </c>
      <c r="E35" s="1089" t="str">
        <f t="shared" ca="1" si="1"/>
        <v>Punten voor elk goed voorspelde land in de achtste finales (het land dient op de juiste positie te staan).</v>
      </c>
      <c r="F35" s="1089"/>
      <c r="G35" s="1089"/>
      <c r="H35" s="1089"/>
      <c r="I35" s="1089"/>
      <c r="J35" s="1089"/>
      <c r="K35" s="1089"/>
      <c r="L35" s="1089"/>
      <c r="M35" s="1089"/>
      <c r="N35" s="1090"/>
      <c r="O35" s="762"/>
      <c r="P35" s="763"/>
      <c r="R35" s="761">
        <f t="shared" ca="1" si="2"/>
        <v>106</v>
      </c>
      <c r="S35" s="761">
        <f ca="1">IF(U27="",999,900)</f>
        <v>900</v>
      </c>
      <c r="T35" s="761" t="str">
        <f>""</f>
        <v/>
      </c>
      <c r="U35" s="761" t="str">
        <f>""</f>
        <v/>
      </c>
    </row>
    <row r="36" spans="1:21" ht="14.1" customHeight="1" x14ac:dyDescent="0.3">
      <c r="A36" s="483">
        <f t="shared" si="3"/>
        <v>24</v>
      </c>
      <c r="B36" s="464"/>
      <c r="C36" s="440"/>
      <c r="D36" s="450" t="str">
        <f t="shared" ca="1" si="0"/>
        <v/>
      </c>
      <c r="E36" s="1089" t="str">
        <f t="shared" ca="1" si="1"/>
        <v/>
      </c>
      <c r="F36" s="1089"/>
      <c r="G36" s="1089"/>
      <c r="H36" s="1089"/>
      <c r="I36" s="1089"/>
      <c r="J36" s="1089"/>
      <c r="K36" s="1089"/>
      <c r="L36" s="1089"/>
      <c r="M36" s="1089"/>
      <c r="N36" s="1090"/>
      <c r="O36" s="762"/>
      <c r="P36" s="763"/>
      <c r="R36" s="761">
        <f t="shared" ca="1" si="2"/>
        <v>900</v>
      </c>
      <c r="S36" s="761">
        <f ca="1">IF(U36="",999,107)</f>
        <v>107</v>
      </c>
      <c r="T36" s="761" t="str">
        <f>IF(OR($Q$81=0,$G$129="A"),"","-")</f>
        <v>-</v>
      </c>
      <c r="U36" s="12" t="str">
        <f ca="1">IF(OR($Q$81=0,$G$129="A"),"",Taal03!B63)</f>
        <v>Heeft men het land niet op de juiste positie voorspeld maar het heeft wel de betreffende finaleronde</v>
      </c>
    </row>
    <row r="37" spans="1:21" ht="14.1" customHeight="1" x14ac:dyDescent="0.3">
      <c r="A37" s="483">
        <f t="shared" si="3"/>
        <v>27</v>
      </c>
      <c r="B37" s="464"/>
      <c r="C37" s="440"/>
      <c r="D37" s="450" t="str">
        <f t="shared" ca="1" si="0"/>
        <v>-</v>
      </c>
      <c r="E37" s="1089" t="str">
        <f t="shared" ca="1" si="1"/>
        <v>Heeft men het land niet op de juiste positie voorspeld maar het heeft wel de betreffende finaleronde</v>
      </c>
      <c r="F37" s="1089"/>
      <c r="G37" s="1089"/>
      <c r="H37" s="1089"/>
      <c r="I37" s="1089"/>
      <c r="J37" s="1089"/>
      <c r="K37" s="1089"/>
      <c r="L37" s="1089"/>
      <c r="M37" s="1089"/>
      <c r="N37" s="1090"/>
      <c r="O37" s="762"/>
      <c r="P37" s="763"/>
      <c r="R37" s="761">
        <f t="shared" ca="1" si="2"/>
        <v>107</v>
      </c>
      <c r="S37" s="761">
        <f ca="1">IF(U37="",999,108)</f>
        <v>108</v>
      </c>
      <c r="T37" s="761" t="str">
        <f>""</f>
        <v/>
      </c>
      <c r="U37" s="12" t="str">
        <f ca="1">IF(OR($Q$81=0,$G$129="A"),"",IF($G$129="B",Taal03!B64,Taal03!B65))</f>
        <v>behaald dan ontvangt men alsnog de helft van het aantal punten voor het juist voorspellen van het land.</v>
      </c>
    </row>
    <row r="38" spans="1:21" ht="14.1" customHeight="1" x14ac:dyDescent="0.3">
      <c r="A38" s="483">
        <f t="shared" si="3"/>
        <v>30</v>
      </c>
      <c r="B38" s="464"/>
      <c r="C38" s="440"/>
      <c r="D38" s="450" t="str">
        <f t="shared" ca="1" si="0"/>
        <v/>
      </c>
      <c r="E38" s="1089" t="str">
        <f t="shared" ca="1" si="1"/>
        <v>behaald dan ontvangt men alsnog de helft van het aantal punten voor het juist voorspellen van het land.</v>
      </c>
      <c r="F38" s="1089"/>
      <c r="G38" s="1089"/>
      <c r="H38" s="1089"/>
      <c r="I38" s="1089"/>
      <c r="J38" s="1089"/>
      <c r="K38" s="1089"/>
      <c r="L38" s="1089"/>
      <c r="M38" s="1089"/>
      <c r="N38" s="1090"/>
      <c r="O38" s="762"/>
      <c r="P38" s="763"/>
      <c r="R38" s="761">
        <f t="shared" ca="1" si="2"/>
        <v>108</v>
      </c>
      <c r="S38" s="761">
        <f ca="1">IF(U38="",999,109)</f>
        <v>109</v>
      </c>
      <c r="T38" s="299" t="str">
        <f>"-"</f>
        <v>-</v>
      </c>
      <c r="U38" s="12" t="str">
        <f ca="1">IF($Q$81=0,"",IF(OR($G$129="B",$G$129="C"),Taal03!B66,Taal03!B67))</f>
        <v>Het is niet toegestaan om een land meerdere keren te voorspellen in één finaleronde.</v>
      </c>
    </row>
    <row r="39" spans="1:21" ht="14.1" customHeight="1" x14ac:dyDescent="0.3">
      <c r="A39" s="483">
        <f t="shared" si="3"/>
        <v>33</v>
      </c>
      <c r="B39" s="464"/>
      <c r="C39" s="440"/>
      <c r="D39" s="450" t="str">
        <f t="shared" ca="1" si="0"/>
        <v>-</v>
      </c>
      <c r="E39" s="1089" t="str">
        <f t="shared" ca="1" si="1"/>
        <v>Het is niet toegestaan om een land meerdere keren te voorspellen in één finaleronde.</v>
      </c>
      <c r="F39" s="1089"/>
      <c r="G39" s="1089"/>
      <c r="H39" s="1089"/>
      <c r="I39" s="1089"/>
      <c r="J39" s="1089"/>
      <c r="K39" s="1089"/>
      <c r="L39" s="1089"/>
      <c r="M39" s="1089"/>
      <c r="N39" s="1090"/>
      <c r="O39" s="762"/>
      <c r="P39" s="763"/>
      <c r="R39" s="761">
        <f t="shared" ca="1" si="2"/>
        <v>109</v>
      </c>
      <c r="S39" s="761">
        <f ca="1">IF(U39="",999,110)</f>
        <v>110</v>
      </c>
      <c r="T39" s="299" t="str">
        <f>"-"</f>
        <v>-</v>
      </c>
      <c r="U39" s="12" t="str">
        <f ca="1">IF($Q$81=0,"",Taal03!B68)</f>
        <v>Punten voor het goed voorspellen van een land in de finaleronden worden pas meegeteld op het moment dat</v>
      </c>
    </row>
    <row r="40" spans="1:21" ht="14.1" customHeight="1" x14ac:dyDescent="0.3">
      <c r="A40" s="483">
        <f t="shared" si="3"/>
        <v>36</v>
      </c>
      <c r="B40" s="464"/>
      <c r="C40" s="440"/>
      <c r="D40" s="450" t="str">
        <f t="shared" ca="1" si="0"/>
        <v>-</v>
      </c>
      <c r="E40" s="1089" t="str">
        <f t="shared" ca="1" si="1"/>
        <v>Punten voor het goed voorspellen van een land in de finaleronden worden pas meegeteld op het moment dat</v>
      </c>
      <c r="F40" s="1089"/>
      <c r="G40" s="1089"/>
      <c r="H40" s="1089"/>
      <c r="I40" s="1089"/>
      <c r="J40" s="1089"/>
      <c r="K40" s="1089"/>
      <c r="L40" s="1089"/>
      <c r="M40" s="1089"/>
      <c r="N40" s="1090"/>
      <c r="O40" s="762"/>
      <c r="P40" s="763"/>
      <c r="R40" s="761">
        <f t="shared" ca="1" si="2"/>
        <v>110</v>
      </c>
      <c r="S40" s="761">
        <f ca="1">IF(U40="",999,111)</f>
        <v>111</v>
      </c>
      <c r="T40" s="761" t="str">
        <f>""</f>
        <v/>
      </c>
      <c r="U40" s="12" t="str">
        <f ca="1">IF($Q$81=0,"",IF(OR($G$129="B",$G$129="C"),Taal03!B70,Taal03!B69))</f>
        <v>de uitslag van de betreffende wedstrijd bekend is of als het voorspelde land zijn wedstrijd heeft gespeeld.</v>
      </c>
    </row>
    <row r="41" spans="1:21" ht="14.1" customHeight="1" x14ac:dyDescent="0.3">
      <c r="A41" s="483">
        <f t="shared" si="3"/>
        <v>39</v>
      </c>
      <c r="B41" s="464"/>
      <c r="C41" s="440"/>
      <c r="D41" s="450" t="str">
        <f t="shared" ca="1" si="0"/>
        <v/>
      </c>
      <c r="E41" s="1089" t="str">
        <f t="shared" ca="1" si="1"/>
        <v>de uitslag van de betreffende wedstrijd bekend is of als het voorspelde land zijn wedstrijd heeft gespeeld.</v>
      </c>
      <c r="F41" s="1089"/>
      <c r="G41" s="1089"/>
      <c r="H41" s="1089"/>
      <c r="I41" s="1089"/>
      <c r="J41" s="1089"/>
      <c r="K41" s="1089"/>
      <c r="L41" s="1089"/>
      <c r="M41" s="1089"/>
      <c r="N41" s="1090"/>
      <c r="O41" s="762"/>
      <c r="P41" s="763"/>
      <c r="R41" s="761">
        <f t="shared" ca="1" si="2"/>
        <v>111</v>
      </c>
      <c r="S41" s="761">
        <f ca="1">IF(U27="",999,900)</f>
        <v>900</v>
      </c>
      <c r="T41" s="761" t="str">
        <f>""</f>
        <v/>
      </c>
      <c r="U41" s="761" t="str">
        <f>""</f>
        <v/>
      </c>
    </row>
    <row r="42" spans="1:21" ht="14.1" customHeight="1" x14ac:dyDescent="0.3">
      <c r="A42" s="483">
        <f t="shared" si="3"/>
        <v>42</v>
      </c>
      <c r="B42" s="464"/>
      <c r="C42" s="440"/>
      <c r="D42" s="450" t="str">
        <f t="shared" ca="1" si="0"/>
        <v/>
      </c>
      <c r="E42" s="1089" t="str">
        <f t="shared" ca="1" si="1"/>
        <v/>
      </c>
      <c r="F42" s="1089"/>
      <c r="G42" s="1089"/>
      <c r="H42" s="1089"/>
      <c r="I42" s="1089"/>
      <c r="J42" s="1089"/>
      <c r="K42" s="1089"/>
      <c r="L42" s="1089"/>
      <c r="M42" s="1089"/>
      <c r="N42" s="1090"/>
      <c r="O42" s="762"/>
      <c r="P42" s="763"/>
      <c r="R42" s="761">
        <f t="shared" ca="1" si="2"/>
        <v>900</v>
      </c>
      <c r="S42" s="760">
        <f ca="1">IF(U42="",999,200)</f>
        <v>200</v>
      </c>
      <c r="T42" s="761" t="str">
        <f>""</f>
        <v/>
      </c>
      <c r="U42" s="243" t="str">
        <f ca="1">IF(OR($Q$81=0,$G$135="NEE"),"",UPPER(Taal03!B73))</f>
        <v>HET VOORSPELLEN VAN DE EINDSTAND IN DE GROEP</v>
      </c>
    </row>
    <row r="43" spans="1:21" ht="14.1" customHeight="1" x14ac:dyDescent="0.3">
      <c r="A43" s="483">
        <f t="shared" si="3"/>
        <v>45</v>
      </c>
      <c r="B43" s="464"/>
      <c r="C43" s="440"/>
      <c r="D43" s="450" t="str">
        <f t="shared" ca="1" si="0"/>
        <v/>
      </c>
      <c r="E43" s="1089" t="str">
        <f t="shared" ca="1" si="1"/>
        <v>HET VOORSPELLEN VAN DE EINDSTAND IN DE GROEP</v>
      </c>
      <c r="F43" s="1089"/>
      <c r="G43" s="1089"/>
      <c r="H43" s="1089"/>
      <c r="I43" s="1089"/>
      <c r="J43" s="1089"/>
      <c r="K43" s="1089"/>
      <c r="L43" s="1089"/>
      <c r="M43" s="1089"/>
      <c r="N43" s="1090"/>
      <c r="O43" s="762"/>
      <c r="P43" s="763"/>
      <c r="R43" s="761">
        <f t="shared" ca="1" si="2"/>
        <v>200</v>
      </c>
      <c r="S43" s="761">
        <f ca="1">IF(U43="",999,201)</f>
        <v>201</v>
      </c>
      <c r="T43" s="761">
        <f>IF(OR($Q$81=0,$G$135="NEE"),"",$H$123)</f>
        <v>4</v>
      </c>
      <c r="U43" s="12" t="str">
        <f ca="1">IF(OR($Q$81=0,$G$135="NEE"),"",IF($H$123=1,Taal03!B$50,Taal03!B$51)&amp;" "&amp;Taal03!B74)</f>
        <v>Punten voor elk goed voorspelde land bij de eindstand in de groep.</v>
      </c>
    </row>
    <row r="44" spans="1:21" ht="14.1" customHeight="1" x14ac:dyDescent="0.3">
      <c r="A44" s="483">
        <f t="shared" si="3"/>
        <v>48</v>
      </c>
      <c r="B44" s="464"/>
      <c r="C44" s="440"/>
      <c r="D44" s="450">
        <f t="shared" ca="1" si="0"/>
        <v>4</v>
      </c>
      <c r="E44" s="1089" t="str">
        <f t="shared" ca="1" si="1"/>
        <v>Punten voor elk goed voorspelde land bij de eindstand in de groep.</v>
      </c>
      <c r="F44" s="1089"/>
      <c r="G44" s="1089"/>
      <c r="H44" s="1089"/>
      <c r="I44" s="1089"/>
      <c r="J44" s="1089"/>
      <c r="K44" s="1089"/>
      <c r="L44" s="1089"/>
      <c r="M44" s="1089"/>
      <c r="N44" s="1090"/>
      <c r="O44" s="762"/>
      <c r="P44" s="763"/>
      <c r="R44" s="761">
        <f t="shared" ca="1" si="2"/>
        <v>201</v>
      </c>
      <c r="S44" s="761">
        <f ca="1">IF(U44="",999,202)</f>
        <v>202</v>
      </c>
      <c r="T44" s="761" t="str">
        <f>IF(OR($Q$81=0,$G$135="NEE"),"","-")</f>
        <v>-</v>
      </c>
      <c r="U44" s="12" t="str">
        <f ca="1">IF(OR($Q$81=0,$G$135="NEE"),"",Taal03!B75)</f>
        <v>Elk land mag maar één keer ingevuld worden bij de voorspelling van de eindstand in de groep.</v>
      </c>
    </row>
    <row r="45" spans="1:21" ht="14.1" customHeight="1" x14ac:dyDescent="0.3">
      <c r="A45" s="483">
        <f t="shared" si="3"/>
        <v>51</v>
      </c>
      <c r="B45" s="464"/>
      <c r="C45" s="440"/>
      <c r="D45" s="450" t="str">
        <f t="shared" ca="1" si="0"/>
        <v>-</v>
      </c>
      <c r="E45" s="1089" t="str">
        <f t="shared" ca="1" si="1"/>
        <v>Elk land mag maar één keer ingevuld worden bij de voorspelling van de eindstand in de groep.</v>
      </c>
      <c r="F45" s="1089"/>
      <c r="G45" s="1089"/>
      <c r="H45" s="1089"/>
      <c r="I45" s="1089"/>
      <c r="J45" s="1089"/>
      <c r="K45" s="1089"/>
      <c r="L45" s="1089"/>
      <c r="M45" s="1089"/>
      <c r="N45" s="1090"/>
      <c r="O45" s="762"/>
      <c r="P45" s="763"/>
      <c r="R45" s="761">
        <f t="shared" ca="1" si="2"/>
        <v>202</v>
      </c>
      <c r="S45" s="761">
        <f ca="1">IF(U45="",999,204)</f>
        <v>204</v>
      </c>
      <c r="T45" s="761" t="str">
        <f>IF(OR($Q$81=0,$G$135="NEE"),"","-")</f>
        <v>-</v>
      </c>
      <c r="U45" s="12" t="str">
        <f ca="1">IF(OR($Q$81=0,$G$135="NEE"),"",Taal03!B76)</f>
        <v>De punten voor elke juiste voorspelling worden pas opgeteld als de laatste wedstrijd van de groep is gespeeld.</v>
      </c>
    </row>
    <row r="46" spans="1:21" ht="14.1" customHeight="1" x14ac:dyDescent="0.3">
      <c r="A46" s="483">
        <f t="shared" si="3"/>
        <v>54</v>
      </c>
      <c r="B46" s="464"/>
      <c r="C46" s="440"/>
      <c r="D46" s="450" t="str">
        <f t="shared" ca="1" si="0"/>
        <v>-</v>
      </c>
      <c r="E46" s="1089" t="str">
        <f t="shared" ca="1" si="1"/>
        <v>De punten voor elke juiste voorspelling worden pas opgeteld als de laatste wedstrijd van de groep is gespeeld.</v>
      </c>
      <c r="F46" s="1089"/>
      <c r="G46" s="1089"/>
      <c r="H46" s="1089"/>
      <c r="I46" s="1089"/>
      <c r="J46" s="1089"/>
      <c r="K46" s="1089"/>
      <c r="L46" s="1089"/>
      <c r="M46" s="1089"/>
      <c r="N46" s="1090"/>
      <c r="O46" s="762"/>
      <c r="P46" s="763"/>
      <c r="R46" s="761">
        <f t="shared" ca="1" si="2"/>
        <v>204</v>
      </c>
      <c r="S46" s="761">
        <f ca="1">IF(U42="",999,900)</f>
        <v>900</v>
      </c>
      <c r="T46" s="761" t="str">
        <f>""</f>
        <v/>
      </c>
      <c r="U46" s="761" t="str">
        <f>""</f>
        <v/>
      </c>
    </row>
    <row r="47" spans="1:21" ht="14.1" customHeight="1" x14ac:dyDescent="0.3">
      <c r="A47" s="483">
        <f t="shared" si="3"/>
        <v>57</v>
      </c>
      <c r="B47" s="464"/>
      <c r="C47" s="440"/>
      <c r="D47" s="450" t="str">
        <f t="shared" ca="1" si="0"/>
        <v/>
      </c>
      <c r="E47" s="1089" t="str">
        <f t="shared" ca="1" si="1"/>
        <v/>
      </c>
      <c r="F47" s="1089"/>
      <c r="G47" s="1089"/>
      <c r="H47" s="1089"/>
      <c r="I47" s="1089"/>
      <c r="J47" s="1089"/>
      <c r="K47" s="1089"/>
      <c r="L47" s="1089"/>
      <c r="M47" s="1089"/>
      <c r="N47" s="1090"/>
      <c r="O47" s="762"/>
      <c r="P47" s="763"/>
      <c r="R47" s="761">
        <f t="shared" ca="1" si="2"/>
        <v>900</v>
      </c>
      <c r="S47" s="760">
        <f ca="1">IF(U47="",999,300)</f>
        <v>300</v>
      </c>
      <c r="T47" s="761" t="str">
        <f>""</f>
        <v/>
      </c>
      <c r="U47" s="243" t="str">
        <f ca="1">IF(OR($Q$81=0,$G$134="NEE"),"",UPPER(Taal03!B79))</f>
        <v>HET VOORSPELLEN VAN DE TOTO</v>
      </c>
    </row>
    <row r="48" spans="1:21" ht="14.1" customHeight="1" x14ac:dyDescent="0.3">
      <c r="A48" s="483">
        <f t="shared" si="3"/>
        <v>60</v>
      </c>
      <c r="B48" s="464"/>
      <c r="C48" s="440"/>
      <c r="D48" s="450" t="str">
        <f t="shared" ca="1" si="0"/>
        <v/>
      </c>
      <c r="E48" s="1089" t="str">
        <f t="shared" ca="1" si="1"/>
        <v>HET VOORSPELLEN VAN DE TOTO</v>
      </c>
      <c r="F48" s="1089"/>
      <c r="G48" s="1089"/>
      <c r="H48" s="1089"/>
      <c r="I48" s="1089"/>
      <c r="J48" s="1089"/>
      <c r="K48" s="1089"/>
      <c r="L48" s="1089"/>
      <c r="M48" s="1089"/>
      <c r="N48" s="1090"/>
      <c r="O48" s="762"/>
      <c r="P48" s="763"/>
      <c r="R48" s="761">
        <f t="shared" ca="1" si="2"/>
        <v>300</v>
      </c>
      <c r="S48" s="761">
        <f ca="1">IF(U48="",999,301)</f>
        <v>301</v>
      </c>
      <c r="T48" s="761">
        <f>IF(OR($Q$81=0,$G$134="NEE"),"",$H$124)</f>
        <v>2</v>
      </c>
      <c r="U48" s="12" t="str">
        <f ca="1">IF(OR($Q$81=0,$G$134="NEE"),"",IF($H$124=1,Taal03!B$50,Taal03!B$51)&amp;" "&amp;Taal03!B80)</f>
        <v>Punten voor het goed voorspellen van de TOTO (winst / verlies of gelijkspel).</v>
      </c>
    </row>
    <row r="49" spans="1:21" ht="14.1" customHeight="1" x14ac:dyDescent="0.3">
      <c r="A49" s="483">
        <f t="shared" si="3"/>
        <v>63</v>
      </c>
      <c r="B49" s="464"/>
      <c r="C49" s="440"/>
      <c r="D49" s="450">
        <f t="shared" ca="1" si="0"/>
        <v>2</v>
      </c>
      <c r="E49" s="1089" t="str">
        <f t="shared" ca="1" si="1"/>
        <v>Punten voor het goed voorspellen van de TOTO (winst / verlies of gelijkspel).</v>
      </c>
      <c r="F49" s="1089"/>
      <c r="G49" s="1089"/>
      <c r="H49" s="1089"/>
      <c r="I49" s="1089"/>
      <c r="J49" s="1089"/>
      <c r="K49" s="1089"/>
      <c r="L49" s="1089"/>
      <c r="M49" s="1089"/>
      <c r="N49" s="1090"/>
      <c r="O49" s="762"/>
      <c r="P49" s="763"/>
      <c r="R49" s="761">
        <f t="shared" ca="1" si="2"/>
        <v>301</v>
      </c>
      <c r="S49" s="761">
        <f ca="1">IF(U49="",999,302)</f>
        <v>302</v>
      </c>
      <c r="T49" s="761" t="str">
        <f>IF(OR($Q$81=0,$G$134="NEE",$G$136="NEE"),"","-")</f>
        <v>-</v>
      </c>
      <c r="U49" s="12" t="str">
        <f ca="1">IF(OR($Q$81=0,$G$134="NEE",$G$136="NEE"),"",IF($G$130="A",Taal03!B81,IF($G$130="B",Taal03!B82,Taal03!B83)))</f>
        <v>Bij de finalewedstrijden dient men één of beide landen juist voorspeld te hebben om aanspraak te</v>
      </c>
    </row>
    <row r="50" spans="1:21" ht="14.1" customHeight="1" x14ac:dyDescent="0.3">
      <c r="A50" s="483">
        <f t="shared" si="3"/>
        <v>66</v>
      </c>
      <c r="B50" s="464"/>
      <c r="C50" s="440"/>
      <c r="D50" s="450" t="str">
        <f t="shared" ca="1" si="0"/>
        <v>-</v>
      </c>
      <c r="E50" s="1089" t="str">
        <f t="shared" ca="1" si="1"/>
        <v>Bij de finalewedstrijden dient men één of beide landen juist voorspeld te hebben om aanspraak te</v>
      </c>
      <c r="F50" s="1089"/>
      <c r="G50" s="1089"/>
      <c r="H50" s="1089"/>
      <c r="I50" s="1089"/>
      <c r="J50" s="1089"/>
      <c r="K50" s="1089"/>
      <c r="L50" s="1089"/>
      <c r="M50" s="1089"/>
      <c r="N50" s="1090"/>
      <c r="O50" s="762"/>
      <c r="P50" s="763"/>
      <c r="R50" s="761">
        <f t="shared" ca="1" si="2"/>
        <v>302</v>
      </c>
      <c r="S50" s="761">
        <f ca="1">IF(U50="",999,303)</f>
        <v>303</v>
      </c>
      <c r="T50" s="761" t="str">
        <f>""</f>
        <v/>
      </c>
      <c r="U50" s="12" t="str">
        <f ca="1">IF(OR($Q$81=0,$G$134="NEE",$G$136="NEE"),"",Taal03!B84)</f>
        <v>maken op de punten voor het juist voorspellen van de TOTO.</v>
      </c>
    </row>
    <row r="51" spans="1:21" ht="14.1" customHeight="1" x14ac:dyDescent="0.3">
      <c r="A51" s="483">
        <f t="shared" si="3"/>
        <v>69</v>
      </c>
      <c r="B51" s="464"/>
      <c r="C51" s="440"/>
      <c r="D51" s="450" t="str">
        <f t="shared" ca="1" si="0"/>
        <v/>
      </c>
      <c r="E51" s="1089" t="str">
        <f t="shared" ca="1" si="1"/>
        <v>maken op de punten voor het juist voorspellen van de TOTO.</v>
      </c>
      <c r="F51" s="1089"/>
      <c r="G51" s="1089"/>
      <c r="H51" s="1089"/>
      <c r="I51" s="1089"/>
      <c r="J51" s="1089"/>
      <c r="K51" s="1089"/>
      <c r="L51" s="1089"/>
      <c r="M51" s="1089"/>
      <c r="N51" s="1090"/>
      <c r="O51" s="762"/>
      <c r="P51" s="763"/>
      <c r="R51" s="761">
        <f t="shared" ca="1" si="2"/>
        <v>303</v>
      </c>
      <c r="S51" s="761">
        <f ca="1">IF(U47="",999,900)</f>
        <v>900</v>
      </c>
      <c r="T51" s="761" t="str">
        <f>""</f>
        <v/>
      </c>
      <c r="U51" s="761" t="str">
        <f>""</f>
        <v/>
      </c>
    </row>
    <row r="52" spans="1:21" ht="14.1" customHeight="1" x14ac:dyDescent="0.3">
      <c r="A52" s="483">
        <f t="shared" si="3"/>
        <v>72</v>
      </c>
      <c r="B52" s="464"/>
      <c r="C52" s="440"/>
      <c r="D52" s="450" t="str">
        <f t="shared" ca="1" si="0"/>
        <v/>
      </c>
      <c r="E52" s="1089" t="str">
        <f t="shared" ca="1" si="1"/>
        <v/>
      </c>
      <c r="F52" s="1089"/>
      <c r="G52" s="1089"/>
      <c r="H52" s="1089"/>
      <c r="I52" s="1089"/>
      <c r="J52" s="1089"/>
      <c r="K52" s="1089"/>
      <c r="L52" s="1089"/>
      <c r="M52" s="1089"/>
      <c r="N52" s="1090"/>
      <c r="O52" s="762"/>
      <c r="P52" s="763"/>
      <c r="R52" s="761">
        <f t="shared" ca="1" si="2"/>
        <v>900</v>
      </c>
      <c r="S52" s="760">
        <f ca="1">IF(U52="",999,400)</f>
        <v>400</v>
      </c>
      <c r="T52" s="761" t="str">
        <f>""</f>
        <v/>
      </c>
      <c r="U52" s="243" t="str">
        <f ca="1">IF(OR($Q$81=0,$G$133="NEE"),"",UPPER(Taal03!B87))</f>
        <v>HET VOORSPELLEN VAN DE UITSLAG</v>
      </c>
    </row>
    <row r="53" spans="1:21" ht="14.1" customHeight="1" x14ac:dyDescent="0.3">
      <c r="A53" s="483">
        <f t="shared" si="3"/>
        <v>75</v>
      </c>
      <c r="B53" s="464"/>
      <c r="C53" s="440"/>
      <c r="D53" s="450" t="str">
        <f t="shared" ca="1" si="0"/>
        <v/>
      </c>
      <c r="E53" s="1089" t="str">
        <f t="shared" ca="1" si="1"/>
        <v>HET VOORSPELLEN VAN DE UITSLAG</v>
      </c>
      <c r="F53" s="1089"/>
      <c r="G53" s="1089"/>
      <c r="H53" s="1089"/>
      <c r="I53" s="1089"/>
      <c r="J53" s="1089"/>
      <c r="K53" s="1089"/>
      <c r="L53" s="1089"/>
      <c r="M53" s="1089"/>
      <c r="N53" s="1090"/>
      <c r="O53" s="762"/>
      <c r="P53" s="763"/>
      <c r="R53" s="761">
        <f t="shared" ca="1" si="2"/>
        <v>400</v>
      </c>
      <c r="S53" s="761">
        <f ca="1">IF(U53="",999,401)</f>
        <v>401</v>
      </c>
      <c r="T53" s="761">
        <f>IF(OR($Q$81=0,$G$133="NEE",TYPE($H$126)=1),"",$H$125)</f>
        <v>2</v>
      </c>
      <c r="U53" s="12" t="str">
        <f ca="1">IF(OR($Q$81=0,$G$133="NEE",TYPE($H$126)=1),"",IF($H$125=1,Taal03!B$50,Taal03!B$51)&amp;" "&amp;IF($H$131="NEE",Taal03!B88,Taal03!B89))</f>
        <v>Punten voor het goed voorspellen van het aantal gescoorde doelpunten per spelend team, mits u de TOTO juist</v>
      </c>
    </row>
    <row r="54" spans="1:21" ht="14.1" customHeight="1" x14ac:dyDescent="0.3">
      <c r="A54" s="483">
        <f t="shared" si="3"/>
        <v>78</v>
      </c>
      <c r="B54" s="464"/>
      <c r="C54" s="440"/>
      <c r="D54" s="450">
        <f t="shared" ca="1" si="0"/>
        <v>2</v>
      </c>
      <c r="E54" s="1089" t="str">
        <f t="shared" ca="1" si="1"/>
        <v>Punten voor het goed voorspellen van het aantal gescoorde doelpunten per spelend team, mits u de TOTO juist</v>
      </c>
      <c r="F54" s="1089"/>
      <c r="G54" s="1089"/>
      <c r="H54" s="1089"/>
      <c r="I54" s="1089"/>
      <c r="J54" s="1089"/>
      <c r="K54" s="1089"/>
      <c r="L54" s="1089"/>
      <c r="M54" s="1089"/>
      <c r="N54" s="1090"/>
      <c r="O54" s="762"/>
      <c r="P54" s="763"/>
      <c r="R54" s="761">
        <f t="shared" ca="1" si="2"/>
        <v>401</v>
      </c>
      <c r="S54" s="761">
        <f ca="1">IF(U54="",999,402)</f>
        <v>402</v>
      </c>
      <c r="T54" s="761" t="str">
        <f>""</f>
        <v/>
      </c>
      <c r="U54" s="12" t="str">
        <f ca="1">IF(OR($Q$81=0,$G$133="NEE",$H$131="NEE",TYPE($H$126)=1),"",Taal03!B90)</f>
        <v>heeft voorspeld.</v>
      </c>
    </row>
    <row r="55" spans="1:21" ht="14.1" customHeight="1" x14ac:dyDescent="0.3">
      <c r="A55" s="483">
        <f t="shared" si="3"/>
        <v>81</v>
      </c>
      <c r="B55" s="464"/>
      <c r="C55" s="440"/>
      <c r="D55" s="450" t="str">
        <f t="shared" ca="1" si="0"/>
        <v/>
      </c>
      <c r="E55" s="1089" t="str">
        <f t="shared" ca="1" si="1"/>
        <v>heeft voorspeld.</v>
      </c>
      <c r="F55" s="1089"/>
      <c r="G55" s="1089"/>
      <c r="H55" s="1089"/>
      <c r="I55" s="1089"/>
      <c r="J55" s="1089"/>
      <c r="K55" s="1089"/>
      <c r="L55" s="1089"/>
      <c r="M55" s="1089"/>
      <c r="N55" s="1090"/>
      <c r="O55" s="762"/>
      <c r="P55" s="763"/>
      <c r="R55" s="761">
        <f t="shared" ca="1" si="2"/>
        <v>402</v>
      </c>
      <c r="S55" s="761">
        <f>IF(U55="",999,403)</f>
        <v>999</v>
      </c>
      <c r="T55" s="761" t="str">
        <f>IF(OR($Q$81=0,$G$133="NEE",TYPE($H$126)&lt;&gt;1),"",$H$126)</f>
        <v/>
      </c>
      <c r="U55" s="12" t="str">
        <f>IF(OR($Q$81=0,$G$133="NEE",TYPE($H$126)&lt;&gt;1),"",IF($H$125=1,Taal03!B$50,Taal03!B$51)&amp;" "&amp;IF(AND($G$130="B",$G$132="B"),Taal03!B92,Taal03!B91))</f>
        <v/>
      </c>
    </row>
    <row r="56" spans="1:21" ht="14.1" customHeight="1" x14ac:dyDescent="0.3">
      <c r="A56" s="483">
        <f t="shared" si="3"/>
        <v>84</v>
      </c>
      <c r="B56" s="464"/>
      <c r="C56" s="440"/>
      <c r="D56" s="450" t="str">
        <f t="shared" ca="1" si="0"/>
        <v/>
      </c>
      <c r="E56" s="1089" t="str">
        <f t="shared" ca="1" si="1"/>
        <v/>
      </c>
      <c r="F56" s="1089"/>
      <c r="G56" s="1089"/>
      <c r="H56" s="1089"/>
      <c r="I56" s="1089"/>
      <c r="J56" s="1089"/>
      <c r="K56" s="1089"/>
      <c r="L56" s="1089"/>
      <c r="M56" s="1089"/>
      <c r="N56" s="1090"/>
      <c r="O56" s="762"/>
      <c r="P56" s="763"/>
      <c r="R56" s="761">
        <f t="shared" ca="1" si="2"/>
        <v>900</v>
      </c>
      <c r="S56" s="761">
        <f>IF(U56="",999,404)</f>
        <v>999</v>
      </c>
      <c r="T56" s="761" t="str">
        <f>""</f>
        <v/>
      </c>
      <c r="U56" s="12" t="str">
        <f>IF(OR($Q$81=0,$G$133="NEE",TYPE($H$126)&lt;&gt;1),"","  ●  "&amp;SUBSTITUTE(SUBSTITUTE(IF(AND($G$130="B",$G$132="B"),IF($H$131="JA",Taal03!B93,Taal03!B94),IF($H$131="JA",Taal03!B95,Taal03!B96)),"###",$H$125*IF(AND($G$130="B",$G$132="B"),1,2)),"$$$",LOWER(IF(AND($G$130="B",$G$132="B",$H$125=1),Taal03!$B$50,Taal03!$B$51))))</f>
        <v/>
      </c>
    </row>
    <row r="57" spans="1:21" ht="14.1" customHeight="1" x14ac:dyDescent="0.3">
      <c r="A57" s="483">
        <f t="shared" si="3"/>
        <v>87</v>
      </c>
      <c r="B57" s="464"/>
      <c r="C57" s="440"/>
      <c r="D57" s="450" t="str">
        <f t="shared" ca="1" si="0"/>
        <v/>
      </c>
      <c r="E57" s="1089" t="str">
        <f t="shared" ca="1" si="1"/>
        <v>BONUSPUNTEN</v>
      </c>
      <c r="F57" s="1089"/>
      <c r="G57" s="1089"/>
      <c r="H57" s="1089"/>
      <c r="I57" s="1089"/>
      <c r="J57" s="1089"/>
      <c r="K57" s="1089"/>
      <c r="L57" s="1089"/>
      <c r="M57" s="1089"/>
      <c r="N57" s="1090"/>
      <c r="O57" s="762"/>
      <c r="P57" s="763"/>
      <c r="R57" s="761">
        <f t="shared" ca="1" si="2"/>
        <v>500</v>
      </c>
      <c r="S57" s="761">
        <f>IF(U57="",999,405)</f>
        <v>999</v>
      </c>
      <c r="T57" s="761" t="str">
        <f>""</f>
        <v/>
      </c>
      <c r="U57" s="12" t="str">
        <f>IF(OR($Q$81=0,$G$133="NEE",$G$137="NEE",TYPE($H$126)&lt;&gt;1),"","  ●  "&amp;SUBSTITUTE(SUBSTITUTE(IF($G$130="A",IF($H$131="JA",Taal03!B97,Taal03!B98),IF(AND($G$130="B",$G$132="A"),IF($H$131="JA",Taal03!B99,Taal03!B100),IF($G$130="B",IF($H$131="JA",Taal03!B101,Taal03!B102),IF($H$131="JA",Taal03!B103,Taal03!B104)))),"###",$H$125*IF(AND($G$130="B",$G$132="B"),1,2)),"$$$",LOWER(IF(AND($G$130="B",$G$132="B",$H$125=1),Taal03!$B$50,Taal03!$B$51))))</f>
        <v/>
      </c>
    </row>
    <row r="58" spans="1:21" ht="14.1" customHeight="1" x14ac:dyDescent="0.3">
      <c r="A58" s="483">
        <f t="shared" si="3"/>
        <v>90</v>
      </c>
      <c r="B58" s="464"/>
      <c r="C58" s="440"/>
      <c r="D58" s="450">
        <f t="shared" ca="1" si="0"/>
        <v>2</v>
      </c>
      <c r="E58" s="1089" t="str">
        <f t="shared" ca="1" si="1"/>
        <v>Bonuspunten voor iedere groeps- en finalewedstrijden waarbij de TOTO en de uitslag juist zijn voorspeld</v>
      </c>
      <c r="F58" s="1089"/>
      <c r="G58" s="1089"/>
      <c r="H58" s="1089"/>
      <c r="I58" s="1089"/>
      <c r="J58" s="1089"/>
      <c r="K58" s="1089"/>
      <c r="L58" s="1089"/>
      <c r="M58" s="1089"/>
      <c r="N58" s="1090"/>
      <c r="O58" s="762"/>
      <c r="P58" s="763"/>
      <c r="R58" s="761">
        <f t="shared" ca="1" si="2"/>
        <v>501</v>
      </c>
      <c r="S58" s="761">
        <f>IF(U58="",999,406)</f>
        <v>999</v>
      </c>
      <c r="T58" s="761" t="str">
        <f>""</f>
        <v/>
      </c>
      <c r="U58" s="12" t="str">
        <f>IF(OR($Q$81=0,$G$133="NEE",TYPE($H$126)&lt;&gt;1),"","  ●  "&amp;IF(AND($G$130="B",$G$132="B"),Taal03!B106,Taal03!B105))</f>
        <v/>
      </c>
    </row>
    <row r="59" spans="1:21" ht="14.1" customHeight="1" x14ac:dyDescent="0.3">
      <c r="A59" s="483">
        <f t="shared" si="3"/>
        <v>93</v>
      </c>
      <c r="B59" s="464"/>
      <c r="C59" s="440"/>
      <c r="D59" s="450" t="str">
        <f t="shared" ca="1" si="0"/>
        <v/>
      </c>
      <c r="E59" s="1089" t="str">
        <f t="shared" ca="1" si="1"/>
        <v>(bij de finalewedstrijden dienen ook de beide landen juist voorspeld te zijn).</v>
      </c>
      <c r="F59" s="1089"/>
      <c r="G59" s="1089"/>
      <c r="H59" s="1089"/>
      <c r="I59" s="1089"/>
      <c r="J59" s="1089"/>
      <c r="K59" s="1089"/>
      <c r="L59" s="1089"/>
      <c r="M59" s="1089"/>
      <c r="N59" s="1090"/>
      <c r="O59" s="762"/>
      <c r="P59" s="763"/>
      <c r="R59" s="761">
        <f t="shared" ca="1" si="2"/>
        <v>502</v>
      </c>
      <c r="S59" s="761">
        <f ca="1">IF(U52="",999,900)</f>
        <v>900</v>
      </c>
      <c r="T59" s="761" t="str">
        <f>""</f>
        <v/>
      </c>
      <c r="U59" s="761" t="str">
        <f>""</f>
        <v/>
      </c>
    </row>
    <row r="60" spans="1:21" ht="14.1" customHeight="1" x14ac:dyDescent="0.3">
      <c r="A60" s="483">
        <f t="shared" si="3"/>
        <v>96</v>
      </c>
      <c r="B60" s="464"/>
      <c r="C60" s="440"/>
      <c r="D60" s="450">
        <f t="shared" ca="1" si="0"/>
        <v>4</v>
      </c>
      <c r="E60" s="1089" t="str">
        <f t="shared" ca="1" si="1"/>
        <v>Bonuspunten voor iedere finalewedstrijd waarbij beide landen op de juiste positie zijn voorspeld.</v>
      </c>
      <c r="F60" s="1089"/>
      <c r="G60" s="1089"/>
      <c r="H60" s="1089"/>
      <c r="I60" s="1089"/>
      <c r="J60" s="1089"/>
      <c r="K60" s="1089"/>
      <c r="L60" s="1089"/>
      <c r="M60" s="1089"/>
      <c r="N60" s="1090"/>
      <c r="O60" s="762"/>
      <c r="P60" s="763"/>
      <c r="R60" s="761">
        <f t="shared" ca="1" si="2"/>
        <v>503</v>
      </c>
      <c r="S60" s="760">
        <f ca="1">IF(U60="",999,500)</f>
        <v>500</v>
      </c>
      <c r="T60" s="761" t="str">
        <f>""</f>
        <v/>
      </c>
      <c r="U60" s="243" t="str">
        <f ca="1">IF(OR($Q$81=0,AND(TYPE($H$127)&lt;&gt;1,TYPE($H$128)&lt;&gt;1)),"",UPPER(Taal03!B109))</f>
        <v>BONUSPUNTEN</v>
      </c>
    </row>
    <row r="61" spans="1:21" ht="14.1" customHeight="1" x14ac:dyDescent="0.3">
      <c r="A61" s="483">
        <f t="shared" si="3"/>
        <v>99</v>
      </c>
      <c r="B61" s="464"/>
      <c r="C61" s="440"/>
      <c r="D61" s="450" t="str">
        <f t="shared" ca="1" si="0"/>
        <v/>
      </c>
      <c r="E61" s="1089" t="str">
        <f t="shared" ca="1" si="1"/>
        <v/>
      </c>
      <c r="F61" s="1089"/>
      <c r="G61" s="1089"/>
      <c r="H61" s="1089"/>
      <c r="I61" s="1089"/>
      <c r="J61" s="1089"/>
      <c r="K61" s="1089"/>
      <c r="L61" s="1089"/>
      <c r="M61" s="1089"/>
      <c r="N61" s="1090"/>
      <c r="O61" s="762"/>
      <c r="P61" s="763"/>
      <c r="R61" s="761">
        <f t="shared" ca="1" si="2"/>
        <v>900</v>
      </c>
      <c r="S61" s="761">
        <f ca="1">IF(U61="",999,501)</f>
        <v>501</v>
      </c>
      <c r="T61" s="761">
        <f>IF(OR($Q$81=0,TYPE($H$127)&lt;&gt;1),"",$H$127)</f>
        <v>2</v>
      </c>
      <c r="U61" s="12" t="str">
        <f ca="1">IF(OR($Q$81=0,TYPE($H$127)&lt;&gt;1),"",SUBSTITUTE(IF(OR($G$133&amp;$G$136="NEENEE",$G$133&amp;$G$136="NEEJA"),Taal03!B112,IF($G$133&amp;$G$136="JANEE",Taal03!B110,IF($G$133&amp;$G$136="JAJA",IF($G$130="A",Taal03!B116,Taal03!B118),""))),"$$$",LOWER(IF($H$127=1,Taal03!$B$50,Taal03!$B$51))))</f>
        <v>Bonuspunten voor iedere groeps- en finalewedstrijden waarbij de TOTO en de uitslag juist zijn voorspeld</v>
      </c>
    </row>
    <row r="62" spans="1:21" ht="14.1" customHeight="1" x14ac:dyDescent="0.3">
      <c r="A62" s="483">
        <f t="shared" si="3"/>
        <v>102</v>
      </c>
      <c r="B62" s="464"/>
      <c r="C62" s="440"/>
      <c r="D62" s="450" t="str">
        <f t="shared" ca="1" si="0"/>
        <v/>
      </c>
      <c r="E62" s="1089" t="str">
        <f t="shared" ca="1" si="1"/>
        <v/>
      </c>
      <c r="F62" s="1089"/>
      <c r="G62" s="1089"/>
      <c r="H62" s="1089"/>
      <c r="I62" s="1089"/>
      <c r="J62" s="1089"/>
      <c r="K62" s="1089"/>
      <c r="L62" s="1089"/>
      <c r="M62" s="1089"/>
      <c r="N62" s="1090"/>
      <c r="O62" s="762"/>
      <c r="P62" s="763"/>
      <c r="R62" s="761">
        <f t="shared" ca="1" si="2"/>
        <v>900</v>
      </c>
      <c r="S62" s="761">
        <f ca="1">IF(U62="",999,502)</f>
        <v>502</v>
      </c>
      <c r="T62" s="761" t="str">
        <f>""</f>
        <v/>
      </c>
      <c r="U62" s="12" t="str">
        <f ca="1">IF(OR($Q$81=0,TYPE($H$127)&lt;&gt;1),"",SUBSTITUTE(IF(OR($G$133&amp;$G$136="NEENEE",$G$133&amp;$G$136="NEEJA"),Taal03!B113,IF($G$133&amp;$G$136="JANEE",Taal03!B111,IF($G$133&amp;$G$136="JAJA",IF($G$130="A",Taal03!B117,Taal03!B119),""))),"$$$",LOWER(IF($H$127=1,Taal03!$B$50,Taal03!$B$51))))</f>
        <v>(bij de finalewedstrijden dienen ook de beide landen juist voorspeld te zijn).</v>
      </c>
    </row>
    <row r="63" spans="1:21" ht="14.1" customHeight="1" x14ac:dyDescent="0.3">
      <c r="A63" s="483">
        <f t="shared" si="3"/>
        <v>105</v>
      </c>
      <c r="B63" s="464"/>
      <c r="C63" s="440"/>
      <c r="D63" s="450" t="str">
        <f t="shared" ca="1" si="0"/>
        <v/>
      </c>
      <c r="E63" s="1089" t="str">
        <f t="shared" ca="1" si="1"/>
        <v/>
      </c>
      <c r="F63" s="1089"/>
      <c r="G63" s="1089"/>
      <c r="H63" s="1089"/>
      <c r="I63" s="1089"/>
      <c r="J63" s="1089"/>
      <c r="K63" s="1089"/>
      <c r="L63" s="1089"/>
      <c r="M63" s="1089"/>
      <c r="N63" s="1090"/>
      <c r="O63" s="762"/>
      <c r="P63" s="763"/>
      <c r="R63" s="761">
        <f t="shared" ca="1" si="2"/>
        <v>900</v>
      </c>
      <c r="S63" s="761">
        <f ca="1">IF(U63="",999,503)</f>
        <v>503</v>
      </c>
      <c r="T63" s="761">
        <f>IF(OR($Q$81=0,TYPE($H$128)&lt;&gt;1),"",$H$128)</f>
        <v>4</v>
      </c>
      <c r="U63" s="12" t="str">
        <f ca="1">IF(OR($Q$81=0,TYPE($H$128)&lt;&gt;1),"",IF($G$133&amp;$G$136="NEENEE","",SUBSTITUTE(IF($G$133&amp;$G$136="NEEJA",Taal03!B114,IF(OR($G$133&amp;$G$136="JANEE",$G$133&amp;$G$136="JAJA"),Taal03!B112,"")),"$$$",LOWER(IF($H$128=1,Taal03!$B$50,Taal03!$B$51)))))</f>
        <v>Bonuspunten voor iedere finalewedstrijd waarbij beide landen op de juiste positie zijn voorspeld.</v>
      </c>
    </row>
    <row r="64" spans="1:21" ht="14.1" customHeight="1" x14ac:dyDescent="0.3">
      <c r="A64" s="483">
        <f t="shared" si="3"/>
        <v>108</v>
      </c>
      <c r="B64" s="464"/>
      <c r="C64" s="440"/>
      <c r="D64" s="450" t="str">
        <f t="shared" ca="1" si="0"/>
        <v/>
      </c>
      <c r="E64" s="1089" t="str">
        <f t="shared" ca="1" si="1"/>
        <v/>
      </c>
      <c r="F64" s="1089"/>
      <c r="G64" s="1089"/>
      <c r="H64" s="1089"/>
      <c r="I64" s="1089"/>
      <c r="J64" s="1089"/>
      <c r="K64" s="1089"/>
      <c r="L64" s="1089"/>
      <c r="M64" s="1089"/>
      <c r="N64" s="1090"/>
      <c r="O64" s="762"/>
      <c r="P64" s="763"/>
      <c r="R64" s="761">
        <f t="shared" ca="1" si="2"/>
        <v>900</v>
      </c>
      <c r="S64" s="761">
        <f ca="1">IF(U64="",999,504)</f>
        <v>999</v>
      </c>
      <c r="T64" s="761" t="str">
        <f>""</f>
        <v/>
      </c>
      <c r="U64" s="12" t="str">
        <f ca="1">IF(OR($Q$81=0,TYPE($H$128)&lt;&gt;1),"",IF($G$133&amp;$G$136="NEENEE","",SUBSTITUTE(IF($G$133&amp;$G$136="NEEJA",Taal03!B115,IF(OR($G$133&amp;$G$136="JANEE",$G$133&amp;$G$136="JAJA"),Taal03!B113,"")),"$$$",LOWER(IF($H$128=1,Taal03!$B$50,Taal03!$B$51)))))</f>
        <v/>
      </c>
    </row>
    <row r="65" spans="1:21" ht="14.1" customHeight="1" x14ac:dyDescent="0.3">
      <c r="A65" s="483">
        <f t="shared" si="3"/>
        <v>111</v>
      </c>
      <c r="B65" s="464"/>
      <c r="C65" s="440"/>
      <c r="D65" s="450" t="str">
        <f t="shared" ca="1" si="0"/>
        <v/>
      </c>
      <c r="E65" s="1089" t="str">
        <f t="shared" ca="1" si="1"/>
        <v/>
      </c>
      <c r="F65" s="1089"/>
      <c r="G65" s="1089"/>
      <c r="H65" s="1089"/>
      <c r="I65" s="1089"/>
      <c r="J65" s="1089"/>
      <c r="K65" s="1089"/>
      <c r="L65" s="1089"/>
      <c r="M65" s="1089"/>
      <c r="N65" s="1090"/>
      <c r="O65" s="762"/>
      <c r="P65" s="763"/>
      <c r="R65" s="761">
        <f t="shared" ca="1" si="2"/>
        <v>900</v>
      </c>
      <c r="S65" s="761">
        <f ca="1">IF(U60="",999,900)</f>
        <v>900</v>
      </c>
      <c r="T65" s="761" t="str">
        <f>""</f>
        <v/>
      </c>
      <c r="U65" s="761" t="str">
        <f>""</f>
        <v/>
      </c>
    </row>
    <row r="66" spans="1:21" ht="14.1" customHeight="1" x14ac:dyDescent="0.3">
      <c r="A66" s="483">
        <f t="shared" si="3"/>
        <v>114</v>
      </c>
      <c r="B66" s="464"/>
      <c r="C66" s="440"/>
      <c r="D66" s="450" t="str">
        <f t="shared" ca="1" si="0"/>
        <v/>
      </c>
      <c r="E66" s="1089" t="str">
        <f t="shared" ca="1" si="1"/>
        <v/>
      </c>
      <c r="F66" s="1089"/>
      <c r="G66" s="1089"/>
      <c r="H66" s="1089"/>
      <c r="I66" s="1089"/>
      <c r="J66" s="1089"/>
      <c r="K66" s="1089"/>
      <c r="L66" s="1089"/>
      <c r="M66" s="1089"/>
      <c r="N66" s="1090"/>
      <c r="O66" s="762"/>
      <c r="P66" s="763"/>
      <c r="R66" s="761">
        <f t="shared" ca="1" si="2"/>
        <v>900</v>
      </c>
      <c r="S66" s="760">
        <f>IF(U66="",999,600)</f>
        <v>999</v>
      </c>
      <c r="T66" s="761" t="str">
        <f>""</f>
        <v/>
      </c>
      <c r="U66" s="243" t="str">
        <f>IF(OR($Q$81=0,$G$138="NEE"),"",UPPER(Taal03!B122))</f>
        <v/>
      </c>
    </row>
    <row r="67" spans="1:21" ht="14.1" customHeight="1" x14ac:dyDescent="0.3">
      <c r="A67" s="483">
        <f t="shared" si="3"/>
        <v>117</v>
      </c>
      <c r="B67" s="464"/>
      <c r="C67" s="440"/>
      <c r="D67" s="450" t="str">
        <f t="shared" ca="1" si="0"/>
        <v/>
      </c>
      <c r="E67" s="1089" t="str">
        <f t="shared" ca="1" si="1"/>
        <v/>
      </c>
      <c r="F67" s="1089"/>
      <c r="G67" s="1089"/>
      <c r="H67" s="1089"/>
      <c r="I67" s="1089"/>
      <c r="J67" s="1089"/>
      <c r="K67" s="1089"/>
      <c r="L67" s="1089"/>
      <c r="M67" s="1089"/>
      <c r="N67" s="1090"/>
      <c r="O67" s="762"/>
      <c r="P67" s="763"/>
      <c r="R67" s="761">
        <f t="shared" ca="1" si="2"/>
        <v>900</v>
      </c>
      <c r="S67" s="22">
        <f>IF(U67="",999,601)</f>
        <v>999</v>
      </c>
      <c r="T67" s="761" t="str">
        <f>IF(OR($Q$81=0,G172="NEE"),"","-")</f>
        <v>-</v>
      </c>
      <c r="U67" s="141" t="str">
        <f>IF(OR($Q$81=0,$G$138="NEE"),"",IF($R$71=RIGHT($S$71,2),Taal03!B123,Taal03!B124))</f>
        <v/>
      </c>
    </row>
    <row r="68" spans="1:21" ht="14.1" customHeight="1" x14ac:dyDescent="0.3">
      <c r="A68" s="483">
        <f t="shared" si="3"/>
        <v>120</v>
      </c>
      <c r="B68" s="464"/>
      <c r="C68" s="440"/>
      <c r="D68" s="450" t="str">
        <f t="shared" ca="1" si="0"/>
        <v/>
      </c>
      <c r="E68" s="1089" t="str">
        <f t="shared" ca="1" si="1"/>
        <v/>
      </c>
      <c r="F68" s="1089"/>
      <c r="G68" s="1089"/>
      <c r="H68" s="1089"/>
      <c r="I68" s="1089"/>
      <c r="J68" s="1089"/>
      <c r="K68" s="1089"/>
      <c r="L68" s="1089"/>
      <c r="M68" s="1089"/>
      <c r="N68" s="1090"/>
      <c r="O68" s="762"/>
      <c r="P68" s="763"/>
      <c r="R68" s="761">
        <f t="shared" ca="1" si="2"/>
        <v>900</v>
      </c>
      <c r="S68" s="22">
        <f>IF(U68="",999,602)</f>
        <v>999</v>
      </c>
      <c r="T68" s="761" t="str">
        <f>IF(OR($Q$81=0,G172="NEE"),"","-")</f>
        <v>-</v>
      </c>
      <c r="U68" s="12" t="str">
        <f>IF(OR($Q$81=0,$G$138="NEE"),"",Taal03!B125)</f>
        <v/>
      </c>
    </row>
    <row r="69" spans="1:21" ht="14.1" customHeight="1" x14ac:dyDescent="0.3">
      <c r="B69" s="464"/>
      <c r="C69" s="445"/>
      <c r="D69" s="1138" t="str">
        <f ca="1">Taal03!B127</f>
        <v/>
      </c>
      <c r="E69" s="1138"/>
      <c r="F69" s="1138"/>
      <c r="G69" s="1138"/>
      <c r="H69" s="1138"/>
      <c r="I69" s="1138"/>
      <c r="J69" s="1138"/>
      <c r="K69" s="1138"/>
      <c r="L69" s="1138"/>
      <c r="M69" s="1138"/>
      <c r="N69" s="446"/>
      <c r="O69" s="1087"/>
      <c r="P69" s="1088"/>
      <c r="R69" s="761"/>
      <c r="S69" s="761"/>
      <c r="T69" s="761"/>
      <c r="U69" s="12"/>
    </row>
    <row r="70" spans="1:21" ht="15" customHeight="1" x14ac:dyDescent="0.3">
      <c r="B70" s="464"/>
      <c r="C70" s="464"/>
      <c r="D70" s="464"/>
      <c r="E70" s="464"/>
      <c r="F70" s="464"/>
      <c r="G70" s="464"/>
      <c r="H70" s="464"/>
      <c r="I70" s="464"/>
      <c r="J70" s="464"/>
      <c r="K70" s="464"/>
      <c r="L70" s="464"/>
      <c r="M70" s="464"/>
      <c r="N70" s="464"/>
      <c r="O70" s="1088"/>
      <c r="P70" s="1088"/>
      <c r="R70" s="244"/>
      <c r="S70" s="241"/>
      <c r="T70" s="298"/>
      <c r="U70" s="298"/>
    </row>
    <row r="71" spans="1:21" ht="15" customHeight="1" x14ac:dyDescent="0.3">
      <c r="B71" s="464"/>
      <c r="C71" s="1025"/>
      <c r="D71" s="1023" t="s">
        <v>87</v>
      </c>
      <c r="E71" s="1026"/>
      <c r="F71" s="1026"/>
      <c r="G71" s="1026"/>
      <c r="H71" s="1026"/>
      <c r="I71" s="1026"/>
      <c r="J71" s="1026"/>
      <c r="K71" s="1026"/>
      <c r="L71" s="1026"/>
      <c r="M71" s="1024" t="str">
        <f>S71</f>
        <v>©2021 Eric de Jong v20.00dj</v>
      </c>
      <c r="N71" s="1027"/>
      <c r="O71" s="1087"/>
      <c r="P71" s="1088"/>
      <c r="R71" s="244" t="str">
        <f>IF(OR(RIGHT(S71,1)= "a",RIGHT(S71,1)= "b",RIGHT(S71,1)= "c"),"#",LEFT(RIGHT(S71,2),1)&amp;CHAR(CODE(RIGHT(S71,1))-IF(ISEVEN(CODE(RIGHT(S71,1))),0,1)))</f>
        <v>dj</v>
      </c>
      <c r="S71" s="1137" t="s">
        <v>1440</v>
      </c>
      <c r="T71" s="1137"/>
      <c r="U71" s="1137"/>
    </row>
    <row r="72" spans="1:21" ht="15" customHeight="1" x14ac:dyDescent="0.3">
      <c r="B72" s="464"/>
      <c r="C72" s="464"/>
      <c r="D72" s="464"/>
      <c r="E72" s="464"/>
      <c r="F72" s="464"/>
      <c r="G72" s="464"/>
      <c r="H72" s="464"/>
      <c r="I72" s="464"/>
      <c r="J72" s="464"/>
      <c r="K72" s="464"/>
      <c r="L72" s="464"/>
      <c r="M72" s="464"/>
      <c r="N72" s="464"/>
      <c r="O72" s="1088"/>
      <c r="P72" s="1088"/>
      <c r="R72" s="244"/>
      <c r="S72" s="241"/>
      <c r="T72" s="298"/>
      <c r="U72" s="298"/>
    </row>
    <row r="73" spans="1:21" ht="15" customHeight="1" x14ac:dyDescent="0.3"/>
    <row r="74" spans="1:21" ht="15" customHeight="1" x14ac:dyDescent="0.3"/>
    <row r="75" spans="1:21" ht="15" customHeight="1" x14ac:dyDescent="0.3"/>
    <row r="76" spans="1:21" ht="15" customHeight="1" x14ac:dyDescent="0.3"/>
    <row r="77" spans="1:21" ht="15" customHeight="1" x14ac:dyDescent="0.3"/>
    <row r="78" spans="1:21" ht="15" customHeight="1" x14ac:dyDescent="0.3"/>
    <row r="79" spans="1:21" ht="15" customHeight="1" x14ac:dyDescent="0.3"/>
    <row r="80" spans="1:21" ht="15" customHeight="1" x14ac:dyDescent="0.3"/>
    <row r="81" spans="2:21" ht="26.25" hidden="1" customHeight="1" x14ac:dyDescent="0.5">
      <c r="B81" s="100"/>
      <c r="C81" s="122" t="s">
        <v>31</v>
      </c>
      <c r="D81" s="105"/>
      <c r="E81" s="105"/>
      <c r="F81" s="105"/>
      <c r="G81" s="105"/>
      <c r="H81" s="105"/>
      <c r="I81" s="105"/>
      <c r="J81" s="105"/>
      <c r="K81" s="105"/>
      <c r="L81" s="105"/>
      <c r="M81" s="123" t="s">
        <v>46</v>
      </c>
      <c r="N81" s="1118">
        <f>IF(Q81=1,IF(OR(RIGHT(LEFT(F82,3),1)="d",RIGHT(LEFT(F82,3),1)="h"),1,0),0)</f>
        <v>0</v>
      </c>
      <c r="O81" s="1119"/>
      <c r="P81" s="1120" t="s">
        <v>92</v>
      </c>
      <c r="Q81" s="160">
        <f>IF(AND(Q82*Q83*Q84=1,Q85=Q86),1,0)</f>
        <v>1</v>
      </c>
      <c r="R81" s="159" t="s">
        <v>166</v>
      </c>
      <c r="S81" s="290"/>
      <c r="T81" s="159"/>
      <c r="U81" s="154"/>
    </row>
    <row r="82" spans="2:21" ht="15" hidden="1" customHeight="1" x14ac:dyDescent="0.3">
      <c r="B82" s="95"/>
      <c r="C82" s="1097" t="s">
        <v>32</v>
      </c>
      <c r="D82" s="1097"/>
      <c r="E82" s="1098"/>
      <c r="F82" s="1099" t="str">
        <f>IF(Q81=1,IF(S87="JA",LEFT(P3,LEN(SUBSTITUTE(SUBSTITUTE(P3,CHAR(10),""),CHAR(32),""))-U89),SUBSTITUTE(SUBSTITUTE(P3,CHAR(10),""),CHAR(32),"")),"")</f>
        <v>|dj|F321514|31#521|SV*#Marum*#jeugd*#JO7*#t/m*#JO11|Marleen*#Dekker|jac@svmarum.nl||15|#8|#0|#6|#4|#2|#4|#2|#2|##|#2|#4|BBJA|</v>
      </c>
      <c r="G82" s="1100"/>
      <c r="H82" s="1100"/>
      <c r="I82" s="1100"/>
      <c r="J82" s="1100"/>
      <c r="K82" s="1100"/>
      <c r="L82" s="1100"/>
      <c r="M82" s="1100"/>
      <c r="N82" s="1095">
        <f>IF(Q81=1,LEN(F82),"")</f>
        <v>125</v>
      </c>
      <c r="O82" s="1096"/>
      <c r="P82" s="1121"/>
      <c r="Q82" s="110">
        <f>IF(AND(CODE(RIGHT(M71,1))&gt;98,CODE(RIGHT(M71,1))&lt;115),IF(ISBLANK(P3),0,1),Q83)</f>
        <v>1</v>
      </c>
      <c r="R82" s="155" t="s">
        <v>145</v>
      </c>
      <c r="S82" s="291"/>
      <c r="T82" s="155"/>
      <c r="U82" s="156"/>
    </row>
    <row r="83" spans="2:21" hidden="1" x14ac:dyDescent="0.3">
      <c r="B83" s="95"/>
      <c r="C83" s="1097" t="s">
        <v>144</v>
      </c>
      <c r="D83" s="1097"/>
      <c r="E83" s="1098"/>
      <c r="F83" s="1106" t="str">
        <f>IF(Q81=1,LEFT(F82,N83),"")</f>
        <v>|dj|F321514|31#521|SV*#Marum*#jeugd*#JO7*#t/m*#JO11|Marleen*#Dekker|jac@svmarum.nl|</v>
      </c>
      <c r="G83" s="1106"/>
      <c r="H83" s="1106"/>
      <c r="I83" s="1106"/>
      <c r="J83" s="1106"/>
      <c r="K83" s="1106"/>
      <c r="L83" s="1106"/>
      <c r="M83" s="1106"/>
      <c r="N83" s="1095">
        <f>IF(Q81=1,RIGHT(LEFT(F82,7),2)+RIGHT(LEFT(F82,9),2)+RIGHT(LEFT(F82,11),2)+22,"")</f>
        <v>83</v>
      </c>
      <c r="O83" s="1096"/>
      <c r="P83" s="1121"/>
      <c r="Q83" s="110">
        <f>IF(OR(ISBLANK(P3),P3=""),0,IF(CODE(LEFT(SUBSTITUTE(SUBSTITUTE(P3,CHAR(10),""),CHAR(32),""),1))=124,1,0))</f>
        <v>1</v>
      </c>
      <c r="R83" s="155" t="s">
        <v>146</v>
      </c>
      <c r="S83" s="291"/>
      <c r="T83" s="155"/>
      <c r="U83" s="156"/>
    </row>
    <row r="84" spans="2:21" hidden="1" x14ac:dyDescent="0.3">
      <c r="B84" s="95"/>
      <c r="C84" s="1097" t="s">
        <v>104</v>
      </c>
      <c r="D84" s="1097"/>
      <c r="E84" s="1098"/>
      <c r="F84" s="1106" t="str">
        <f>IF(Q81=1,IF(N81&lt;1,"Geen Inleg Systeem",RIGHT(LEFT(F82,N83+N84),N84)),"")</f>
        <v>Geen Inleg Systeem</v>
      </c>
      <c r="G84" s="1106"/>
      <c r="H84" s="1106"/>
      <c r="I84" s="1106"/>
      <c r="J84" s="1106"/>
      <c r="K84" s="1106"/>
      <c r="L84" s="1106"/>
      <c r="M84" s="1106"/>
      <c r="N84" s="1095">
        <f>IF(Q81=1,IF(N81&lt;1,0,N82-N83-N85),"")</f>
        <v>0</v>
      </c>
      <c r="O84" s="1096"/>
      <c r="P84" s="1121"/>
      <c r="Q84" s="110">
        <f>IF(OR(ISBLANK(P3),P3=""),0,IF(OR(CODE(RIGHT(SUBSTITUTE(SUBSTITUTE(P3,CHAR(10),""),CHAR(32),""),1))=124,CODE(RIGHT(SUBSTITUTE(SUBSTITUTE(P3,CHAR(10),""),CHAR(32),""),1))=125),1,0))</f>
        <v>1</v>
      </c>
      <c r="R84" s="155" t="s">
        <v>147</v>
      </c>
      <c r="S84" s="291"/>
      <c r="T84" s="155"/>
      <c r="U84" s="156"/>
    </row>
    <row r="85" spans="2:21" hidden="1" x14ac:dyDescent="0.3">
      <c r="B85" s="95"/>
      <c r="C85" s="1097" t="s">
        <v>103</v>
      </c>
      <c r="D85" s="1097"/>
      <c r="E85" s="1098"/>
      <c r="F85" s="1099" t="str">
        <f>IF(Q81=1,RIGHT(F82,N85),"")</f>
        <v>|15|#8|#0|#6|#4|#2|#4|#2|#2|##|#2|#4|BBJA|</v>
      </c>
      <c r="G85" s="1100"/>
      <c r="H85" s="1100"/>
      <c r="I85" s="1101"/>
      <c r="J85" s="1101"/>
      <c r="K85" s="1101"/>
      <c r="L85" s="1101"/>
      <c r="M85" s="1102"/>
      <c r="N85" s="1095">
        <f>IF(Q81=1,42,"")</f>
        <v>42</v>
      </c>
      <c r="O85" s="1096"/>
      <c r="P85" s="1121"/>
      <c r="Q85" s="110" t="str">
        <f>IF(Q86="#","#",IF(Q82*Q83*Q84=1,RIGHT(LEFT(P3,3),2),"-"))</f>
        <v>dj</v>
      </c>
      <c r="R85" s="155" t="s">
        <v>148</v>
      </c>
      <c r="S85" s="291"/>
      <c r="T85" s="155"/>
      <c r="U85" s="156"/>
    </row>
    <row r="86" spans="2:21" hidden="1" x14ac:dyDescent="0.3">
      <c r="B86" s="95"/>
      <c r="C86" s="765"/>
      <c r="D86" s="765"/>
      <c r="E86" s="765"/>
      <c r="F86" s="152"/>
      <c r="G86" s="153"/>
      <c r="H86" s="153"/>
      <c r="I86" s="152"/>
      <c r="J86" s="152"/>
      <c r="K86" s="152"/>
      <c r="L86" s="152"/>
      <c r="M86" s="152"/>
      <c r="N86" s="758"/>
      <c r="O86" s="759"/>
      <c r="P86" s="1121"/>
      <c r="Q86" s="132" t="str">
        <f>R71</f>
        <v>dj</v>
      </c>
      <c r="R86" s="157" t="s">
        <v>149</v>
      </c>
      <c r="S86" s="292"/>
      <c r="T86" s="157"/>
      <c r="U86" s="158"/>
    </row>
    <row r="87" spans="2:21" ht="15" hidden="1" customHeight="1" x14ac:dyDescent="0.3">
      <c r="B87" s="100"/>
      <c r="C87" s="43" t="s">
        <v>151</v>
      </c>
      <c r="D87" s="105"/>
      <c r="E87" s="105"/>
      <c r="F87" s="105"/>
      <c r="G87" s="1112" t="str">
        <f>RIGHT(LEFT(F83,N87),2)</f>
        <v>dj</v>
      </c>
      <c r="H87" s="1113"/>
      <c r="I87" s="105" t="s">
        <v>152</v>
      </c>
      <c r="J87" s="105"/>
      <c r="K87" s="105"/>
      <c r="L87" s="105"/>
      <c r="M87" s="105"/>
      <c r="N87" s="1123">
        <v>3</v>
      </c>
      <c r="O87" s="1124"/>
      <c r="P87" s="1121"/>
      <c r="Q87" s="1116" t="s">
        <v>100</v>
      </c>
      <c r="R87" s="1117"/>
      <c r="S87" s="1131" t="str">
        <f>IF(Q81=1,IF(CODE(RIGHT(SUBSTITUTE(SUBSTITUTE(P3,CHAR(10),""),CHAR(32),""),1))=125,"JA","NEE"),"")</f>
        <v>NEE</v>
      </c>
      <c r="T87" s="1132"/>
      <c r="U87" s="1133"/>
    </row>
    <row r="88" spans="2:21" hidden="1" x14ac:dyDescent="0.3">
      <c r="B88" s="95"/>
      <c r="C88" s="103"/>
      <c r="D88" s="103"/>
      <c r="E88" s="103"/>
      <c r="F88" s="103"/>
      <c r="G88" s="1103" t="str">
        <f>RIGHT(LEFT(F83,N88),1)</f>
        <v>F</v>
      </c>
      <c r="H88" s="53" t="str">
        <f>IF(F82="","",IF(OR(G88="E",G88="F",G88="G",G88="H"),"JA","NEE"))</f>
        <v>JA</v>
      </c>
      <c r="I88" s="103" t="s">
        <v>461</v>
      </c>
      <c r="J88" s="103"/>
      <c r="K88" s="103"/>
      <c r="L88" s="103"/>
      <c r="M88" s="103"/>
      <c r="N88" s="1114">
        <v>5</v>
      </c>
      <c r="O88" s="1096"/>
      <c r="P88" s="1121"/>
      <c r="Q88" s="1093" t="s">
        <v>82</v>
      </c>
      <c r="R88" s="1094"/>
      <c r="S88" s="1134" t="str">
        <f>IF(Q81=1,IF(S87="JA",RIGHT(SUBSTITUTE(SUBSTITUTE(P3,CHAR(10),""),CHAR(32),""),U89),"Geen Bonusvragen"),"")</f>
        <v>Geen Bonusvragen</v>
      </c>
      <c r="T88" s="1135"/>
      <c r="U88" s="1136"/>
    </row>
    <row r="89" spans="2:21" hidden="1" x14ac:dyDescent="0.3">
      <c r="B89" s="95"/>
      <c r="C89" s="1091" t="str">
        <f>IF($Q$81=1,IF(RIGHT(LEFT($F$83,4),1)="¦","JA","NEE"),"")</f>
        <v>NEE</v>
      </c>
      <c r="D89" s="1092"/>
      <c r="E89" s="706" t="s">
        <v>802</v>
      </c>
      <c r="F89" s="103"/>
      <c r="G89" s="1104"/>
      <c r="H89" s="138" t="str">
        <f>IF(F82="","",IF(OR(G88="C",G88="D",G88="G",G88="H"),"JA","NEE"))</f>
        <v>NEE</v>
      </c>
      <c r="I89" s="103" t="s">
        <v>33</v>
      </c>
      <c r="J89" s="103"/>
      <c r="K89" s="103"/>
      <c r="L89" s="103"/>
      <c r="M89" s="103"/>
      <c r="N89" s="758"/>
      <c r="O89" s="759"/>
      <c r="P89" s="1121"/>
      <c r="Q89" s="766"/>
      <c r="R89" s="523"/>
      <c r="S89" s="293"/>
      <c r="T89" s="293"/>
      <c r="U89" s="142">
        <v>21</v>
      </c>
    </row>
    <row r="90" spans="2:21" hidden="1" x14ac:dyDescent="0.3">
      <c r="B90" s="95"/>
      <c r="C90" s="81"/>
      <c r="D90" s="103"/>
      <c r="E90" s="706" t="s">
        <v>804</v>
      </c>
      <c r="F90" s="103"/>
      <c r="G90" s="1105"/>
      <c r="H90" s="53">
        <f>IF(F82="","",IF(OR(G88="A",G88="C",G88="E",G88="G"),1,2))</f>
        <v>2</v>
      </c>
      <c r="I90" s="103" t="s">
        <v>456</v>
      </c>
      <c r="J90" s="103"/>
      <c r="K90" s="103"/>
      <c r="L90" s="103"/>
      <c r="M90" s="103"/>
      <c r="N90" s="758"/>
      <c r="O90" s="759"/>
      <c r="P90" s="1121"/>
      <c r="Q90" s="766"/>
      <c r="R90" s="523"/>
      <c r="S90" s="293"/>
      <c r="T90" s="293"/>
      <c r="U90" s="294"/>
    </row>
    <row r="91" spans="2:21" hidden="1" x14ac:dyDescent="0.3">
      <c r="B91" s="95"/>
      <c r="C91" s="103"/>
      <c r="D91" s="103"/>
      <c r="E91" s="706" t="s">
        <v>803</v>
      </c>
      <c r="F91" s="103"/>
      <c r="G91" s="138" t="str">
        <f>RIGHT(G87,1)</f>
        <v>j</v>
      </c>
      <c r="H91" s="53" t="str">
        <f>IF(F82="","",IF(OR(G91="d",G91="h"),"JA","NEE"))</f>
        <v>NEE</v>
      </c>
      <c r="I91" s="103" t="s">
        <v>74</v>
      </c>
      <c r="J91" s="103"/>
      <c r="K91" s="103"/>
      <c r="L91" s="103"/>
      <c r="M91" s="103"/>
      <c r="N91" s="1114">
        <v>10</v>
      </c>
      <c r="O91" s="1096"/>
      <c r="P91" s="1121"/>
      <c r="Q91" s="138" t="str">
        <f>IF(AND(Q81=1,S87="JA"),RIGHT(LEFT($S$88,11),2),"")</f>
        <v/>
      </c>
      <c r="R91" s="138" t="str">
        <f>IF(Q91="","",IF(CODE(Q91)=35,RIGHT(Q91,1),Q91)*1)</f>
        <v/>
      </c>
      <c r="S91" s="107" t="s">
        <v>83</v>
      </c>
      <c r="T91" s="293"/>
      <c r="U91" s="294"/>
    </row>
    <row r="92" spans="2:21" hidden="1" x14ac:dyDescent="0.3">
      <c r="B92" s="95"/>
      <c r="C92" s="103"/>
      <c r="D92" s="103"/>
      <c r="E92" s="103"/>
      <c r="F92" s="94"/>
      <c r="G92" s="138" t="str">
        <f>IF(F82="",0,RIGHT(LEFT(F83,N92),6))</f>
        <v>31#521</v>
      </c>
      <c r="H92" s="138">
        <f>SUBSTITUTE(LEFT(G92,2),"#","")*1</f>
        <v>31</v>
      </c>
      <c r="I92" s="138" t="str">
        <f ca="1">IF(F82="",0,VLOOKUP(SUBSTITUTE(LEFT(RIGHT(G92,4),2),"#","")*1,Q105:R116,2))</f>
        <v>mei</v>
      </c>
      <c r="J92" s="138">
        <f>SUBSTITUTE(RIGHT(G92,2),"#","")*1</f>
        <v>21</v>
      </c>
      <c r="K92" s="103" t="s">
        <v>75</v>
      </c>
      <c r="L92" s="103"/>
      <c r="M92" s="103"/>
      <c r="N92" s="1114">
        <v>18</v>
      </c>
      <c r="O92" s="1096"/>
      <c r="P92" s="1121"/>
      <c r="Q92" s="138" t="str">
        <f>IF(AND(Q81=1,S87="JA"),RIGHT(LEFT($S$88,2),1),"")</f>
        <v/>
      </c>
      <c r="R92" s="138" t="str">
        <f>IF(Q92="","",CODE(Q92)-IF(CODE(Q92)-64&gt;26,64+6,64))</f>
        <v/>
      </c>
      <c r="S92" s="107" t="s">
        <v>423</v>
      </c>
      <c r="T92" s="293"/>
      <c r="U92" s="294"/>
    </row>
    <row r="93" spans="2:21" hidden="1" x14ac:dyDescent="0.3">
      <c r="B93" s="95"/>
      <c r="C93" s="103"/>
      <c r="D93" s="103"/>
      <c r="E93" s="103"/>
      <c r="F93" s="94"/>
      <c r="G93" s="82" t="str">
        <f>IF(F82="",0,RIGHT(LEFT(F83,7),2))</f>
        <v>32</v>
      </c>
      <c r="H93" s="146" t="str">
        <f>RIGHT(LEFT($F$83,G93+N93),G93)</f>
        <v>SV*#Marum*#jeugd*#JO7*#t/m*#JO11</v>
      </c>
      <c r="I93" s="105" t="s">
        <v>154</v>
      </c>
      <c r="J93" s="105"/>
      <c r="K93" s="103"/>
      <c r="L93" s="103"/>
      <c r="M93" s="103"/>
      <c r="N93" s="1114">
        <v>19</v>
      </c>
      <c r="O93" s="1096"/>
      <c r="P93" s="1121"/>
      <c r="Q93" s="138" t="str">
        <f>IF(AND(Q81=1,S87="JA"),RIGHT(LEFT($S$88,14),2),"")</f>
        <v/>
      </c>
      <c r="R93" s="138" t="str">
        <f>IF(Q93="","",IF(CODE(Q93)=35,RIGHT(Q93,1),Q93)*1)</f>
        <v/>
      </c>
      <c r="S93" s="107" t="s">
        <v>84</v>
      </c>
      <c r="T93" s="293"/>
      <c r="U93" s="294"/>
    </row>
    <row r="94" spans="2:21" hidden="1" x14ac:dyDescent="0.3">
      <c r="B94" s="95"/>
      <c r="C94" s="103"/>
      <c r="D94" s="103"/>
      <c r="E94" s="103"/>
      <c r="F94" s="103"/>
      <c r="G94" s="82" t="str">
        <f>IF(F82="",0,RIGHT(LEFT(F83,9),2))</f>
        <v>15</v>
      </c>
      <c r="H94" s="146" t="str">
        <f>RIGHT(LEFT($F$83,G94+N94),G94)</f>
        <v>Marleen*#Dekker</v>
      </c>
      <c r="I94" s="103" t="s">
        <v>155</v>
      </c>
      <c r="J94" s="103"/>
      <c r="K94" s="103"/>
      <c r="L94" s="103"/>
      <c r="M94" s="103"/>
      <c r="N94" s="1114">
        <f>G93+N93+1</f>
        <v>52</v>
      </c>
      <c r="O94" s="1096"/>
      <c r="P94" s="1121"/>
      <c r="Q94" s="138" t="str">
        <f>IF(AND(Q81=1,S87="JA"),RIGHT(LEFT($S$88,3),1),"")</f>
        <v/>
      </c>
      <c r="R94" s="138" t="str">
        <f>IF(Q94="","",CODE(Q94)-64)</f>
        <v/>
      </c>
      <c r="S94" s="293" t="s">
        <v>424</v>
      </c>
      <c r="T94" s="293"/>
      <c r="U94" s="294"/>
    </row>
    <row r="95" spans="2:21" hidden="1" x14ac:dyDescent="0.3">
      <c r="B95" s="101"/>
      <c r="C95" s="104"/>
      <c r="D95" s="104"/>
      <c r="E95" s="104"/>
      <c r="F95" s="104"/>
      <c r="G95" s="82" t="str">
        <f>IF(F82="",0,RIGHT(LEFT(F83,11),2))</f>
        <v>14</v>
      </c>
      <c r="H95" s="146" t="str">
        <f>RIGHT(LEFT($F$83,G95+N95),G95)</f>
        <v>jac@svmarum.nl</v>
      </c>
      <c r="I95" s="104" t="s">
        <v>156</v>
      </c>
      <c r="J95" s="104"/>
      <c r="K95" s="104"/>
      <c r="L95" s="104"/>
      <c r="M95" s="104"/>
      <c r="N95" s="1129">
        <f>G94+N94+1</f>
        <v>68</v>
      </c>
      <c r="O95" s="1130"/>
      <c r="P95" s="1121"/>
      <c r="Q95" s="138" t="str">
        <f>IF(AND(Q81=1,S87="JA"),RIGHT(LEFT($S$88,17),2),"")</f>
        <v/>
      </c>
      <c r="R95" s="138" t="str">
        <f>IF(OR(Q95="",Q95="##"),"",IF(CODE(Q95)=35,RIGHT(Q95,1),Q95)*1)</f>
        <v/>
      </c>
      <c r="S95" s="107" t="s">
        <v>85</v>
      </c>
      <c r="T95" s="293"/>
      <c r="U95" s="294"/>
    </row>
    <row r="96" spans="2:21" hidden="1" x14ac:dyDescent="0.3">
      <c r="B96" s="124"/>
      <c r="C96" s="81" t="s">
        <v>153</v>
      </c>
      <c r="D96" s="103"/>
      <c r="E96" s="103"/>
      <c r="F96" s="103"/>
      <c r="G96" s="82" t="str">
        <f>IF($H$91="JA",RIGHT(LEFT($F$84,2),1),"")</f>
        <v/>
      </c>
      <c r="H96" s="468" t="str">
        <f>IF(G96="","",IF(OR(G96="A",G96="D",G96="E"),"n.v.t.",RIGHT(LEFT(F84,9),6)))</f>
        <v/>
      </c>
      <c r="I96" s="125" t="s">
        <v>400</v>
      </c>
      <c r="J96" s="139"/>
      <c r="K96" s="139"/>
      <c r="L96" s="139"/>
      <c r="M96" s="103"/>
      <c r="N96" s="1114"/>
      <c r="O96" s="1096"/>
      <c r="P96" s="1121"/>
      <c r="Q96" s="138" t="str">
        <f>IF(AND(Q81=1,S87="JA"),RIGHT(LEFT($S$88,20),2),"")</f>
        <v/>
      </c>
      <c r="R96" s="138" t="str">
        <f>IF(Q96="","",IF(CODE(Q96)=35,RIGHT(Q96,1),Q96)*1)</f>
        <v/>
      </c>
      <c r="S96" s="107" t="s">
        <v>86</v>
      </c>
      <c r="T96" s="293"/>
      <c r="U96" s="294"/>
    </row>
    <row r="97" spans="2:21" hidden="1" x14ac:dyDescent="0.3">
      <c r="B97" s="124"/>
      <c r="C97" s="81"/>
      <c r="D97" s="103"/>
      <c r="E97" s="103"/>
      <c r="F97" s="103"/>
      <c r="G97" s="82" t="str">
        <f>IF($H$91="JA",RIGHT(LEFT($F$84,3),1),"")</f>
        <v/>
      </c>
      <c r="H97" s="468" t="str">
        <f>IF(G97="","",IF(G97="D","n.v.t.",IF(OR(G96="A",G96="D",G96="E"),RIGHT(LEFT(F84,6),3),RIGHT(LEFT(F84,12),3))))</f>
        <v/>
      </c>
      <c r="I97" s="125" t="s">
        <v>1412</v>
      </c>
      <c r="J97" s="139"/>
      <c r="K97" s="139"/>
      <c r="L97" s="139"/>
      <c r="M97" s="139"/>
      <c r="N97" s="1114"/>
      <c r="O97" s="1096"/>
      <c r="P97" s="1121"/>
      <c r="Q97" s="138" t="str">
        <f>IF(AND(Q81=1,S87="JA"),RIGHT(LEFT($S$88,4),1),"")</f>
        <v/>
      </c>
      <c r="R97" s="138" t="str">
        <f>IF(Q97="","",CODE(Q97)-64)</f>
        <v/>
      </c>
      <c r="S97" s="293" t="s">
        <v>425</v>
      </c>
      <c r="T97" s="293"/>
      <c r="U97" s="294"/>
    </row>
    <row r="98" spans="2:21" hidden="1" x14ac:dyDescent="0.3">
      <c r="B98" s="124"/>
      <c r="C98" s="1091" t="str">
        <f>IF($H$91="JA",IF(RIGHT(LEFT($F$84,N103-1),1)="¦","JA","NEE"),"")</f>
        <v/>
      </c>
      <c r="D98" s="1092"/>
      <c r="E98" s="706" t="s">
        <v>792</v>
      </c>
      <c r="F98" s="103"/>
      <c r="G98" s="82" t="str">
        <f>IF(OR(G96="B",G96="C"),LEFT(H96,2)*1,"")</f>
        <v/>
      </c>
      <c r="H98" s="468" t="str">
        <f>IF(G98="","",LEFT(RIGHT($F$84,N98),G98))</f>
        <v/>
      </c>
      <c r="I98" s="469" t="s">
        <v>401</v>
      </c>
      <c r="J98" s="139"/>
      <c r="K98" s="139"/>
      <c r="L98" s="139"/>
      <c r="M98" s="139"/>
      <c r="N98" s="1114">
        <f>IF(G98="",0,N99+G98+1)</f>
        <v>0</v>
      </c>
      <c r="O98" s="1096"/>
      <c r="P98" s="1121"/>
      <c r="Q98" s="138" t="str">
        <f>IF(AND(Q81=1,S87="JA"),RIGHT(LEFT($S$88,5),1),"")</f>
        <v/>
      </c>
      <c r="R98" s="138" t="str">
        <f>IF(Q98="","",CODE(Q98)-64)</f>
        <v/>
      </c>
      <c r="S98" s="293" t="s">
        <v>426</v>
      </c>
      <c r="T98" s="293"/>
      <c r="U98" s="294"/>
    </row>
    <row r="99" spans="2:21" hidden="1" x14ac:dyDescent="0.3">
      <c r="B99" s="124"/>
      <c r="C99" s="81"/>
      <c r="D99" s="103"/>
      <c r="E99" s="706" t="s">
        <v>793</v>
      </c>
      <c r="F99" s="103"/>
      <c r="G99" s="82" t="str">
        <f>IF(OR(G96="B",G96="C"),RIGHT(LEFT(H96,4),2)*1,"")</f>
        <v/>
      </c>
      <c r="H99" s="468" t="str">
        <f>IF(G99="","",LEFT(RIGHT($F$84,N99),G99))</f>
        <v/>
      </c>
      <c r="I99" s="469" t="s">
        <v>402</v>
      </c>
      <c r="J99" s="139"/>
      <c r="K99" s="139"/>
      <c r="L99" s="139"/>
      <c r="M99" s="139"/>
      <c r="N99" s="1114">
        <f>IF(G99="",0,N100+G99+1)</f>
        <v>0</v>
      </c>
      <c r="O99" s="1096"/>
      <c r="P99" s="1121"/>
      <c r="Q99" s="138" t="str">
        <f>IF(AND(Q81=1,S87="JA"),RIGHT(LEFT($S$88,6),1),"")</f>
        <v/>
      </c>
      <c r="R99" s="138" t="str">
        <f>IF(Q99="","",CODE(Q99)-64)</f>
        <v/>
      </c>
      <c r="S99" s="293" t="s">
        <v>427</v>
      </c>
      <c r="T99" s="293"/>
      <c r="U99" s="294"/>
    </row>
    <row r="100" spans="2:21" hidden="1" x14ac:dyDescent="0.3">
      <c r="B100" s="124"/>
      <c r="C100" s="81"/>
      <c r="D100" s="103"/>
      <c r="E100" s="103"/>
      <c r="F100" s="103"/>
      <c r="G100" s="82" t="str">
        <f>IF(OR(G96="B",G96="C"),RIGHT(H96,2)*1,"")</f>
        <v/>
      </c>
      <c r="H100" s="468" t="str">
        <f>IF(G100="","",LEFT(RIGHT($F$84,N100),G100))</f>
        <v/>
      </c>
      <c r="I100" s="469" t="s">
        <v>403</v>
      </c>
      <c r="J100" s="139"/>
      <c r="K100" s="139"/>
      <c r="L100" s="139"/>
      <c r="M100" s="139"/>
      <c r="N100" s="1114">
        <f>IF(G100="",0,N101+G100+1)</f>
        <v>0</v>
      </c>
      <c r="O100" s="1096"/>
      <c r="P100" s="1121"/>
      <c r="Q100" s="138" t="str">
        <f>IF(AND(Q81=1,S87="JA"),RIGHT(LEFT($S$88,7),1),"")</f>
        <v/>
      </c>
      <c r="R100" s="138" t="str">
        <f>IF(Q100="","",CODE(Q100)-64)</f>
        <v/>
      </c>
      <c r="S100" s="293" t="s">
        <v>428</v>
      </c>
      <c r="T100" s="293"/>
      <c r="U100" s="294"/>
    </row>
    <row r="101" spans="2:21" hidden="1" x14ac:dyDescent="0.3">
      <c r="B101" s="124"/>
      <c r="C101" s="81"/>
      <c r="D101" s="103"/>
      <c r="E101" s="103"/>
      <c r="F101" s="103"/>
      <c r="G101" s="82" t="str">
        <f>IF(OR(G97="A",G97="B",G97="C"),LEFT(H97,2)*1,"")</f>
        <v/>
      </c>
      <c r="H101" s="468" t="str">
        <f>IF(G101="","",LEFT(RIGHT($F$84,N101),G101))</f>
        <v/>
      </c>
      <c r="I101" s="469" t="s">
        <v>404</v>
      </c>
      <c r="J101" s="139"/>
      <c r="K101" s="139"/>
      <c r="L101" s="139"/>
      <c r="M101" s="139"/>
      <c r="N101" s="1114">
        <f>IF(G101="",0,N102+G101+1)</f>
        <v>0</v>
      </c>
      <c r="O101" s="1096"/>
      <c r="P101" s="1121"/>
      <c r="Q101" s="138" t="str">
        <f>IF(AND(Q81=1,S87="JA"),RIGHT(LEFT($S$88,8),1),"")</f>
        <v/>
      </c>
      <c r="R101" s="138" t="str">
        <f>IF(Q101="","",CODE(Q101)-64)</f>
        <v/>
      </c>
      <c r="S101" s="293" t="s">
        <v>429</v>
      </c>
      <c r="T101" s="293"/>
      <c r="U101" s="294"/>
    </row>
    <row r="102" spans="2:21" hidden="1" x14ac:dyDescent="0.3">
      <c r="B102" s="124"/>
      <c r="C102" s="81"/>
      <c r="D102" s="103"/>
      <c r="E102" s="103"/>
      <c r="F102" s="103"/>
      <c r="G102" s="82" t="str">
        <f>IF(OR(G97="A",G97="B",G97="C"),RIGHT(H97,1)*1,"")</f>
        <v/>
      </c>
      <c r="H102" s="83" t="str">
        <f>IF(G102="","",0.01*LEFT(RIGHT($F$84,N102),G102))</f>
        <v/>
      </c>
      <c r="I102" s="469" t="s">
        <v>1413</v>
      </c>
      <c r="J102" s="139"/>
      <c r="K102" s="139"/>
      <c r="L102" s="139"/>
      <c r="M102" s="139"/>
      <c r="N102" s="1129">
        <f>IF(G102="",0,G102+1)</f>
        <v>0</v>
      </c>
      <c r="O102" s="1130"/>
      <c r="P102" s="1121"/>
      <c r="Q102" s="481"/>
      <c r="R102" s="293"/>
      <c r="S102" s="293"/>
      <c r="T102" s="293"/>
      <c r="U102" s="294"/>
    </row>
    <row r="103" spans="2:21" hidden="1" x14ac:dyDescent="0.3">
      <c r="B103" s="124"/>
      <c r="C103" s="81"/>
      <c r="D103" s="103"/>
      <c r="E103" s="103"/>
      <c r="F103" s="103"/>
      <c r="G103" s="82" t="str">
        <f>IF($H$91="JA",RIGHT(LEFT($F$84,N103),1),"")</f>
        <v/>
      </c>
      <c r="H103" s="83" t="str">
        <f>IF(G103="","",IF(G103="E",CHAR(128),CHAR(37)))</f>
        <v/>
      </c>
      <c r="I103" s="103" t="s">
        <v>34</v>
      </c>
      <c r="J103" s="139"/>
      <c r="K103" s="139"/>
      <c r="L103" s="139"/>
      <c r="M103" s="139"/>
      <c r="N103" s="1114">
        <f>IF($H$91="JA",5+IF(OR(G96="A",G96="D",G96="E"),0,6)+IF(G97="D",0,3),0)</f>
        <v>0</v>
      </c>
      <c r="O103" s="1096"/>
      <c r="P103" s="1121"/>
      <c r="Q103" s="481"/>
      <c r="R103" s="293"/>
      <c r="S103" s="293"/>
      <c r="T103" s="293"/>
      <c r="U103" s="294"/>
    </row>
    <row r="104" spans="2:21" hidden="1" x14ac:dyDescent="0.3">
      <c r="B104" s="124"/>
      <c r="C104" s="81"/>
      <c r="D104" s="103"/>
      <c r="E104" s="103"/>
      <c r="F104" s="103"/>
      <c r="G104" s="82" t="str">
        <f>IF($H$91="JA",RIGHT(LEFT($F$84,N104),2),"")</f>
        <v/>
      </c>
      <c r="H104" s="83" t="str">
        <f>IF(OR(G104="",G104="##"),"",IF(G104="XX","X",0+SUBSTITUTE(G104,"#","0")*1))</f>
        <v/>
      </c>
      <c r="I104" s="103" t="s">
        <v>405</v>
      </c>
      <c r="J104" s="103"/>
      <c r="K104" s="103"/>
      <c r="L104" s="103"/>
      <c r="M104" s="139"/>
      <c r="N104" s="1114">
        <f>IF($H$91="JA",N103+3,0)</f>
        <v>0</v>
      </c>
      <c r="O104" s="1096"/>
      <c r="P104" s="1121"/>
      <c r="Q104" s="482"/>
      <c r="R104" s="295"/>
      <c r="S104" s="295"/>
      <c r="T104" s="295"/>
      <c r="U104" s="296"/>
    </row>
    <row r="105" spans="2:21" hidden="1" x14ac:dyDescent="0.3">
      <c r="B105" s="124"/>
      <c r="C105" s="81"/>
      <c r="D105" s="765">
        <f>N84-LARGE(N98:O102,1)</f>
        <v>0</v>
      </c>
      <c r="E105" s="103"/>
      <c r="F105" s="103"/>
      <c r="G105" s="82" t="str">
        <f>IF($H$91="JA",RIGHT(LEFT($F$84,N105),2),"")</f>
        <v/>
      </c>
      <c r="H105" s="83" t="str">
        <f>IF(OR(G105="",G105="##"),"",IF(G105="XX","X",0+SUBSTITUTE(G105,"#","0")*1))</f>
        <v/>
      </c>
      <c r="I105" s="103" t="s">
        <v>93</v>
      </c>
      <c r="J105" s="103"/>
      <c r="K105" s="103"/>
      <c r="L105" s="103"/>
      <c r="M105" s="139"/>
      <c r="N105" s="1114">
        <f>IF($H$91="JA",N104+3,0)</f>
        <v>0</v>
      </c>
      <c r="O105" s="1096"/>
      <c r="P105" s="1121"/>
      <c r="Q105" s="477">
        <v>1</v>
      </c>
      <c r="R105" s="478" t="str">
        <f ca="1">Taal03!B35</f>
        <v>januari</v>
      </c>
      <c r="S105" s="478"/>
      <c r="T105" s="84"/>
      <c r="U105" s="85"/>
    </row>
    <row r="106" spans="2:21" hidden="1" x14ac:dyDescent="0.3">
      <c r="B106" s="124"/>
      <c r="C106" s="103"/>
      <c r="D106" s="470">
        <f>N105+1</f>
        <v>1</v>
      </c>
      <c r="E106" s="125">
        <f t="shared" ref="E106:E116" si="4">IF(OR($H$91="NEE",D106=$D$105),$D$105,FIND("|",$F$84,D106+1))</f>
        <v>0</v>
      </c>
      <c r="F106" s="103"/>
      <c r="G106" s="138" t="str">
        <f t="shared" ref="G106:G116" si="5">IF(OR($H$91="NEE",D106=E106),"",MID($F$84,D106+1,E106-D106-1))</f>
        <v/>
      </c>
      <c r="H106" s="46">
        <f t="shared" ref="H106:H116" si="6">IF(G106="",0,G106/100)</f>
        <v>0</v>
      </c>
      <c r="I106" s="126" t="s">
        <v>35</v>
      </c>
      <c r="J106" s="103"/>
      <c r="K106" s="145">
        <f>LARGE(K107:K116,1)</f>
        <v>0</v>
      </c>
      <c r="L106" s="471" t="str">
        <f>"= aantal decimalen"</f>
        <v>= aantal decimalen</v>
      </c>
      <c r="M106" s="45" t="str">
        <f t="shared" ref="M106:M116" si="7">CHAR(128)&amp;" "&amp;H106&amp;IF(CODE(LEFT(RIGHT(H106,2),1))=44,"0",IF(CODE(LEFT(RIGHT(H106,3),1))=44,"",",00"))</f>
        <v>€ 0,00</v>
      </c>
      <c r="N106" s="103"/>
      <c r="O106" s="94"/>
      <c r="P106" s="1121"/>
      <c r="Q106" s="479">
        <v>2</v>
      </c>
      <c r="R106" s="297" t="str">
        <f ca="1">Taal03!B36</f>
        <v>februari</v>
      </c>
      <c r="S106" s="86"/>
      <c r="T106" s="86"/>
      <c r="U106" s="87"/>
    </row>
    <row r="107" spans="2:21" hidden="1" x14ac:dyDescent="0.3">
      <c r="B107" s="124"/>
      <c r="C107" s="103"/>
      <c r="D107" s="125">
        <f t="shared" ref="D107:D116" si="8">IF(E106&gt;=$D$105,$D$105,E106)</f>
        <v>0</v>
      </c>
      <c r="E107" s="125">
        <f t="shared" si="4"/>
        <v>0</v>
      </c>
      <c r="F107" s="103"/>
      <c r="G107" s="138" t="str">
        <f t="shared" si="5"/>
        <v/>
      </c>
      <c r="H107" s="46">
        <f t="shared" si="6"/>
        <v>0</v>
      </c>
      <c r="I107" s="103" t="s">
        <v>36</v>
      </c>
      <c r="J107" s="103"/>
      <c r="K107" s="143">
        <f>IF(G107="",0,IF(RIGHT(G107,1)="0",IF(RIGHT(G107,2)="00",0,1),2))</f>
        <v>0</v>
      </c>
      <c r="L107" s="45" t="str">
        <f>H107&amp;IF($K$106=2,IF($K$106-K107=2,",00",IF($K$106-K107=1,"0","")),IF($K$106=1,IF($K$106-K107=1,",0",""),""))&amp;"% van de inleg"</f>
        <v>0% van de inleg</v>
      </c>
      <c r="M107" s="45" t="str">
        <f t="shared" si="7"/>
        <v>€ 0,00</v>
      </c>
      <c r="N107" s="103"/>
      <c r="O107" s="94"/>
      <c r="P107" s="1121"/>
      <c r="Q107" s="479">
        <v>3</v>
      </c>
      <c r="R107" s="297" t="str">
        <f ca="1">Taal03!B37</f>
        <v>maart</v>
      </c>
      <c r="S107" s="86"/>
      <c r="T107" s="86"/>
      <c r="U107" s="87"/>
    </row>
    <row r="108" spans="2:21" hidden="1" x14ac:dyDescent="0.3">
      <c r="B108" s="124"/>
      <c r="C108" s="103"/>
      <c r="D108" s="125">
        <f t="shared" si="8"/>
        <v>0</v>
      </c>
      <c r="E108" s="125">
        <f t="shared" si="4"/>
        <v>0</v>
      </c>
      <c r="F108" s="103"/>
      <c r="G108" s="138" t="str">
        <f t="shared" si="5"/>
        <v/>
      </c>
      <c r="H108" s="46">
        <f t="shared" si="6"/>
        <v>0</v>
      </c>
      <c r="I108" s="103" t="s">
        <v>37</v>
      </c>
      <c r="J108" s="103"/>
      <c r="K108" s="143">
        <f t="shared" ref="K108:K116" si="9">IF(G108="",0,IF(RIGHT(G108,1)="0",IF(RIGHT(G108,2)="00",0,1),2))</f>
        <v>0</v>
      </c>
      <c r="L108" s="45" t="str">
        <f t="shared" ref="L108:L116" si="10">H108&amp;IF($K$106=2,IF($K$106-K108=2,",00",IF($K$106-K108=1,"0","")),IF($K$106=1,IF($K$106-K108=1,",0",""),""))&amp;"% van de inleg"</f>
        <v>0% van de inleg</v>
      </c>
      <c r="M108" s="45" t="str">
        <f t="shared" si="7"/>
        <v>€ 0,00</v>
      </c>
      <c r="N108" s="103"/>
      <c r="O108" s="94"/>
      <c r="P108" s="1121"/>
      <c r="Q108" s="479">
        <v>4</v>
      </c>
      <c r="R108" s="297" t="str">
        <f ca="1">Taal03!B38</f>
        <v>april</v>
      </c>
      <c r="S108" s="86"/>
      <c r="T108" s="86"/>
      <c r="U108" s="87"/>
    </row>
    <row r="109" spans="2:21" hidden="1" x14ac:dyDescent="0.3">
      <c r="B109" s="124"/>
      <c r="C109" s="103"/>
      <c r="D109" s="125">
        <f t="shared" si="8"/>
        <v>0</v>
      </c>
      <c r="E109" s="125">
        <f t="shared" si="4"/>
        <v>0</v>
      </c>
      <c r="F109" s="103"/>
      <c r="G109" s="138" t="str">
        <f t="shared" si="5"/>
        <v/>
      </c>
      <c r="H109" s="46">
        <f t="shared" si="6"/>
        <v>0</v>
      </c>
      <c r="I109" s="103" t="s">
        <v>38</v>
      </c>
      <c r="J109" s="103"/>
      <c r="K109" s="143">
        <f t="shared" si="9"/>
        <v>0</v>
      </c>
      <c r="L109" s="45" t="str">
        <f t="shared" si="10"/>
        <v>0% van de inleg</v>
      </c>
      <c r="M109" s="45" t="str">
        <f t="shared" si="7"/>
        <v>€ 0,00</v>
      </c>
      <c r="N109" s="103"/>
      <c r="O109" s="94"/>
      <c r="P109" s="1121"/>
      <c r="Q109" s="479">
        <v>5</v>
      </c>
      <c r="R109" s="297" t="str">
        <f ca="1">Taal03!B39</f>
        <v>mei</v>
      </c>
      <c r="S109" s="86"/>
      <c r="T109" s="86"/>
      <c r="U109" s="87"/>
    </row>
    <row r="110" spans="2:21" hidden="1" x14ac:dyDescent="0.3">
      <c r="B110" s="124"/>
      <c r="C110" s="103"/>
      <c r="D110" s="125">
        <f t="shared" si="8"/>
        <v>0</v>
      </c>
      <c r="E110" s="125">
        <f t="shared" si="4"/>
        <v>0</v>
      </c>
      <c r="F110" s="103"/>
      <c r="G110" s="138" t="str">
        <f t="shared" si="5"/>
        <v/>
      </c>
      <c r="H110" s="46">
        <f t="shared" si="6"/>
        <v>0</v>
      </c>
      <c r="I110" s="103" t="s">
        <v>39</v>
      </c>
      <c r="J110" s="103"/>
      <c r="K110" s="143">
        <f t="shared" si="9"/>
        <v>0</v>
      </c>
      <c r="L110" s="45" t="str">
        <f t="shared" si="10"/>
        <v>0% van de inleg</v>
      </c>
      <c r="M110" s="45" t="str">
        <f t="shared" si="7"/>
        <v>€ 0,00</v>
      </c>
      <c r="N110" s="103"/>
      <c r="O110" s="94"/>
      <c r="P110" s="1121"/>
      <c r="Q110" s="479">
        <v>6</v>
      </c>
      <c r="R110" s="297" t="str">
        <f ca="1">Taal03!B40</f>
        <v>juni</v>
      </c>
      <c r="S110" s="86"/>
      <c r="T110" s="86"/>
      <c r="U110" s="87"/>
    </row>
    <row r="111" spans="2:21" hidden="1" x14ac:dyDescent="0.3">
      <c r="B111" s="124"/>
      <c r="C111" s="103"/>
      <c r="D111" s="125">
        <f t="shared" si="8"/>
        <v>0</v>
      </c>
      <c r="E111" s="125">
        <f t="shared" si="4"/>
        <v>0</v>
      </c>
      <c r="F111" s="103"/>
      <c r="G111" s="138" t="str">
        <f t="shared" si="5"/>
        <v/>
      </c>
      <c r="H111" s="46">
        <f t="shared" si="6"/>
        <v>0</v>
      </c>
      <c r="I111" s="103" t="s">
        <v>40</v>
      </c>
      <c r="J111" s="103"/>
      <c r="K111" s="143">
        <f t="shared" si="9"/>
        <v>0</v>
      </c>
      <c r="L111" s="45" t="str">
        <f t="shared" si="10"/>
        <v>0% van de inleg</v>
      </c>
      <c r="M111" s="45" t="str">
        <f t="shared" si="7"/>
        <v>€ 0,00</v>
      </c>
      <c r="N111" s="103"/>
      <c r="O111" s="94"/>
      <c r="P111" s="1121"/>
      <c r="Q111" s="479">
        <v>7</v>
      </c>
      <c r="R111" s="297" t="str">
        <f ca="1">Taal03!B41</f>
        <v>juli</v>
      </c>
      <c r="S111" s="86"/>
      <c r="T111" s="86"/>
      <c r="U111" s="87"/>
    </row>
    <row r="112" spans="2:21" hidden="1" x14ac:dyDescent="0.3">
      <c r="B112" s="124"/>
      <c r="C112" s="103"/>
      <c r="D112" s="125">
        <f t="shared" si="8"/>
        <v>0</v>
      </c>
      <c r="E112" s="125">
        <f t="shared" si="4"/>
        <v>0</v>
      </c>
      <c r="F112" s="103"/>
      <c r="G112" s="138" t="str">
        <f t="shared" si="5"/>
        <v/>
      </c>
      <c r="H112" s="46">
        <f t="shared" si="6"/>
        <v>0</v>
      </c>
      <c r="I112" s="103" t="s">
        <v>41</v>
      </c>
      <c r="J112" s="103"/>
      <c r="K112" s="143">
        <f t="shared" si="9"/>
        <v>0</v>
      </c>
      <c r="L112" s="45" t="str">
        <f t="shared" si="10"/>
        <v>0% van de inleg</v>
      </c>
      <c r="M112" s="45" t="str">
        <f t="shared" si="7"/>
        <v>€ 0,00</v>
      </c>
      <c r="N112" s="103"/>
      <c r="O112" s="94"/>
      <c r="P112" s="1121"/>
      <c r="Q112" s="479">
        <v>8</v>
      </c>
      <c r="R112" s="297" t="str">
        <f ca="1">Taal03!B42</f>
        <v>augustus</v>
      </c>
      <c r="S112" s="86"/>
      <c r="T112" s="86"/>
      <c r="U112" s="87"/>
    </row>
    <row r="113" spans="2:21" hidden="1" x14ac:dyDescent="0.3">
      <c r="B113" s="124"/>
      <c r="C113" s="103"/>
      <c r="D113" s="125">
        <f t="shared" si="8"/>
        <v>0</v>
      </c>
      <c r="E113" s="125">
        <f t="shared" si="4"/>
        <v>0</v>
      </c>
      <c r="F113" s="103"/>
      <c r="G113" s="138" t="str">
        <f t="shared" si="5"/>
        <v/>
      </c>
      <c r="H113" s="46">
        <f t="shared" si="6"/>
        <v>0</v>
      </c>
      <c r="I113" s="103" t="s">
        <v>42</v>
      </c>
      <c r="J113" s="103"/>
      <c r="K113" s="143">
        <f t="shared" si="9"/>
        <v>0</v>
      </c>
      <c r="L113" s="45" t="str">
        <f t="shared" si="10"/>
        <v>0% van de inleg</v>
      </c>
      <c r="M113" s="45" t="str">
        <f t="shared" si="7"/>
        <v>€ 0,00</v>
      </c>
      <c r="N113" s="103"/>
      <c r="O113" s="94"/>
      <c r="P113" s="1121"/>
      <c r="Q113" s="479">
        <v>9</v>
      </c>
      <c r="R113" s="297" t="str">
        <f ca="1">Taal03!B43</f>
        <v>september</v>
      </c>
      <c r="S113" s="86"/>
      <c r="T113" s="86"/>
      <c r="U113" s="87"/>
    </row>
    <row r="114" spans="2:21" hidden="1" x14ac:dyDescent="0.3">
      <c r="B114" s="124"/>
      <c r="C114" s="103"/>
      <c r="D114" s="125">
        <f t="shared" si="8"/>
        <v>0</v>
      </c>
      <c r="E114" s="125">
        <f t="shared" si="4"/>
        <v>0</v>
      </c>
      <c r="F114" s="103"/>
      <c r="G114" s="138" t="str">
        <f t="shared" si="5"/>
        <v/>
      </c>
      <c r="H114" s="46">
        <f t="shared" si="6"/>
        <v>0</v>
      </c>
      <c r="I114" s="103" t="s">
        <v>43</v>
      </c>
      <c r="J114" s="103"/>
      <c r="K114" s="143">
        <f t="shared" si="9"/>
        <v>0</v>
      </c>
      <c r="L114" s="45" t="str">
        <f t="shared" si="10"/>
        <v>0% van de inleg</v>
      </c>
      <c r="M114" s="45" t="str">
        <f t="shared" si="7"/>
        <v>€ 0,00</v>
      </c>
      <c r="N114" s="103"/>
      <c r="O114" s="94"/>
      <c r="P114" s="1121"/>
      <c r="Q114" s="479">
        <v>10</v>
      </c>
      <c r="R114" s="297" t="str">
        <f ca="1">Taal03!B44</f>
        <v>oktober</v>
      </c>
      <c r="S114" s="86"/>
      <c r="T114" s="86"/>
      <c r="U114" s="87"/>
    </row>
    <row r="115" spans="2:21" hidden="1" x14ac:dyDescent="0.3">
      <c r="B115" s="124"/>
      <c r="C115" s="103"/>
      <c r="D115" s="125">
        <f t="shared" si="8"/>
        <v>0</v>
      </c>
      <c r="E115" s="125">
        <f t="shared" si="4"/>
        <v>0</v>
      </c>
      <c r="F115" s="103"/>
      <c r="G115" s="138" t="str">
        <f t="shared" si="5"/>
        <v/>
      </c>
      <c r="H115" s="46">
        <f t="shared" si="6"/>
        <v>0</v>
      </c>
      <c r="I115" s="103" t="s">
        <v>44</v>
      </c>
      <c r="J115" s="103"/>
      <c r="K115" s="143">
        <f t="shared" si="9"/>
        <v>0</v>
      </c>
      <c r="L115" s="45" t="str">
        <f t="shared" si="10"/>
        <v>0% van de inleg</v>
      </c>
      <c r="M115" s="45" t="str">
        <f t="shared" si="7"/>
        <v>€ 0,00</v>
      </c>
      <c r="N115" s="103"/>
      <c r="O115" s="94"/>
      <c r="P115" s="1121"/>
      <c r="Q115" s="479">
        <v>11</v>
      </c>
      <c r="R115" s="297" t="str">
        <f ca="1">Taal03!B45</f>
        <v>november</v>
      </c>
      <c r="S115" s="86"/>
      <c r="T115" s="86"/>
      <c r="U115" s="87"/>
    </row>
    <row r="116" spans="2:21" hidden="1" x14ac:dyDescent="0.3">
      <c r="B116" s="127"/>
      <c r="C116" s="104"/>
      <c r="D116" s="125">
        <f t="shared" si="8"/>
        <v>0</v>
      </c>
      <c r="E116" s="125">
        <f t="shared" si="4"/>
        <v>0</v>
      </c>
      <c r="F116" s="104"/>
      <c r="G116" s="138" t="str">
        <f t="shared" si="5"/>
        <v/>
      </c>
      <c r="H116" s="46">
        <f t="shared" si="6"/>
        <v>0</v>
      </c>
      <c r="I116" s="101" t="s">
        <v>45</v>
      </c>
      <c r="J116" s="104"/>
      <c r="K116" s="144">
        <f t="shared" si="9"/>
        <v>0</v>
      </c>
      <c r="L116" s="45" t="str">
        <f t="shared" si="10"/>
        <v>0% van de inleg</v>
      </c>
      <c r="M116" s="45" t="str">
        <f t="shared" si="7"/>
        <v>€ 0,00</v>
      </c>
      <c r="N116" s="104"/>
      <c r="O116" s="106"/>
      <c r="P116" s="1122"/>
      <c r="Q116" s="480">
        <v>12</v>
      </c>
      <c r="R116" s="753" t="str">
        <f ca="1">Taal03!B46</f>
        <v>december</v>
      </c>
      <c r="S116" s="88"/>
      <c r="T116" s="88"/>
      <c r="U116" s="89"/>
    </row>
    <row r="117" spans="2:21" hidden="1" x14ac:dyDescent="0.3">
      <c r="B117" s="124">
        <v>3</v>
      </c>
      <c r="C117" s="43" t="s">
        <v>150</v>
      </c>
      <c r="D117" s="105"/>
      <c r="E117" s="44"/>
      <c r="F117" s="105"/>
      <c r="G117" s="138" t="str">
        <f>RIGHT(LEFT($F$85,B117),2)</f>
        <v>15</v>
      </c>
      <c r="H117" s="138">
        <f>IF(OR(G117="",G117="##"),"",IF(CODE(G117)=35,RIGHT(G117,1),G117)*1)</f>
        <v>15</v>
      </c>
      <c r="I117" s="95" t="s">
        <v>158</v>
      </c>
      <c r="J117" s="105"/>
      <c r="K117" s="105"/>
      <c r="L117" s="103"/>
      <c r="M117" s="103"/>
      <c r="N117" s="103"/>
      <c r="O117" s="94"/>
      <c r="Q117" s="476"/>
      <c r="R117" s="57"/>
      <c r="S117" s="57"/>
      <c r="T117" s="51"/>
      <c r="U117" s="51"/>
    </row>
    <row r="118" spans="2:21" hidden="1" x14ac:dyDescent="0.3">
      <c r="B118" s="124">
        <f t="shared" ref="B118:B127" si="11">B117+3</f>
        <v>6</v>
      </c>
      <c r="C118" s="103"/>
      <c r="D118" s="103"/>
      <c r="E118" s="103"/>
      <c r="F118" s="103"/>
      <c r="G118" s="138" t="str">
        <f>RIGHT(LEFT($F$85,B118),2)</f>
        <v>#8</v>
      </c>
      <c r="H118" s="138">
        <f>IF(OR(G118="",G118="##"),"",IF(CODE(G118)=35,RIGHT(G118,1),G118)*1)</f>
        <v>8</v>
      </c>
      <c r="I118" s="95" t="s">
        <v>165</v>
      </c>
      <c r="J118" s="103"/>
      <c r="K118" s="103"/>
      <c r="L118" s="120"/>
      <c r="M118" s="103"/>
      <c r="N118" s="103"/>
      <c r="O118" s="94"/>
      <c r="Q118" s="767" t="s">
        <v>245</v>
      </c>
      <c r="R118" s="51"/>
      <c r="S118" s="57"/>
      <c r="T118" s="51"/>
      <c r="U118" s="51"/>
    </row>
    <row r="119" spans="2:21" hidden="1" x14ac:dyDescent="0.3">
      <c r="B119" s="124">
        <f t="shared" si="11"/>
        <v>9</v>
      </c>
      <c r="C119" s="1091" t="s">
        <v>62</v>
      </c>
      <c r="D119" s="1092"/>
      <c r="E119" s="706" t="s">
        <v>814</v>
      </c>
      <c r="F119" s="120"/>
      <c r="G119" s="535" t="str">
        <f>RIGHT(LEFT($F$85,B119),2)</f>
        <v>#0</v>
      </c>
      <c r="H119" s="535">
        <f>IF(OR(G119="",G119="##"),"",IF(CODE(G119)=35,RIGHT(G119,1),G119)*1)</f>
        <v>0</v>
      </c>
      <c r="I119" s="147" t="s">
        <v>164</v>
      </c>
      <c r="J119" s="103"/>
      <c r="K119" s="103"/>
      <c r="L119" s="103"/>
      <c r="M119" s="103"/>
      <c r="N119" s="139"/>
      <c r="O119" s="140"/>
      <c r="Q119" s="768" t="s">
        <v>246</v>
      </c>
      <c r="R119" s="51"/>
      <c r="S119" s="57"/>
      <c r="T119" s="51"/>
      <c r="U119" s="51"/>
    </row>
    <row r="120" spans="2:21" hidden="1" x14ac:dyDescent="0.3">
      <c r="B120" s="124">
        <f t="shared" si="11"/>
        <v>12</v>
      </c>
      <c r="C120" s="81"/>
      <c r="D120" s="103"/>
      <c r="E120" s="706"/>
      <c r="F120" s="120"/>
      <c r="G120" s="138" t="str">
        <f>RIGHT(LEFT($F$85,B120),2)</f>
        <v>#6</v>
      </c>
      <c r="H120" s="138">
        <f>IF(OR(G120="",G120="##"),"",IF(CODE(G120)=35,RIGHT(G120,1),G120)*1)</f>
        <v>6</v>
      </c>
      <c r="I120" s="95" t="s">
        <v>163</v>
      </c>
      <c r="J120" s="120"/>
      <c r="K120" s="103"/>
      <c r="L120" s="103"/>
      <c r="M120" s="103"/>
      <c r="N120" s="148"/>
      <c r="O120" s="149"/>
      <c r="Q120" s="767" t="s">
        <v>247</v>
      </c>
      <c r="R120" s="51"/>
      <c r="S120" s="57"/>
      <c r="T120" s="51"/>
      <c r="U120" s="51"/>
    </row>
    <row r="121" spans="2:21" hidden="1" x14ac:dyDescent="0.3">
      <c r="B121" s="124">
        <f t="shared" si="11"/>
        <v>15</v>
      </c>
      <c r="C121" s="103"/>
      <c r="D121" s="120"/>
      <c r="E121" s="120"/>
      <c r="F121" s="120"/>
      <c r="G121" s="138" t="str">
        <f>RIGHT(LEFT($F$85,B121),2)</f>
        <v>#4</v>
      </c>
      <c r="H121" s="138">
        <f>IF(OR(G121="",G121="##"),"",IF(CODE(G121)=35,RIGHT(G121,1),G121)*1)</f>
        <v>4</v>
      </c>
      <c r="I121" s="95" t="s">
        <v>162</v>
      </c>
      <c r="J121" s="103"/>
      <c r="K121" s="103"/>
      <c r="L121" s="103"/>
      <c r="M121" s="103"/>
      <c r="N121" s="148"/>
      <c r="O121" s="149"/>
      <c r="Q121" s="768" t="s">
        <v>248</v>
      </c>
      <c r="R121" s="51"/>
      <c r="S121" s="57"/>
      <c r="T121" s="51"/>
      <c r="U121" s="51"/>
    </row>
    <row r="122" spans="2:21" hidden="1" x14ac:dyDescent="0.3">
      <c r="B122" s="124">
        <f t="shared" si="11"/>
        <v>18</v>
      </c>
      <c r="C122" s="103"/>
      <c r="D122" s="120"/>
      <c r="E122" s="120"/>
      <c r="F122" s="120"/>
      <c r="G122" s="138" t="str">
        <f t="shared" ref="G122:G128" si="12">RIGHT(LEFT($F$85,B122),2)</f>
        <v>#2</v>
      </c>
      <c r="H122" s="138">
        <f t="shared" ref="H122:H128" si="13">IF(OR(G122="",G122="##"),"",IF(CODE(G122)=35,RIGHT(G122,1),G122)*1)</f>
        <v>2</v>
      </c>
      <c r="I122" s="147" t="s">
        <v>161</v>
      </c>
      <c r="J122" s="103"/>
      <c r="K122" s="103"/>
      <c r="L122" s="103"/>
      <c r="M122" s="103"/>
      <c r="N122" s="148"/>
      <c r="O122" s="149"/>
      <c r="Q122" s="767" t="s">
        <v>251</v>
      </c>
      <c r="R122" s="51"/>
      <c r="S122" s="57"/>
      <c r="T122" s="51"/>
      <c r="U122" s="51"/>
    </row>
    <row r="123" spans="2:21" hidden="1" x14ac:dyDescent="0.3">
      <c r="B123" s="124">
        <f t="shared" si="11"/>
        <v>21</v>
      </c>
      <c r="C123" s="103"/>
      <c r="D123" s="103"/>
      <c r="E123" s="103"/>
      <c r="F123" s="103"/>
      <c r="G123" s="138" t="str">
        <f t="shared" si="12"/>
        <v>#4</v>
      </c>
      <c r="H123" s="764">
        <f t="shared" si="13"/>
        <v>4</v>
      </c>
      <c r="I123" s="103" t="s">
        <v>160</v>
      </c>
      <c r="J123" s="103"/>
      <c r="K123" s="103"/>
      <c r="L123" s="103"/>
      <c r="M123" s="103"/>
      <c r="N123" s="148"/>
      <c r="O123" s="149"/>
      <c r="Q123" s="768" t="s">
        <v>253</v>
      </c>
      <c r="R123" s="51"/>
      <c r="S123" s="57"/>
      <c r="T123" s="51"/>
      <c r="U123" s="51"/>
    </row>
    <row r="124" spans="2:21" hidden="1" x14ac:dyDescent="0.3">
      <c r="B124" s="124">
        <f t="shared" si="11"/>
        <v>24</v>
      </c>
      <c r="C124" s="103"/>
      <c r="D124" s="103"/>
      <c r="E124" s="103"/>
      <c r="F124" s="103"/>
      <c r="G124" s="138" t="str">
        <f t="shared" si="12"/>
        <v>#2</v>
      </c>
      <c r="H124" s="138">
        <f t="shared" si="13"/>
        <v>2</v>
      </c>
      <c r="I124" s="95" t="s">
        <v>159</v>
      </c>
      <c r="J124" s="103"/>
      <c r="K124" s="103"/>
      <c r="L124" s="103"/>
      <c r="M124" s="103"/>
      <c r="N124" s="148"/>
      <c r="O124" s="149"/>
      <c r="Q124" s="767" t="s">
        <v>252</v>
      </c>
      <c r="R124" s="51"/>
      <c r="S124" s="57"/>
      <c r="T124" s="51"/>
      <c r="U124" s="51"/>
    </row>
    <row r="125" spans="2:21" hidden="1" x14ac:dyDescent="0.3">
      <c r="B125" s="124">
        <f t="shared" si="11"/>
        <v>27</v>
      </c>
      <c r="C125" s="103"/>
      <c r="D125" s="103"/>
      <c r="E125" s="103"/>
      <c r="F125" s="103"/>
      <c r="G125" s="138" t="str">
        <f t="shared" si="12"/>
        <v>#2</v>
      </c>
      <c r="H125" s="138">
        <f t="shared" si="13"/>
        <v>2</v>
      </c>
      <c r="I125" s="95" t="s">
        <v>387</v>
      </c>
      <c r="J125" s="103"/>
      <c r="K125" s="103"/>
      <c r="L125" s="103"/>
      <c r="M125" s="103"/>
      <c r="N125" s="148"/>
      <c r="O125" s="149"/>
      <c r="Q125" s="768" t="s">
        <v>254</v>
      </c>
      <c r="R125" s="51"/>
      <c r="S125" s="57"/>
      <c r="T125" s="51"/>
      <c r="U125" s="51"/>
    </row>
    <row r="126" spans="2:21" hidden="1" x14ac:dyDescent="0.3">
      <c r="B126" s="124">
        <f t="shared" si="11"/>
        <v>30</v>
      </c>
      <c r="C126" s="103"/>
      <c r="D126" s="103"/>
      <c r="E126" s="103"/>
      <c r="F126" s="103"/>
      <c r="G126" s="138" t="str">
        <f t="shared" si="12"/>
        <v>##</v>
      </c>
      <c r="H126" s="138" t="str">
        <f t="shared" si="13"/>
        <v/>
      </c>
      <c r="I126" s="95" t="s">
        <v>406</v>
      </c>
      <c r="J126" s="103"/>
      <c r="K126" s="103"/>
      <c r="L126" s="103"/>
      <c r="M126" s="103"/>
      <c r="N126" s="148"/>
      <c r="O126" s="149"/>
      <c r="Q126" s="767" t="s">
        <v>249</v>
      </c>
      <c r="R126" s="51"/>
      <c r="S126" s="57"/>
      <c r="T126" s="51"/>
      <c r="U126" s="51"/>
    </row>
    <row r="127" spans="2:21" hidden="1" x14ac:dyDescent="0.3">
      <c r="B127" s="124">
        <f t="shared" si="11"/>
        <v>33</v>
      </c>
      <c r="C127" s="103"/>
      <c r="D127" s="103"/>
      <c r="E127" s="103"/>
      <c r="F127" s="103"/>
      <c r="G127" s="138" t="str">
        <f t="shared" si="12"/>
        <v>#2</v>
      </c>
      <c r="H127" s="138">
        <f t="shared" si="13"/>
        <v>2</v>
      </c>
      <c r="I127" s="147" t="str">
        <f>IF(Q81=1,IF(H134=22,IF(G130="A",I136,I138),IF(H134=21,I137,I134)),"Bonuspunten 1")</f>
        <v>TOTO en eindstand juist bij groeps- en finalewedstrijden (+ landen bij finales)</v>
      </c>
      <c r="J127" s="103"/>
      <c r="K127" s="103"/>
      <c r="L127" s="103"/>
      <c r="M127" s="103"/>
      <c r="N127" s="148"/>
      <c r="O127" s="149"/>
      <c r="Q127" s="768" t="s">
        <v>250</v>
      </c>
      <c r="R127" s="51"/>
      <c r="S127" s="57"/>
      <c r="T127" s="51"/>
      <c r="U127" s="51"/>
    </row>
    <row r="128" spans="2:21" hidden="1" x14ac:dyDescent="0.3">
      <c r="B128" s="124">
        <f>B127+3</f>
        <v>36</v>
      </c>
      <c r="C128" s="103"/>
      <c r="D128" s="103"/>
      <c r="E128" s="103"/>
      <c r="F128" s="103"/>
      <c r="G128" s="138" t="str">
        <f t="shared" si="12"/>
        <v>#4</v>
      </c>
      <c r="H128" s="138">
        <f t="shared" si="13"/>
        <v>4</v>
      </c>
      <c r="I128" s="95" t="str">
        <f>IF(Q81=1,IF(H134=11,"n.v.t.",IF(H134=12,I135,I134)),"Bonuspunten 2")</f>
        <v>Beide landen juist bij finalewedstrijden</v>
      </c>
      <c r="J128" s="103"/>
      <c r="K128" s="103"/>
      <c r="L128" s="103"/>
      <c r="M128" s="103"/>
      <c r="N128" s="148"/>
      <c r="O128" s="149"/>
      <c r="Q128" s="767" t="s">
        <v>243</v>
      </c>
      <c r="R128" s="51"/>
      <c r="S128" s="57"/>
      <c r="T128" s="51"/>
      <c r="U128" s="51"/>
    </row>
    <row r="129" spans="2:21" hidden="1" x14ac:dyDescent="0.3">
      <c r="B129" s="124">
        <f>B128+2</f>
        <v>38</v>
      </c>
      <c r="C129" s="103"/>
      <c r="D129" s="103"/>
      <c r="E129" s="103"/>
      <c r="F129" s="103"/>
      <c r="G129" s="1112" t="str">
        <f>RIGHT(LEFT($F$85,B129),1)</f>
        <v>B</v>
      </c>
      <c r="H129" s="1113"/>
      <c r="I129" s="95" t="s">
        <v>408</v>
      </c>
      <c r="J129" s="103"/>
      <c r="K129" s="103"/>
      <c r="L129" s="103"/>
      <c r="M129" s="103"/>
      <c r="N129" s="148"/>
      <c r="O129" s="149"/>
      <c r="Q129" s="768" t="s">
        <v>244</v>
      </c>
      <c r="R129" s="57"/>
      <c r="S129" s="57"/>
      <c r="T129" s="51"/>
      <c r="U129" s="51"/>
    </row>
    <row r="130" spans="2:21" hidden="1" x14ac:dyDescent="0.3">
      <c r="B130" s="124">
        <f>B129+1</f>
        <v>39</v>
      </c>
      <c r="C130" s="103"/>
      <c r="D130" s="103"/>
      <c r="E130" s="103"/>
      <c r="F130" s="103"/>
      <c r="G130" s="1112" t="str">
        <f>IF(RIGHT(LEFT($F$85,B130),1)="#","",RIGHT(LEFT($F$85,B130),1))</f>
        <v>B</v>
      </c>
      <c r="H130" s="1113"/>
      <c r="I130" s="95" t="s">
        <v>157</v>
      </c>
      <c r="J130" s="103"/>
      <c r="K130" s="103"/>
      <c r="L130" s="103"/>
      <c r="M130" s="103"/>
      <c r="N130" s="148"/>
      <c r="O130" s="149"/>
      <c r="Q130" s="767" t="s">
        <v>237</v>
      </c>
      <c r="R130" s="57"/>
      <c r="S130" s="57"/>
      <c r="T130" s="51"/>
      <c r="U130" s="51"/>
    </row>
    <row r="131" spans="2:21" hidden="1" x14ac:dyDescent="0.3">
      <c r="B131" s="124">
        <f>B130+1</f>
        <v>40</v>
      </c>
      <c r="C131" s="103"/>
      <c r="D131" s="103"/>
      <c r="E131" s="103"/>
      <c r="F131" s="103"/>
      <c r="G131" s="138" t="str">
        <f>RIGHT(LEFT($F$85,B131),1)</f>
        <v>J</v>
      </c>
      <c r="H131" s="83" t="str">
        <f>IF(OR(G131="",G131="#"),"",IF(G131="J","JA","NEE"))</f>
        <v>JA</v>
      </c>
      <c r="I131" s="95" t="s">
        <v>407</v>
      </c>
      <c r="J131" s="103"/>
      <c r="K131" s="103"/>
      <c r="L131" s="103"/>
      <c r="M131" s="103"/>
      <c r="N131" s="148"/>
      <c r="O131" s="149"/>
      <c r="Q131" s="768" t="s">
        <v>238</v>
      </c>
      <c r="R131" s="57"/>
      <c r="S131" s="57"/>
      <c r="T131" s="51"/>
      <c r="U131" s="51"/>
    </row>
    <row r="132" spans="2:21" hidden="1" x14ac:dyDescent="0.3">
      <c r="B132" s="127">
        <f>B131+1</f>
        <v>41</v>
      </c>
      <c r="C132" s="104"/>
      <c r="D132" s="104"/>
      <c r="E132" s="104"/>
      <c r="F132" s="104"/>
      <c r="G132" s="1112" t="str">
        <f>IF(RIGHT(LEFT($F$85,B132),1)="#","",RIGHT(LEFT($F$85,B132),1))</f>
        <v>A</v>
      </c>
      <c r="H132" s="1113"/>
      <c r="I132" s="101" t="s">
        <v>388</v>
      </c>
      <c r="J132" s="104"/>
      <c r="K132" s="104"/>
      <c r="L132" s="104"/>
      <c r="M132" s="104"/>
      <c r="N132" s="150"/>
      <c r="O132" s="151"/>
      <c r="P132" s="51"/>
      <c r="Q132" s="767" t="s">
        <v>385</v>
      </c>
      <c r="R132" s="51"/>
      <c r="S132" s="51"/>
      <c r="T132" s="51"/>
      <c r="U132" s="51"/>
    </row>
    <row r="133" spans="2:21" hidden="1" x14ac:dyDescent="0.3">
      <c r="B133" s="51"/>
      <c r="C133" s="51" t="s">
        <v>255</v>
      </c>
      <c r="D133" s="51"/>
      <c r="E133" s="51"/>
      <c r="F133" s="51"/>
      <c r="G133" s="51" t="str">
        <f>IF(AND(Q81=1,OR(LEFT(G87,1)="d",LEFT(G87,1)="e",LEFT(G87,1)="f",LEFT(G87,1)="g")),"JA","NEE")</f>
        <v>JA</v>
      </c>
      <c r="H133" s="51"/>
      <c r="I133" s="51"/>
      <c r="J133" s="51"/>
      <c r="K133" s="51"/>
      <c r="L133" s="51"/>
      <c r="M133" s="51"/>
      <c r="N133" s="51"/>
      <c r="O133" s="51"/>
      <c r="P133" s="51"/>
      <c r="Q133" s="769" t="s">
        <v>236</v>
      </c>
      <c r="R133" s="51"/>
      <c r="S133" s="51"/>
      <c r="T133" s="51"/>
      <c r="U133" s="51"/>
    </row>
    <row r="134" spans="2:21" hidden="1" x14ac:dyDescent="0.3">
      <c r="B134" s="51"/>
      <c r="C134" s="51" t="s">
        <v>431</v>
      </c>
      <c r="D134" s="51"/>
      <c r="E134" s="51"/>
      <c r="F134" s="51"/>
      <c r="G134" s="51" t="str">
        <f>IF(AND(Q81=1,G124="#0",H124=0),"NEE",IF(Q81=0,"NEE","JA"))</f>
        <v>JA</v>
      </c>
      <c r="H134" s="1125">
        <f>IF(Q81=1,(IF(G133="JA",2,1)&amp;IF(OR(G136="JA",G137="JA"),2,1))*1,"xx")</f>
        <v>22</v>
      </c>
      <c r="I134" s="51" t="s">
        <v>451</v>
      </c>
      <c r="J134" s="51"/>
      <c r="K134" s="51"/>
      <c r="L134" s="51"/>
      <c r="M134" s="51"/>
      <c r="N134" s="51"/>
      <c r="O134" s="51"/>
      <c r="P134" s="51"/>
      <c r="Q134" s="770" t="s">
        <v>239</v>
      </c>
      <c r="R134" s="51"/>
      <c r="S134" s="51"/>
      <c r="T134" s="51"/>
      <c r="U134" s="51"/>
    </row>
    <row r="135" spans="2:21" hidden="1" x14ac:dyDescent="0.3">
      <c r="B135" s="51"/>
      <c r="C135" s="51" t="s">
        <v>256</v>
      </c>
      <c r="D135" s="51"/>
      <c r="E135" s="51"/>
      <c r="F135" s="51"/>
      <c r="G135" s="51" t="str">
        <f>IF(AND(Q81=1,OR(LEFT(G87,1)="d",LEFT(G87,1)="f",LEFT(G87,1)="h",LEFT(G87,1)="j")),"JA","NEE")</f>
        <v>JA</v>
      </c>
      <c r="H135" s="1126"/>
      <c r="I135" s="51" t="s">
        <v>452</v>
      </c>
      <c r="J135" s="51"/>
      <c r="K135" s="51"/>
      <c r="L135" s="51"/>
      <c r="M135" s="51"/>
      <c r="N135" s="51"/>
      <c r="O135" s="51"/>
      <c r="P135" s="51"/>
      <c r="Q135" s="771" t="s">
        <v>240</v>
      </c>
      <c r="R135" s="51"/>
      <c r="S135" s="51"/>
      <c r="T135" s="51"/>
      <c r="U135" s="51"/>
    </row>
    <row r="136" spans="2:21" hidden="1" x14ac:dyDescent="0.3">
      <c r="B136" s="51"/>
      <c r="C136" s="51" t="s">
        <v>257</v>
      </c>
      <c r="D136" s="51"/>
      <c r="E136" s="51"/>
      <c r="F136" s="51"/>
      <c r="G136" s="51" t="str">
        <f>IF(AND(Q81=1,OR(LEFT(G87,1)="d",LEFT(G87,1)="e",LEFT(G87,1)="h",LEFT(G87,1)="i")),"JA","NEE")</f>
        <v>JA</v>
      </c>
      <c r="H136" s="1126"/>
      <c r="I136" s="51" t="s">
        <v>453</v>
      </c>
      <c r="J136" s="51"/>
      <c r="K136" s="51"/>
      <c r="L136" s="51"/>
      <c r="M136" s="51"/>
      <c r="N136" s="51"/>
      <c r="O136" s="51"/>
      <c r="P136" s="51"/>
      <c r="Q136" s="770" t="s">
        <v>241</v>
      </c>
      <c r="R136" s="51"/>
      <c r="S136" s="51"/>
      <c r="T136" s="51"/>
      <c r="U136" s="51"/>
    </row>
    <row r="137" spans="2:21" hidden="1" x14ac:dyDescent="0.3">
      <c r="B137" s="51"/>
      <c r="C137" s="51" t="s">
        <v>258</v>
      </c>
      <c r="D137" s="51"/>
      <c r="E137" s="51"/>
      <c r="F137" s="51"/>
      <c r="G137" s="51" t="str">
        <f>IF(AND(Q81=1,OR(LEFT(G87,1)="d",LEFT(G87,1)="e")),"JA","NEE")</f>
        <v>JA</v>
      </c>
      <c r="H137" s="1127"/>
      <c r="I137" s="51" t="s">
        <v>454</v>
      </c>
      <c r="J137" s="51"/>
      <c r="K137" s="51"/>
      <c r="L137" s="51"/>
      <c r="M137" s="51"/>
      <c r="N137" s="51"/>
      <c r="O137" s="51"/>
      <c r="P137" s="51"/>
      <c r="Q137" s="771" t="s">
        <v>242</v>
      </c>
      <c r="R137" s="51"/>
      <c r="S137" s="51"/>
      <c r="T137" s="51"/>
      <c r="U137" s="51"/>
    </row>
    <row r="138" spans="2:21" hidden="1" x14ac:dyDescent="0.3">
      <c r="B138" s="51"/>
      <c r="C138" s="51" t="s">
        <v>100</v>
      </c>
      <c r="D138" s="51"/>
      <c r="E138" s="51"/>
      <c r="F138" s="51"/>
      <c r="G138" s="51" t="str">
        <f>IF(AND(Q81=1,OR(RIGHT(G87,1)="d",RIGHT(G87,1)="e",RIGHT(G87,1)="f",RIGHT(G87,1)="g")),"JA","NEE")</f>
        <v>NEE</v>
      </c>
      <c r="H138" s="51"/>
      <c r="I138" s="522" t="s">
        <v>455</v>
      </c>
      <c r="J138" s="51"/>
      <c r="K138" s="51"/>
      <c r="L138" s="51"/>
      <c r="M138" s="51"/>
      <c r="N138" s="51"/>
      <c r="O138" s="51"/>
      <c r="P138" s="51"/>
      <c r="Q138" s="51"/>
      <c r="R138" s="51"/>
      <c r="S138" s="51"/>
      <c r="T138" s="51"/>
      <c r="U138" s="51"/>
    </row>
    <row r="139" spans="2:21" hidden="1" x14ac:dyDescent="0.3">
      <c r="B139" s="742"/>
      <c r="C139" s="743" t="s">
        <v>545</v>
      </c>
      <c r="D139" s="742"/>
      <c r="E139" s="742"/>
      <c r="F139" s="742"/>
      <c r="G139" s="744">
        <v>2</v>
      </c>
      <c r="H139" s="745" t="s">
        <v>958</v>
      </c>
      <c r="I139" s="742"/>
      <c r="J139" s="742"/>
      <c r="K139" s="742"/>
      <c r="L139" s="742"/>
      <c r="M139" s="742"/>
      <c r="N139" s="742"/>
      <c r="O139" s="742"/>
      <c r="P139" s="742"/>
      <c r="Q139" s="742"/>
      <c r="R139" s="742"/>
      <c r="S139" s="742"/>
      <c r="T139" s="742"/>
      <c r="U139" s="742"/>
    </row>
  </sheetData>
  <sheetProtection algorithmName="SHA-512" hashValue="aFbW5+a065jJ+Soshyffw8WkgWj73q1paIWp66cgbc6vngaNgTnIxYTi18zUNamHQCyeROTtMEq/0pzkPgxBSg==" saltValue="NQekVWXH1GLpV3uWN1wSXQ==" spinCount="100000" sheet="1" objects="1" scenarios="1" selectLockedCells="1" selectUnlockedCells="1"/>
  <mergeCells count="129">
    <mergeCell ref="D14:M15"/>
    <mergeCell ref="C119:D119"/>
    <mergeCell ref="N94:O94"/>
    <mergeCell ref="D69:M69"/>
    <mergeCell ref="O69:P69"/>
    <mergeCell ref="G87:H87"/>
    <mergeCell ref="E67:N67"/>
    <mergeCell ref="E68:N68"/>
    <mergeCell ref="C98:D98"/>
    <mergeCell ref="E63:N63"/>
    <mergeCell ref="O26:P26"/>
    <mergeCell ref="D22:M23"/>
    <mergeCell ref="O22:P22"/>
    <mergeCell ref="O23:P23"/>
    <mergeCell ref="D24:M25"/>
    <mergeCell ref="N93:O93"/>
    <mergeCell ref="E40:N40"/>
    <mergeCell ref="E38:N38"/>
    <mergeCell ref="E39:N39"/>
    <mergeCell ref="N91:O91"/>
    <mergeCell ref="N92:O92"/>
    <mergeCell ref="E35:N35"/>
    <mergeCell ref="E36:N36"/>
    <mergeCell ref="E37:N37"/>
    <mergeCell ref="V2:Z4"/>
    <mergeCell ref="N101:O101"/>
    <mergeCell ref="N102:O102"/>
    <mergeCell ref="O21:P21"/>
    <mergeCell ref="N96:O96"/>
    <mergeCell ref="N95:O95"/>
    <mergeCell ref="D16:M18"/>
    <mergeCell ref="O16:P16"/>
    <mergeCell ref="O17:P17"/>
    <mergeCell ref="O18:P18"/>
    <mergeCell ref="E29:N29"/>
    <mergeCell ref="E30:N30"/>
    <mergeCell ref="E31:N31"/>
    <mergeCell ref="E32:N32"/>
    <mergeCell ref="E33:N33"/>
    <mergeCell ref="E34:N34"/>
    <mergeCell ref="S87:U87"/>
    <mergeCell ref="S88:U88"/>
    <mergeCell ref="S71:U71"/>
    <mergeCell ref="E58:N58"/>
    <mergeCell ref="E59:N59"/>
    <mergeCell ref="E60:N60"/>
    <mergeCell ref="E61:N61"/>
    <mergeCell ref="E62:N62"/>
    <mergeCell ref="H134:H137"/>
    <mergeCell ref="R23:U25"/>
    <mergeCell ref="E47:N47"/>
    <mergeCell ref="E48:N48"/>
    <mergeCell ref="E49:N49"/>
    <mergeCell ref="E50:N50"/>
    <mergeCell ref="E51:N51"/>
    <mergeCell ref="E52:N52"/>
    <mergeCell ref="E53:N53"/>
    <mergeCell ref="E54:N54"/>
    <mergeCell ref="E41:N41"/>
    <mergeCell ref="E42:N42"/>
    <mergeCell ref="E43:N43"/>
    <mergeCell ref="E44:N44"/>
    <mergeCell ref="E45:N45"/>
    <mergeCell ref="E46:N46"/>
    <mergeCell ref="G132:H132"/>
    <mergeCell ref="G129:H129"/>
    <mergeCell ref="N104:O104"/>
    <mergeCell ref="N105:O105"/>
    <mergeCell ref="N97:O97"/>
    <mergeCell ref="N98:O98"/>
    <mergeCell ref="N99:O99"/>
    <mergeCell ref="N100:O100"/>
    <mergeCell ref="G130:H130"/>
    <mergeCell ref="N103:O103"/>
    <mergeCell ref="R1:S1"/>
    <mergeCell ref="R2:S2"/>
    <mergeCell ref="R3:S3"/>
    <mergeCell ref="Q87:R87"/>
    <mergeCell ref="C82:E82"/>
    <mergeCell ref="F82:M82"/>
    <mergeCell ref="N82:O82"/>
    <mergeCell ref="C83:E83"/>
    <mergeCell ref="F83:M83"/>
    <mergeCell ref="N83:O83"/>
    <mergeCell ref="O70:P70"/>
    <mergeCell ref="O71:P71"/>
    <mergeCell ref="O72:P72"/>
    <mergeCell ref="N81:O81"/>
    <mergeCell ref="P81:P116"/>
    <mergeCell ref="N87:O87"/>
    <mergeCell ref="N88:O88"/>
    <mergeCell ref="O27:P27"/>
    <mergeCell ref="O28:P28"/>
    <mergeCell ref="D19:M21"/>
    <mergeCell ref="O19:P19"/>
    <mergeCell ref="O20:P20"/>
    <mergeCell ref="O1:P1"/>
    <mergeCell ref="C2:N2"/>
    <mergeCell ref="O2:P2"/>
    <mergeCell ref="O4:P4"/>
    <mergeCell ref="O5:P5"/>
    <mergeCell ref="O6:P6"/>
    <mergeCell ref="D12:M13"/>
    <mergeCell ref="O12:P12"/>
    <mergeCell ref="O13:P13"/>
    <mergeCell ref="D7:M9"/>
    <mergeCell ref="O7:P7"/>
    <mergeCell ref="O8:P8"/>
    <mergeCell ref="O9:P9"/>
    <mergeCell ref="O10:P10"/>
    <mergeCell ref="O11:P11"/>
    <mergeCell ref="D10:N11"/>
    <mergeCell ref="O24:P24"/>
    <mergeCell ref="O25:P25"/>
    <mergeCell ref="E56:N56"/>
    <mergeCell ref="E57:N57"/>
    <mergeCell ref="E55:N55"/>
    <mergeCell ref="C89:D89"/>
    <mergeCell ref="Q88:R88"/>
    <mergeCell ref="N84:O84"/>
    <mergeCell ref="C85:E85"/>
    <mergeCell ref="F85:M85"/>
    <mergeCell ref="N85:O85"/>
    <mergeCell ref="G88:G90"/>
    <mergeCell ref="C84:E84"/>
    <mergeCell ref="E64:N64"/>
    <mergeCell ref="E65:N65"/>
    <mergeCell ref="E66:N66"/>
    <mergeCell ref="F84:M84"/>
  </mergeCells>
  <conditionalFormatting sqref="B2:P72">
    <cfRule type="expression" dxfId="272" priority="58">
      <formula>$Q$81=0</formula>
    </cfRule>
  </conditionalFormatting>
  <conditionalFormatting sqref="D3 M3 D5 D27 D71 M71">
    <cfRule type="expression" dxfId="271" priority="57">
      <formula>$A$1="zwart"</formula>
    </cfRule>
    <cfRule type="expression" dxfId="270" priority="60">
      <formula>$A$1="wit"</formula>
    </cfRule>
  </conditionalFormatting>
  <conditionalFormatting sqref="C2:N2">
    <cfRule type="expression" dxfId="269" priority="1">
      <formula>$Q$81=0</formula>
    </cfRule>
  </conditionalFormatting>
  <conditionalFormatting sqref="E29:E68">
    <cfRule type="expression" dxfId="268" priority="61">
      <formula>OR(R29=100,R29=200,R29=300,R29=400,R29=500,R29=600)</formula>
    </cfRule>
  </conditionalFormatting>
  <conditionalFormatting sqref="E29:N68">
    <cfRule type="expression" dxfId="267" priority="8260">
      <formula>IF(OR(D28="-",D29="-",LEFT(E29,5)="  ●  "),TRUE(),FALSE())</formula>
    </cfRule>
  </conditionalFormatting>
  <printOptions horizontalCentered="1"/>
  <pageMargins left="0.19685039370078741" right="0.19685039370078741" top="0.39370078740157483" bottom="0.39370078740157483" header="0.31496062992125984" footer="0.31496062992125984"/>
  <pageSetup paperSize="9" scale="80"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1">
    <tabColor rgb="FF0084A4"/>
  </sheetPr>
  <dimension ref="A1:BG90"/>
  <sheetViews>
    <sheetView showRowColHeaders="0" topLeftCell="C33" workbookViewId="0"/>
  </sheetViews>
  <sheetFormatPr defaultColWidth="9.109375" defaultRowHeight="14.4" x14ac:dyDescent="0.3"/>
  <cols>
    <col min="1" max="4" width="2.6640625" style="70" customWidth="1"/>
    <col min="5" max="5" width="6.6640625" style="70" customWidth="1"/>
    <col min="6" max="6" width="4.6640625" style="70" customWidth="1"/>
    <col min="7" max="7" width="11.6640625" style="70" customWidth="1"/>
    <col min="8" max="8" width="2.6640625" style="70" customWidth="1"/>
    <col min="9" max="9" width="11.6640625" style="70" customWidth="1"/>
    <col min="10" max="10" width="3.33203125" style="70" customWidth="1"/>
    <col min="11" max="11" width="2.6640625" style="70" customWidth="1"/>
    <col min="12" max="12" width="3.33203125" style="70" customWidth="1"/>
    <col min="13" max="14" width="2.6640625" style="70" customWidth="1"/>
    <col min="15" max="15" width="6.6640625" style="70" customWidth="1"/>
    <col min="16" max="16" width="4.6640625" style="70" customWidth="1"/>
    <col min="17" max="17" width="11.6640625" style="70" customWidth="1"/>
    <col min="18" max="18" width="2.6640625" style="70" customWidth="1"/>
    <col min="19" max="19" width="11.6640625" style="70" customWidth="1"/>
    <col min="20" max="20" width="3.33203125" style="70" customWidth="1"/>
    <col min="21" max="21" width="2.6640625" style="70" customWidth="1"/>
    <col min="22" max="22" width="3.33203125" style="70" customWidth="1"/>
    <col min="23" max="24" width="2.6640625" style="70" customWidth="1"/>
    <col min="25" max="30" width="12.6640625" style="70" hidden="1" customWidth="1"/>
    <col min="31" max="33" width="12.6640625" style="234" hidden="1" customWidth="1"/>
    <col min="34" max="35" width="3.6640625" style="234" hidden="1" customWidth="1"/>
    <col min="36" max="36" width="16.6640625" style="70" hidden="1" customWidth="1"/>
    <col min="37" max="37" width="3.6640625" style="70" hidden="1" customWidth="1"/>
    <col min="38" max="44" width="3.6640625" style="234" hidden="1" customWidth="1"/>
    <col min="45" max="48" width="3.6640625" style="70" hidden="1" customWidth="1"/>
    <col min="49" max="51" width="4.6640625" style="70" hidden="1" customWidth="1"/>
    <col min="52" max="52" width="18.6640625" style="70" hidden="1" customWidth="1"/>
    <col min="53" max="53" width="3.6640625" style="70" hidden="1" customWidth="1"/>
    <col min="54" max="54" width="4.6640625" style="70" customWidth="1"/>
    <col min="55" max="16384" width="9.109375" style="70"/>
  </cols>
  <sheetData>
    <row r="1" spans="1:59" ht="15" customHeight="1" x14ac:dyDescent="0.3">
      <c r="A1" s="116" t="str">
        <f>Voorblad!A1</f>
        <v>wit</v>
      </c>
      <c r="B1" s="116">
        <f>Voorblad!B1</f>
        <v>246</v>
      </c>
      <c r="C1" s="116">
        <f>Voorblad!C1</f>
        <v>255</v>
      </c>
      <c r="D1" s="116">
        <f>Voorblad!D1</f>
        <v>0</v>
      </c>
    </row>
    <row r="2" spans="1:59" ht="15" customHeight="1" x14ac:dyDescent="0.3">
      <c r="B2" s="79"/>
      <c r="C2" s="79"/>
      <c r="D2" s="79"/>
      <c r="E2" s="79"/>
      <c r="F2" s="79"/>
      <c r="G2" s="79"/>
      <c r="H2" s="79"/>
      <c r="I2" s="79"/>
      <c r="J2" s="79"/>
      <c r="K2" s="79"/>
      <c r="L2" s="79"/>
      <c r="M2" s="79"/>
      <c r="N2" s="79"/>
      <c r="O2" s="79"/>
      <c r="P2" s="79"/>
      <c r="Q2" s="79"/>
      <c r="R2" s="79"/>
      <c r="S2" s="79"/>
      <c r="T2" s="79"/>
      <c r="U2" s="79"/>
      <c r="V2" s="79"/>
      <c r="W2" s="79"/>
      <c r="X2" s="79"/>
      <c r="Y2" s="1155" t="s">
        <v>194</v>
      </c>
      <c r="Z2" s="1155"/>
      <c r="AA2" s="3"/>
      <c r="AB2" s="3"/>
      <c r="AC2" s="3"/>
      <c r="AD2" s="3"/>
      <c r="AE2" s="233"/>
      <c r="AF2" s="233"/>
      <c r="AG2" s="233"/>
      <c r="AH2" s="212"/>
      <c r="AI2" s="212"/>
      <c r="AJ2" s="212"/>
      <c r="AK2" s="212"/>
      <c r="AL2" s="212"/>
      <c r="AM2" s="212"/>
      <c r="AN2" s="212"/>
      <c r="AO2" s="212"/>
      <c r="AP2" s="212"/>
      <c r="AQ2" s="212"/>
      <c r="AR2" s="212"/>
      <c r="AS2" s="212"/>
      <c r="AT2" s="212"/>
      <c r="AU2" s="212"/>
      <c r="AV2" s="212"/>
      <c r="AW2" s="212"/>
      <c r="AX2" s="212"/>
      <c r="AY2" s="212"/>
      <c r="AZ2" s="492" t="s">
        <v>432</v>
      </c>
      <c r="BA2" s="212"/>
      <c r="BC2" s="1065" t="str">
        <f ca="1">Taal01!$B$39</f>
        <v>Groepswedstrijden</v>
      </c>
      <c r="BD2" s="1065"/>
      <c r="BE2" s="1065"/>
      <c r="BF2" s="1065"/>
      <c r="BG2" s="1065"/>
    </row>
    <row r="3" spans="1:59" ht="15" customHeight="1" x14ac:dyDescent="0.5">
      <c r="B3" s="79"/>
      <c r="C3" s="1017"/>
      <c r="D3" s="1021" t="str">
        <f ca="1">Taal04!B7&amp;" - "&amp;Taal04!B8</f>
        <v>Excel Deelname Formulier - Groepswedstrijden</v>
      </c>
      <c r="E3" s="1018"/>
      <c r="F3" s="1018"/>
      <c r="G3" s="1018"/>
      <c r="H3" s="1018"/>
      <c r="I3" s="1018"/>
      <c r="J3" s="1018"/>
      <c r="K3" s="1018"/>
      <c r="L3" s="1018"/>
      <c r="M3" s="1018"/>
      <c r="N3" s="1018"/>
      <c r="O3" s="1018"/>
      <c r="P3" s="1018"/>
      <c r="Q3" s="1018"/>
      <c r="R3" s="1018"/>
      <c r="S3" s="1018"/>
      <c r="T3" s="1018"/>
      <c r="U3" s="1018"/>
      <c r="V3" s="1019" t="str">
        <f ca="1">IF(Reglement!M3="","",Reglement!M3)</f>
        <v>EK2020: SV Marum jeugd JO7 t/m JO11</v>
      </c>
      <c r="W3" s="1020"/>
      <c r="X3" s="79"/>
      <c r="Y3" s="1155"/>
      <c r="Z3" s="1155"/>
      <c r="AA3" s="3"/>
      <c r="AB3" s="3"/>
      <c r="AC3" s="3"/>
      <c r="AD3" s="3"/>
      <c r="AE3" s="233"/>
      <c r="AF3" s="233"/>
      <c r="AG3" s="233"/>
      <c r="AH3" s="212"/>
      <c r="AI3" s="212"/>
      <c r="AJ3" s="1149" t="s">
        <v>208</v>
      </c>
      <c r="AK3" s="1149"/>
      <c r="AL3" s="1149"/>
      <c r="AM3" s="1149"/>
      <c r="AN3" s="1149"/>
      <c r="AO3" s="1149"/>
      <c r="AP3" s="1149"/>
      <c r="AQ3" s="1149"/>
      <c r="AR3" s="1149"/>
      <c r="AS3" s="1149"/>
      <c r="AT3" s="1149"/>
      <c r="AU3" s="1149"/>
      <c r="AV3" s="1149"/>
      <c r="AW3" s="1149"/>
      <c r="AX3" s="1149"/>
      <c r="AY3" s="1149"/>
      <c r="AZ3" s="492" t="s">
        <v>433</v>
      </c>
      <c r="BA3" s="491"/>
      <c r="BC3" s="1065"/>
      <c r="BD3" s="1065"/>
      <c r="BE3" s="1065"/>
      <c r="BF3" s="1065"/>
      <c r="BG3" s="1065"/>
    </row>
    <row r="4" spans="1:59" ht="15" customHeight="1" x14ac:dyDescent="0.5">
      <c r="B4" s="79"/>
      <c r="C4" s="79"/>
      <c r="D4" s="79"/>
      <c r="E4" s="79"/>
      <c r="F4" s="79"/>
      <c r="G4" s="79"/>
      <c r="H4" s="79"/>
      <c r="I4" s="79"/>
      <c r="J4" s="79"/>
      <c r="K4" s="79"/>
      <c r="L4" s="79"/>
      <c r="M4" s="79"/>
      <c r="N4" s="79"/>
      <c r="O4" s="79"/>
      <c r="P4" s="79"/>
      <c r="Q4" s="79"/>
      <c r="R4" s="79"/>
      <c r="S4" s="79"/>
      <c r="T4" s="79"/>
      <c r="U4" s="79"/>
      <c r="V4" s="79"/>
      <c r="W4" s="79"/>
      <c r="X4" s="79"/>
      <c r="Y4" s="208"/>
      <c r="Z4" s="205" t="s">
        <v>193</v>
      </c>
      <c r="AA4" s="3" t="str">
        <f>SUBSTITUTE(F6," ","#*")</f>
        <v/>
      </c>
      <c r="AB4" s="3"/>
      <c r="AC4" s="233" t="s">
        <v>192</v>
      </c>
      <c r="AD4" s="233" t="s">
        <v>0</v>
      </c>
      <c r="AE4" s="233" t="s">
        <v>191</v>
      </c>
      <c r="AF4" s="204"/>
      <c r="AG4" s="204"/>
      <c r="AH4" s="212"/>
      <c r="AI4" s="212"/>
      <c r="AJ4" s="1149"/>
      <c r="AK4" s="1149"/>
      <c r="AL4" s="1149"/>
      <c r="AM4" s="1149"/>
      <c r="AN4" s="1149"/>
      <c r="AO4" s="1149"/>
      <c r="AP4" s="1149"/>
      <c r="AQ4" s="1149"/>
      <c r="AR4" s="1149"/>
      <c r="AS4" s="1149"/>
      <c r="AT4" s="1149"/>
      <c r="AU4" s="1149"/>
      <c r="AV4" s="1149"/>
      <c r="AW4" s="1149"/>
      <c r="AX4" s="1149"/>
      <c r="AY4" s="1149"/>
      <c r="AZ4" s="492" t="s">
        <v>434</v>
      </c>
      <c r="BA4" s="491"/>
      <c r="BC4" s="1065"/>
      <c r="BD4" s="1065"/>
      <c r="BE4" s="1065"/>
      <c r="BF4" s="1065"/>
      <c r="BG4" s="1065"/>
    </row>
    <row r="5" spans="1:59" ht="15" customHeight="1" x14ac:dyDescent="0.3">
      <c r="B5" s="79"/>
      <c r="C5" s="7"/>
      <c r="D5" s="71"/>
      <c r="E5" s="71"/>
      <c r="F5" s="71"/>
      <c r="G5" s="71"/>
      <c r="H5" s="71"/>
      <c r="I5" s="71"/>
      <c r="J5" s="71"/>
      <c r="K5" s="71"/>
      <c r="L5" s="71"/>
      <c r="M5" s="438"/>
      <c r="N5" s="438"/>
      <c r="O5" s="438"/>
      <c r="P5" s="438"/>
      <c r="Q5" s="438"/>
      <c r="R5" s="438"/>
      <c r="S5" s="438"/>
      <c r="T5" s="438"/>
      <c r="U5" s="438"/>
      <c r="V5" s="438"/>
      <c r="W5" s="439"/>
      <c r="X5" s="79"/>
      <c r="Y5" s="208"/>
      <c r="Z5" s="205" t="s">
        <v>190</v>
      </c>
      <c r="AA5" s="207" t="str">
        <f>IF(LEN(AA4)&lt;10,LEN(AA4)&amp;"#",LEN(AA4))</f>
        <v>0#</v>
      </c>
      <c r="AB5" s="3"/>
      <c r="AC5" s="204" t="str">
        <f>AA7</f>
        <v>LEEG</v>
      </c>
      <c r="AD5" s="233" t="str">
        <f>IF(AC5="GOED",AA6,"FOUT")</f>
        <v>FOUT</v>
      </c>
      <c r="AE5" s="204">
        <f>LEN(AD5)</f>
        <v>4</v>
      </c>
      <c r="AF5" s="204"/>
      <c r="AG5" s="204"/>
      <c r="AH5" s="212"/>
      <c r="AI5" s="212"/>
      <c r="AJ5" s="606" t="s">
        <v>464</v>
      </c>
      <c r="AK5" s="211"/>
      <c r="AL5" s="212"/>
      <c r="AM5" s="212"/>
      <c r="AN5" s="212"/>
      <c r="AO5" s="212"/>
      <c r="AP5" s="213"/>
      <c r="AQ5" s="213"/>
      <c r="AR5" s="213"/>
      <c r="AS5" s="214"/>
      <c r="AT5" s="214"/>
      <c r="AU5" s="214"/>
      <c r="AV5" s="214"/>
      <c r="AW5" s="214"/>
      <c r="AX5" s="214"/>
      <c r="AY5" s="238"/>
      <c r="AZ5" s="493" t="s">
        <v>435</v>
      </c>
      <c r="BA5" s="92"/>
    </row>
    <row r="6" spans="1:59" ht="15" customHeight="1" x14ac:dyDescent="0.3">
      <c r="B6" s="79"/>
      <c r="C6" s="9"/>
      <c r="D6" s="1169" t="str">
        <f ca="1">Taal04!B14&amp;" :"</f>
        <v>Naam :</v>
      </c>
      <c r="E6" s="1169"/>
      <c r="F6" s="1170"/>
      <c r="G6" s="1170"/>
      <c r="H6" s="1170"/>
      <c r="I6" s="1170"/>
      <c r="J6" s="1170"/>
      <c r="K6" s="1170"/>
      <c r="L6" s="1170"/>
      <c r="M6" s="628"/>
      <c r="N6" s="1169" t="str">
        <f ca="1">Taal04!B15&amp;" :"</f>
        <v>E-mail :</v>
      </c>
      <c r="O6" s="1169"/>
      <c r="P6" s="1171"/>
      <c r="Q6" s="1172"/>
      <c r="R6" s="1172"/>
      <c r="S6" s="1172"/>
      <c r="T6" s="1172"/>
      <c r="U6" s="1172"/>
      <c r="V6" s="1172"/>
      <c r="W6" s="442"/>
      <c r="X6" s="79"/>
      <c r="Y6" s="204"/>
      <c r="Z6" s="205" t="s">
        <v>189</v>
      </c>
      <c r="AA6" s="1156" t="str">
        <f>"|"&amp;AA4&amp;AA5</f>
        <v>|0#</v>
      </c>
      <c r="AB6" s="1157"/>
      <c r="AC6" s="1157"/>
      <c r="AD6" s="1157"/>
      <c r="AE6" s="1158"/>
      <c r="AF6" s="204"/>
      <c r="AG6" s="204"/>
      <c r="AH6" s="212"/>
      <c r="AI6" s="212"/>
      <c r="AJ6" s="495"/>
      <c r="AK6" s="269"/>
      <c r="AL6" s="269"/>
      <c r="AM6" s="269"/>
      <c r="AN6" s="269"/>
      <c r="AO6" s="269"/>
      <c r="AP6" s="269"/>
      <c r="AQ6" s="269"/>
      <c r="AR6" s="269"/>
      <c r="AS6" s="269"/>
      <c r="AT6" s="269"/>
      <c r="AU6" s="269"/>
      <c r="AV6" s="269"/>
      <c r="AW6" s="269"/>
      <c r="AX6" s="238"/>
      <c r="AY6" s="238"/>
      <c r="AZ6" s="238" t="s">
        <v>436</v>
      </c>
      <c r="BA6" s="92"/>
    </row>
    <row r="7" spans="1:59" ht="15" customHeight="1" x14ac:dyDescent="0.3">
      <c r="B7" s="79"/>
      <c r="C7" s="20"/>
      <c r="D7" s="206"/>
      <c r="E7" s="206"/>
      <c r="F7" s="206"/>
      <c r="G7" s="206"/>
      <c r="H7" s="206"/>
      <c r="I7" s="206"/>
      <c r="J7" s="206"/>
      <c r="K7" s="206"/>
      <c r="L7" s="629" t="str">
        <f ca="1">SUBSTITUTE(Taal04!B16,"##","32")</f>
        <v>(maximaal 32 tekens)</v>
      </c>
      <c r="M7" s="418"/>
      <c r="N7" s="627"/>
      <c r="O7" s="639" t="str">
        <f>IF(AND(AD21=1,AA83="NEE"),"└ e-mailadres is optioneel","")</f>
        <v/>
      </c>
      <c r="P7" s="630"/>
      <c r="Q7" s="627"/>
      <c r="R7" s="627"/>
      <c r="S7" s="627"/>
      <c r="T7" s="627"/>
      <c r="U7" s="627"/>
      <c r="V7" s="629" t="str">
        <f ca="1">SUBSTITUTE(Taal04!B16,"##","64")</f>
        <v>(maximaal 64 tekens)</v>
      </c>
      <c r="W7" s="446"/>
      <c r="X7" s="79"/>
      <c r="Y7" s="3"/>
      <c r="Z7" s="205" t="s">
        <v>188</v>
      </c>
      <c r="AA7" s="3" t="str">
        <f>IF(ISBLANK(F6)=TRUE,"LEEG",IF(LEN(F6)&gt;32,"LANG","GOED"))</f>
        <v>LEEG</v>
      </c>
      <c r="AB7" s="3"/>
      <c r="AC7" s="3"/>
      <c r="AD7" s="3"/>
      <c r="AE7" s="204"/>
      <c r="AF7" s="204"/>
      <c r="AG7" s="204"/>
      <c r="AH7" s="212"/>
      <c r="AI7" s="212"/>
      <c r="AJ7" s="92"/>
      <c r="AK7" s="269"/>
      <c r="AL7" s="269"/>
      <c r="AM7" s="269"/>
      <c r="AN7" s="269"/>
      <c r="AO7" s="269"/>
      <c r="AP7" s="269"/>
      <c r="AQ7" s="269"/>
      <c r="AR7" s="269"/>
      <c r="AS7" s="269"/>
      <c r="AT7" s="269"/>
      <c r="AU7" s="269"/>
      <c r="AV7" s="269"/>
      <c r="AW7" s="269"/>
      <c r="AX7" s="238"/>
      <c r="AY7" s="238"/>
      <c r="AZ7" s="238" t="s">
        <v>437</v>
      </c>
      <c r="BA7" s="92"/>
    </row>
    <row r="8" spans="1:59" ht="15" customHeight="1" x14ac:dyDescent="0.3">
      <c r="B8" s="79"/>
      <c r="C8" s="79"/>
      <c r="D8" s="79"/>
      <c r="E8" s="79"/>
      <c r="F8" s="79"/>
      <c r="G8" s="79"/>
      <c r="H8" s="79"/>
      <c r="I8" s="79"/>
      <c r="J8" s="79"/>
      <c r="K8" s="79"/>
      <c r="L8" s="79"/>
      <c r="M8" s="79"/>
      <c r="N8" s="79"/>
      <c r="O8" s="79"/>
      <c r="P8" s="79"/>
      <c r="Q8" s="79"/>
      <c r="R8" s="79"/>
      <c r="S8" s="79"/>
      <c r="T8" s="79"/>
      <c r="U8" s="79"/>
      <c r="V8" s="79"/>
      <c r="W8" s="79"/>
      <c r="X8" s="79"/>
      <c r="Y8" s="3"/>
      <c r="Z8" s="205"/>
      <c r="AA8" s="3"/>
      <c r="AB8" s="3"/>
      <c r="AC8" s="3"/>
      <c r="AD8" s="3"/>
      <c r="AE8" s="204"/>
      <c r="AF8" s="204"/>
      <c r="AG8" s="204"/>
      <c r="AH8" s="212"/>
      <c r="AI8" s="212"/>
      <c r="AJ8" s="92"/>
      <c r="AK8" s="1146" t="s">
        <v>177</v>
      </c>
      <c r="AL8" s="1146" t="str">
        <f ca="1">AJ12</f>
        <v>Turkije</v>
      </c>
      <c r="AM8" s="1146" t="str">
        <f ca="1">AJ13</f>
        <v>Italië</v>
      </c>
      <c r="AN8" s="1146" t="str">
        <f ca="1">AJ14</f>
        <v>Wales</v>
      </c>
      <c r="AO8" s="1146" t="str">
        <f ca="1">AJ15</f>
        <v>Zwitserland</v>
      </c>
      <c r="AP8" s="1145" t="s">
        <v>99</v>
      </c>
      <c r="AQ8" s="1146" t="s">
        <v>176</v>
      </c>
      <c r="AR8" s="1146" t="s">
        <v>175</v>
      </c>
      <c r="AS8" s="1145" t="str">
        <f ca="1">"Gelijk met "&amp;AH12</f>
        <v>Gelijk met A1</v>
      </c>
      <c r="AT8" s="1145" t="str">
        <f ca="1">"Gelijk met "&amp;AH13</f>
        <v>Gelijk met A2</v>
      </c>
      <c r="AU8" s="1145" t="str">
        <f ca="1">"Gelijk met "&amp;AH14</f>
        <v>Gelijk met A3</v>
      </c>
      <c r="AV8" s="1145" t="str">
        <f ca="1">"Gelijk met "&amp;AH15</f>
        <v>Gelijk met A4</v>
      </c>
      <c r="AW8" s="1145" t="s">
        <v>99</v>
      </c>
      <c r="AX8" s="1145" t="s">
        <v>176</v>
      </c>
      <c r="AY8" s="1145" t="s">
        <v>175</v>
      </c>
      <c r="AZ8" s="1145" t="s">
        <v>233</v>
      </c>
      <c r="BA8" s="1145" t="s">
        <v>71</v>
      </c>
    </row>
    <row r="9" spans="1:59" ht="15" customHeight="1" x14ac:dyDescent="0.3">
      <c r="B9" s="79"/>
      <c r="C9" s="1017"/>
      <c r="D9" s="1028" t="str">
        <f ca="1">Taal04!B41</f>
        <v>Toelichting bij het Invullen</v>
      </c>
      <c r="E9" s="1018"/>
      <c r="F9" s="1018"/>
      <c r="G9" s="1018"/>
      <c r="H9" s="1018"/>
      <c r="I9" s="1018"/>
      <c r="J9" s="1018"/>
      <c r="K9" s="1018"/>
      <c r="L9" s="1018"/>
      <c r="M9" s="1018"/>
      <c r="N9" s="1018"/>
      <c r="O9" s="1018"/>
      <c r="P9" s="1018"/>
      <c r="Q9" s="1018"/>
      <c r="R9" s="1018"/>
      <c r="S9" s="1018"/>
      <c r="T9" s="1018"/>
      <c r="U9" s="1018"/>
      <c r="V9" s="1018"/>
      <c r="W9" s="1020"/>
      <c r="X9" s="79"/>
      <c r="Y9" s="1152" t="s">
        <v>186</v>
      </c>
      <c r="Z9" s="1152"/>
      <c r="AA9" s="1152"/>
      <c r="AB9" s="1152"/>
      <c r="AC9" s="1152"/>
      <c r="AD9" s="1152"/>
      <c r="AE9" s="2"/>
      <c r="AF9" s="1154" t="s">
        <v>185</v>
      </c>
      <c r="AG9" s="1154"/>
      <c r="AH9" s="212"/>
      <c r="AI9" s="212"/>
      <c r="AJ9" s="92"/>
      <c r="AK9" s="1146"/>
      <c r="AL9" s="1146"/>
      <c r="AM9" s="1146"/>
      <c r="AN9" s="1146"/>
      <c r="AO9" s="1146"/>
      <c r="AP9" s="1145"/>
      <c r="AQ9" s="1146"/>
      <c r="AR9" s="1146"/>
      <c r="AS9" s="1145"/>
      <c r="AT9" s="1145"/>
      <c r="AU9" s="1145"/>
      <c r="AV9" s="1145"/>
      <c r="AW9" s="1145"/>
      <c r="AX9" s="1145"/>
      <c r="AY9" s="1145"/>
      <c r="AZ9" s="1145"/>
      <c r="BA9" s="1145"/>
    </row>
    <row r="10" spans="1:59" ht="15" customHeight="1" x14ac:dyDescent="0.3">
      <c r="B10" s="79"/>
      <c r="C10" s="29"/>
      <c r="D10" s="57"/>
      <c r="E10" s="57"/>
      <c r="F10" s="57"/>
      <c r="G10" s="57"/>
      <c r="H10" s="57"/>
      <c r="I10" s="57"/>
      <c r="J10" s="57"/>
      <c r="K10" s="57"/>
      <c r="L10" s="57"/>
      <c r="M10" s="57"/>
      <c r="N10" s="57"/>
      <c r="O10" s="57"/>
      <c r="P10" s="57"/>
      <c r="Q10" s="57"/>
      <c r="R10" s="57"/>
      <c r="S10" s="57"/>
      <c r="T10" s="57"/>
      <c r="U10" s="57"/>
      <c r="V10" s="57"/>
      <c r="W10" s="30"/>
      <c r="X10" s="79"/>
      <c r="Y10" s="1153"/>
      <c r="Z10" s="1153"/>
      <c r="AA10" s="1153"/>
      <c r="AB10" s="1153"/>
      <c r="AC10" s="1153"/>
      <c r="AD10" s="1153"/>
      <c r="AE10" s="2"/>
      <c r="AF10" s="1154" t="s">
        <v>184</v>
      </c>
      <c r="AG10" s="1154"/>
      <c r="AH10" s="212"/>
      <c r="AI10" s="212"/>
      <c r="AJ10" s="195" t="str">
        <f ca="1">D23</f>
        <v>Groep A</v>
      </c>
      <c r="AK10" s="1146"/>
      <c r="AL10" s="1146"/>
      <c r="AM10" s="1146"/>
      <c r="AN10" s="1146"/>
      <c r="AO10" s="1146"/>
      <c r="AP10" s="1145"/>
      <c r="AQ10" s="1146"/>
      <c r="AR10" s="1146"/>
      <c r="AS10" s="1145"/>
      <c r="AT10" s="1145"/>
      <c r="AU10" s="1145"/>
      <c r="AV10" s="1145"/>
      <c r="AW10" s="1145"/>
      <c r="AX10" s="1145"/>
      <c r="AY10" s="1145"/>
      <c r="AZ10" s="1145"/>
      <c r="BA10" s="1145"/>
    </row>
    <row r="11" spans="1:59" ht="15" customHeight="1" x14ac:dyDescent="0.3">
      <c r="B11" s="79"/>
      <c r="C11" s="29"/>
      <c r="D11" s="1159" t="str">
        <f ca="1">Taal04!B42</f>
        <v>Het is niet mogelijk om uitslagen te voorspellen waarin één land meer dan 9 doelpunten maakt. Wanneer een land toch meer dan 9 doelpunten maakt tijdens één wedstrijd zal bij de uitslag 9 doelpunten genoteerd worden.</v>
      </c>
      <c r="E11" s="1159"/>
      <c r="F11" s="1159"/>
      <c r="G11" s="1159"/>
      <c r="H11" s="1159"/>
      <c r="I11" s="1159"/>
      <c r="J11" s="1159"/>
      <c r="K11" s="1159"/>
      <c r="L11" s="1159"/>
      <c r="M11" s="1159"/>
      <c r="N11" s="1159"/>
      <c r="O11" s="1159"/>
      <c r="P11" s="1159"/>
      <c r="Q11" s="1159"/>
      <c r="R11" s="1159"/>
      <c r="S11" s="1159"/>
      <c r="T11" s="1159"/>
      <c r="U11" s="1159"/>
      <c r="V11" s="1159"/>
      <c r="W11" s="30"/>
      <c r="X11" s="79"/>
      <c r="Y11" s="1160" t="str">
        <f ca="1">"|"&amp;AG11&amp;AG12&amp;AG13&amp;AG14&amp;AG15&amp;AG16&amp;AG17&amp;AG18&amp;AG19&amp;AG20&amp;AG21&amp;AG22&amp;AG23&amp;AG24&amp;AG25&amp;AG26&amp;AG27&amp;AG28&amp;AG29&amp;AG30&amp;AG31&amp;AG32&amp;AG33&amp;AG34&amp;AG35&amp;AG36&amp;AG37&amp;AG38&amp;AG39&amp;AG40&amp;AG41&amp;AG42&amp;AG43&amp;AG44&amp;AG45&amp;AG46&amp;IF($A$53="H","",AG47&amp;AG48&amp;AG49&amp;AG50&amp;AG51&amp;AG52&amp;AG53&amp;AG54&amp;AG55&amp;AG56&amp;AG57&amp;AG58)</f>
        <v>|FOUTFOUTFOUTFOUTFOUTFOUTFOUTFOUTFOUTFOUTFOUTFOUTFOUTFOUTFOUTFOUTFOUTFOUTFOUTFOUTFOUTFOUTFOUTFOUTFOUTFOUTFOUTFOUTFOUTFOUTFOUTFOUTFOUTFOUTFOUTFOUT</v>
      </c>
      <c r="Z11" s="1161"/>
      <c r="AA11" s="1161"/>
      <c r="AB11" s="1161"/>
      <c r="AC11" s="1161"/>
      <c r="AD11" s="1162"/>
      <c r="AE11" s="52"/>
      <c r="AF11" s="130" t="s">
        <v>262</v>
      </c>
      <c r="AG11" s="130" t="str">
        <f>IF(TYPE(VLOOKUP(AF11,$D$25:$D$60,1,FALSE)*1)=1,VLOOKUP(AF11,$D$25:$AA$60,24,FALSE),IF(TYPE(VLOOKUP(AF11,$N$25:$N$60,1,FALSE)*1)=1,VLOOKUP(AF11,$N$25:$AD$60,17,FALSE),"ERROR"))</f>
        <v>FOUT</v>
      </c>
      <c r="AH11" s="212"/>
      <c r="AI11" s="212"/>
      <c r="AJ11" s="194" t="s">
        <v>17</v>
      </c>
      <c r="AK11" s="1146"/>
      <c r="AL11" s="1146"/>
      <c r="AM11" s="1146"/>
      <c r="AN11" s="1146"/>
      <c r="AO11" s="1146"/>
      <c r="AP11" s="1145"/>
      <c r="AQ11" s="1146"/>
      <c r="AR11" s="1146"/>
      <c r="AS11" s="1145"/>
      <c r="AT11" s="1145"/>
      <c r="AU11" s="1145"/>
      <c r="AV11" s="1145"/>
      <c r="AW11" s="1145"/>
      <c r="AX11" s="1145"/>
      <c r="AY11" s="1145"/>
      <c r="AZ11" s="1145"/>
      <c r="BA11" s="1145"/>
    </row>
    <row r="12" spans="1:59" ht="15" customHeight="1" x14ac:dyDescent="0.3">
      <c r="B12" s="79"/>
      <c r="C12" s="29"/>
      <c r="D12" s="1159"/>
      <c r="E12" s="1159"/>
      <c r="F12" s="1159"/>
      <c r="G12" s="1159"/>
      <c r="H12" s="1159"/>
      <c r="I12" s="1159"/>
      <c r="J12" s="1159"/>
      <c r="K12" s="1159"/>
      <c r="L12" s="1159"/>
      <c r="M12" s="1159"/>
      <c r="N12" s="1159"/>
      <c r="O12" s="1159"/>
      <c r="P12" s="1159"/>
      <c r="Q12" s="1159"/>
      <c r="R12" s="1159"/>
      <c r="S12" s="1159"/>
      <c r="T12" s="1159"/>
      <c r="U12" s="1159"/>
      <c r="V12" s="1159"/>
      <c r="W12" s="30"/>
      <c r="X12" s="79"/>
      <c r="Y12" s="1163"/>
      <c r="Z12" s="1164"/>
      <c r="AA12" s="1164"/>
      <c r="AB12" s="1164"/>
      <c r="AC12" s="1164"/>
      <c r="AD12" s="1165"/>
      <c r="AE12" s="52"/>
      <c r="AF12" s="130" t="s">
        <v>263</v>
      </c>
      <c r="AG12" s="130" t="str">
        <f t="shared" ref="AG12:AG58" si="0">IF(TYPE(VLOOKUP(AF12,$D$25:$D$60,1,FALSE)*1)=1,VLOOKUP(AF12,$D$25:$AA$60,24,FALSE),IF(TYPE(VLOOKUP(AF12,$N$25:$N$60,1,FALSE)*1)=1,VLOOKUP(AF12,$N$25:$AD$60,17,FALSE),"ERROR"))</f>
        <v>FOUT</v>
      </c>
      <c r="AH12" s="216" t="str">
        <f ca="1">RIGHT(AJ10,1)&amp;1</f>
        <v>A1</v>
      </c>
      <c r="AI12" s="332">
        <f ca="1">$AU$83</f>
        <v>2</v>
      </c>
      <c r="AJ12" s="193" t="str">
        <f ca="1">VLOOKUP(AH12,Voorblad!$X$67:$Z$98,2,FALSE)</f>
        <v>Turkije</v>
      </c>
      <c r="AK12" s="192" t="str">
        <f ca="1">VLOOKUP(AH12,Voorblad!$X$67:$Z$98,3,FALSE)</f>
        <v>TR</v>
      </c>
      <c r="AL12" s="267">
        <v>0</v>
      </c>
      <c r="AM12" s="270">
        <f>IF(ISNUMBER(J25),J25,0)</f>
        <v>0</v>
      </c>
      <c r="AN12" s="270">
        <f>IF(ISNUMBER(J27),J27,0)</f>
        <v>0</v>
      </c>
      <c r="AO12" s="270">
        <f>IF(ISNUMBER(L29),L29,0)</f>
        <v>0</v>
      </c>
      <c r="AP12" s="188">
        <f>IF(AA25&lt;&gt;"FOUT",IF(AM12&gt;AL13,3,IF(AM12=AL13,1,0)),0)+IF(AA28&lt;&gt;"FOUT",IF(AN12&gt;AL14,3,IF(AN12=AL14,1,0)),0)+IF(AA30&lt;&gt;"FOUT",IF(AO12&gt;AL15,3,IF(AO12=AL15,1,0)),0)</f>
        <v>0</v>
      </c>
      <c r="AQ12" s="191">
        <f>SUM(AL12:AO12)</f>
        <v>0</v>
      </c>
      <c r="AR12" s="190">
        <f>SUM(AL12:AL15)</f>
        <v>0</v>
      </c>
      <c r="AS12" s="267">
        <v>0</v>
      </c>
      <c r="AT12" s="189">
        <f>IF($AP12=$AP13,AM12,0)</f>
        <v>0</v>
      </c>
      <c r="AU12" s="189">
        <f>IF($AP12=$AP14,AN12,0)</f>
        <v>0</v>
      </c>
      <c r="AV12" s="263">
        <f>IF($AP12=$AP15,AO12,0)</f>
        <v>0</v>
      </c>
      <c r="AW12" s="188">
        <f>IF(AT12&gt;AS13,3,IF(AT12=AS13,1,0))+IF(AU12&gt;AS14,3,IF(AU12=AS14,1,0))+IF(AV12&gt;AS15,3,IF(AV12=AS15,1,0))</f>
        <v>3</v>
      </c>
      <c r="AX12" s="191">
        <f>SUM(AS12:AV12)</f>
        <v>0</v>
      </c>
      <c r="AY12" s="270">
        <f>SUM(AS12:AS15)</f>
        <v>0</v>
      </c>
      <c r="AZ12" s="276">
        <f ca="1">AP12*10000000000000+AW12*100000000000+(500+AX12-AY12)*100000000+AX12*10000000+(500+AQ12-AR12)*1000+AQ12*10+AI12</f>
        <v>350000500002</v>
      </c>
      <c r="BA12" s="285">
        <f ca="1">RANK(AZ12,AZ12:AZ15)</f>
        <v>3</v>
      </c>
      <c r="BB12" s="494"/>
    </row>
    <row r="13" spans="1:59" ht="15" customHeight="1" x14ac:dyDescent="0.3">
      <c r="B13" s="79"/>
      <c r="C13" s="29"/>
      <c r="D13" s="50"/>
      <c r="E13" s="50"/>
      <c r="F13" s="50"/>
      <c r="G13" s="50"/>
      <c r="H13" s="50"/>
      <c r="I13" s="50"/>
      <c r="J13" s="50"/>
      <c r="K13" s="50"/>
      <c r="L13" s="50"/>
      <c r="M13" s="50"/>
      <c r="N13" s="50"/>
      <c r="O13" s="50"/>
      <c r="P13" s="50"/>
      <c r="Q13" s="50"/>
      <c r="R13" s="50"/>
      <c r="S13" s="50"/>
      <c r="T13" s="50"/>
      <c r="U13" s="50"/>
      <c r="V13" s="50"/>
      <c r="W13" s="30"/>
      <c r="X13" s="79"/>
      <c r="Y13" s="1166"/>
      <c r="Z13" s="1167"/>
      <c r="AA13" s="1167"/>
      <c r="AB13" s="1167"/>
      <c r="AC13" s="1167"/>
      <c r="AD13" s="1168"/>
      <c r="AE13" s="130"/>
      <c r="AF13" s="130" t="s">
        <v>264</v>
      </c>
      <c r="AG13" s="130" t="str">
        <f t="shared" ca="1" si="0"/>
        <v>FOUT</v>
      </c>
      <c r="AH13" s="216" t="str">
        <f ca="1">RIGHT(AJ10,1)&amp;2</f>
        <v>A2</v>
      </c>
      <c r="AI13" s="332">
        <f ca="1">$AV$83</f>
        <v>1</v>
      </c>
      <c r="AJ13" s="187" t="str">
        <f ca="1">VLOOKUP(AH13,Voorblad!$X$67:$Z$98,2,FALSE)</f>
        <v>Italië</v>
      </c>
      <c r="AK13" s="134" t="str">
        <f ca="1">VLOOKUP(AH13,Voorblad!$X$67:$Z$98,3,FALSE)</f>
        <v>IT</v>
      </c>
      <c r="AL13" s="271">
        <f>IF(ISNUMBER(L25),L25,0)</f>
        <v>0</v>
      </c>
      <c r="AM13" s="266">
        <v>0</v>
      </c>
      <c r="AN13" s="272">
        <f>IF(ISNUMBER(J30),J30,0)</f>
        <v>0</v>
      </c>
      <c r="AO13" s="272">
        <f>IF(ISNUMBER(J28),J28,0)</f>
        <v>0</v>
      </c>
      <c r="AP13" s="184">
        <f>IF(AA25&lt;&gt;"FOUT",IF(AL13&gt;AM12,3,IF(AL13=AM12,1,0)),0)+IF(AA29&lt;&gt;"FOUT",IF(AN13&gt;AM14,3,IF(AN13=AM14,1,0)),0)+IF(AA27&lt;&gt;"FOUT",IF(AO13&gt;AM15,3,IF(AO13=AM15,1,0)),0)</f>
        <v>0</v>
      </c>
      <c r="AQ13" s="186">
        <f>SUM(AL13:AO13)</f>
        <v>0</v>
      </c>
      <c r="AR13" s="185">
        <f>SUM(AM12:AM15)</f>
        <v>0</v>
      </c>
      <c r="AS13" s="134">
        <f>IF($AP13=$AP12,AL13,0)</f>
        <v>0</v>
      </c>
      <c r="AT13" s="266">
        <v>0</v>
      </c>
      <c r="AU13" s="177">
        <f>IF($AP13=$AP14,AN13,0)</f>
        <v>0</v>
      </c>
      <c r="AV13" s="264">
        <f>IF($AP13=$AP15,AO13,0)</f>
        <v>0</v>
      </c>
      <c r="AW13" s="184">
        <f>IF(AS13&gt;AT12,3,IF(AS13=AT12,1,0))+IF(AU13&gt;AT14,3,IF(AU13=AT14,1,0))+IF(AV13&gt;AT15,3,IF(AV13=AT15,1,0))</f>
        <v>3</v>
      </c>
      <c r="AX13" s="186">
        <f>SUM(AS13:AV13)</f>
        <v>0</v>
      </c>
      <c r="AY13" s="272">
        <f>SUM(AT12:AT15)</f>
        <v>0</v>
      </c>
      <c r="AZ13" s="277">
        <f ca="1">AP13*10000000000000+AW13*100000000000+(500+AX13-AY13)*100000000+AX13*10000000+(500+AQ13-AR13)*1000+AQ13*10+AI13</f>
        <v>350000500001</v>
      </c>
      <c r="BA13" s="286">
        <f ca="1">RANK(AZ13,AZ12:AZ15)</f>
        <v>4</v>
      </c>
      <c r="BB13" s="494"/>
    </row>
    <row r="14" spans="1:59" ht="15" customHeight="1" x14ac:dyDescent="0.3">
      <c r="B14" s="79"/>
      <c r="C14" s="29"/>
      <c r="D14" s="1150" t="str">
        <f ca="1">Taal04!B44</f>
        <v>De achtergrondkleur van de in te vullen velden geeft de status van het veld aan. Deze status correspondeert met de tabel hier rechts.</v>
      </c>
      <c r="E14" s="1150"/>
      <c r="F14" s="1150"/>
      <c r="G14" s="1150"/>
      <c r="H14" s="1150"/>
      <c r="I14" s="1150"/>
      <c r="J14" s="1150"/>
      <c r="K14" s="1150"/>
      <c r="L14" s="1150"/>
      <c r="M14" s="1150"/>
      <c r="N14" s="1150"/>
      <c r="O14" s="1150"/>
      <c r="P14" s="80"/>
      <c r="Q14" s="36"/>
      <c r="R14" s="35" t="s">
        <v>16</v>
      </c>
      <c r="S14" s="254" t="str">
        <f ca="1">Taal04!B45</f>
        <v>Goed ingevuld</v>
      </c>
      <c r="T14" s="254"/>
      <c r="U14" s="254"/>
      <c r="V14" s="254"/>
      <c r="W14" s="30"/>
      <c r="X14" s="79"/>
      <c r="Y14" s="317"/>
      <c r="Z14" s="317"/>
      <c r="AA14" s="317"/>
      <c r="AB14" s="318"/>
      <c r="AC14" s="319" t="s">
        <v>183</v>
      </c>
      <c r="AD14" s="320">
        <f ca="1">LEN(Y11)</f>
        <v>145</v>
      </c>
      <c r="AE14" s="130"/>
      <c r="AF14" s="130" t="s">
        <v>265</v>
      </c>
      <c r="AG14" s="130" t="str">
        <f t="shared" ca="1" si="0"/>
        <v>FOUT</v>
      </c>
      <c r="AH14" s="216" t="str">
        <f ca="1">RIGHT(AJ10,1)&amp;3</f>
        <v>A3</v>
      </c>
      <c r="AI14" s="332">
        <f ca="1">$AW$83</f>
        <v>3</v>
      </c>
      <c r="AJ14" s="187" t="str">
        <f ca="1">VLOOKUP(AH14,Voorblad!$X$67:$Z$98,2,FALSE)</f>
        <v>Wales</v>
      </c>
      <c r="AK14" s="134" t="str">
        <f ca="1">VLOOKUP(AH14,Voorblad!$X$67:$Z$98,3,FALSE)</f>
        <v>WA</v>
      </c>
      <c r="AL14" s="271">
        <f>IF(ISNUMBER(L27),L27,0)</f>
        <v>0</v>
      </c>
      <c r="AM14" s="272">
        <f>IF(ISNUMBER(L30),L30,0)</f>
        <v>0</v>
      </c>
      <c r="AN14" s="266">
        <v>0</v>
      </c>
      <c r="AO14" s="272">
        <f>IF(ISNUMBER(J26),J26,0)</f>
        <v>0</v>
      </c>
      <c r="AP14" s="184">
        <f>IF(AA28&lt;&gt;"FOUT",IF(AL14&gt;AN12,3,IF(AL14=AN12,1,0)),0)+IF(AA29&lt;&gt;"FOUT",IF(AM14&gt;AN13,3,IF(AM14=AN13,1,0)),0)+IF(AA26&lt;&gt;"FOUT",IF(AO14&gt;AN15,3,IF(AO14=AN15,1,0)),0)</f>
        <v>0</v>
      </c>
      <c r="AQ14" s="186">
        <f>SUM(AL14:AO14)</f>
        <v>0</v>
      </c>
      <c r="AR14" s="185">
        <f>SUM(AN12:AN15)</f>
        <v>0</v>
      </c>
      <c r="AS14" s="134">
        <f>IF($AP14=$AP12,AL14,0)</f>
        <v>0</v>
      </c>
      <c r="AT14" s="177">
        <f>IF($AP14=$AP13,AM14,0)</f>
        <v>0</v>
      </c>
      <c r="AU14" s="266">
        <v>0</v>
      </c>
      <c r="AV14" s="264">
        <f>IF($AP14=$AP15,AO14,0)</f>
        <v>0</v>
      </c>
      <c r="AW14" s="184">
        <f>IF(AS14&gt;AU12,3,IF(AS14=AU12,1,0))+IF(AT14&gt;AU13,3,IF(AT14=AU13,1,0))+IF(AV14&gt;AU15,3,IF(AV14=AU15,1,0))</f>
        <v>3</v>
      </c>
      <c r="AX14" s="186">
        <f>SUM(AS14:AV14)</f>
        <v>0</v>
      </c>
      <c r="AY14" s="272">
        <f>SUM(AU12:AU15)</f>
        <v>0</v>
      </c>
      <c r="AZ14" s="277">
        <f ca="1">AP14*10000000000000+AW14*100000000000+(500+AX14-AY14)*100000000+AX14*10000000+(500+AQ14-AR14)*1000+AQ14*10+AI14</f>
        <v>350000500003</v>
      </c>
      <c r="BA14" s="286">
        <f ca="1">RANK(AZ14,AZ12:AZ15)</f>
        <v>2</v>
      </c>
      <c r="BB14" s="494"/>
    </row>
    <row r="15" spans="1:59" ht="15" customHeight="1" x14ac:dyDescent="0.3">
      <c r="B15" s="79"/>
      <c r="C15" s="29"/>
      <c r="D15" s="1150"/>
      <c r="E15" s="1150"/>
      <c r="F15" s="1150"/>
      <c r="G15" s="1150"/>
      <c r="H15" s="1150"/>
      <c r="I15" s="1150"/>
      <c r="J15" s="1150"/>
      <c r="K15" s="1150"/>
      <c r="L15" s="1150"/>
      <c r="M15" s="1150"/>
      <c r="N15" s="1150"/>
      <c r="O15" s="1150"/>
      <c r="P15" s="80"/>
      <c r="Q15" s="37"/>
      <c r="R15" s="35" t="s">
        <v>16</v>
      </c>
      <c r="S15" s="1151" t="str">
        <f ca="1">Taal04!B46</f>
        <v>Niet ingevuld</v>
      </c>
      <c r="T15" s="1151"/>
      <c r="U15" s="1151"/>
      <c r="V15" s="1151"/>
      <c r="W15" s="30"/>
      <c r="X15" s="79"/>
      <c r="Y15" s="321"/>
      <c r="Z15" s="321"/>
      <c r="AA15" s="321"/>
      <c r="AB15" s="322"/>
      <c r="AC15" s="322"/>
      <c r="AD15" s="322"/>
      <c r="AE15" s="130"/>
      <c r="AF15" s="130" t="s">
        <v>267</v>
      </c>
      <c r="AG15" s="130" t="str">
        <f t="shared" ca="1" si="0"/>
        <v>FOUT</v>
      </c>
      <c r="AH15" s="216" t="str">
        <f ca="1">RIGHT(AJ10,1)&amp;4</f>
        <v>A4</v>
      </c>
      <c r="AI15" s="332">
        <f ca="1">$AX$83</f>
        <v>4</v>
      </c>
      <c r="AJ15" s="183" t="str">
        <f ca="1">VLOOKUP(AH15,Voorblad!$X$67:$Z$98,2,FALSE)</f>
        <v>Zwitserland</v>
      </c>
      <c r="AK15" s="182" t="str">
        <f ca="1">VLOOKUP(AH15,Voorblad!$X$67:$Z$98,3,FALSE)</f>
        <v>CH</v>
      </c>
      <c r="AL15" s="273">
        <f>IF(ISNUMBER(J29),J29,0)</f>
        <v>0</v>
      </c>
      <c r="AM15" s="274">
        <f>IF(ISNUMBER(L28),L28,0)</f>
        <v>0</v>
      </c>
      <c r="AN15" s="274">
        <f>IF(ISNUMBER(L26),L26,0)</f>
        <v>0</v>
      </c>
      <c r="AO15" s="275">
        <v>0</v>
      </c>
      <c r="AP15" s="178">
        <f>IF(AA30&lt;&gt;"FOUT",IF(AM15&gt;AO13,3,IF(AM15=AO13,1,0)),0)+IF(AA27&lt;&gt;"FOUT",IF(AN15&gt;AO14,3,IF(AN15=AO14,1,0)),0)+IF(AA26&lt;&gt;"FOUT",IF(AL15&gt;AO12,3,IF(AL15=AO12,1,0)),0)</f>
        <v>0</v>
      </c>
      <c r="AQ15" s="181">
        <f>SUM(AL15:AO15)</f>
        <v>0</v>
      </c>
      <c r="AR15" s="180">
        <f>SUM(AO12:AO15)</f>
        <v>0</v>
      </c>
      <c r="AS15" s="182">
        <f>IF($AP15=$AP12,AL15,0)</f>
        <v>0</v>
      </c>
      <c r="AT15" s="179">
        <f>IF($AP15=$AP13,AM15,0)</f>
        <v>0</v>
      </c>
      <c r="AU15" s="179">
        <f>IF($AP15=$AP14,AN15,0)</f>
        <v>0</v>
      </c>
      <c r="AV15" s="265">
        <v>0</v>
      </c>
      <c r="AW15" s="178">
        <f>IF(AS15&gt;AV12,3,IF(AS15=AV12,1,0))+IF(AT15&gt;AV13,3,IF(AT15=AV13,1,0))+IF(AU15&gt;AV14,3,IF(AU15=AV14,1,0))</f>
        <v>3</v>
      </c>
      <c r="AX15" s="181">
        <f>SUM(AS15:AV15)</f>
        <v>0</v>
      </c>
      <c r="AY15" s="274">
        <f>SUM(AV12:AV15)</f>
        <v>0</v>
      </c>
      <c r="AZ15" s="278">
        <f ca="1">AP15*10000000000000+AW15*100000000000+(500+AX15-AY15)*100000000+AX15*10000000+(500+AQ15-AR15)*1000+AQ15*10+AI15</f>
        <v>350000500004</v>
      </c>
      <c r="BA15" s="287">
        <f ca="1">RANK(AZ15,AZ12:AZ15)</f>
        <v>1</v>
      </c>
      <c r="BB15" s="494"/>
    </row>
    <row r="16" spans="1:59" ht="15" customHeight="1" x14ac:dyDescent="0.3">
      <c r="B16" s="79"/>
      <c r="C16" s="29"/>
      <c r="D16" s="1150"/>
      <c r="E16" s="1150"/>
      <c r="F16" s="1150"/>
      <c r="G16" s="1150"/>
      <c r="H16" s="1150"/>
      <c r="I16" s="1150"/>
      <c r="J16" s="1150"/>
      <c r="K16" s="1150"/>
      <c r="L16" s="1150"/>
      <c r="M16" s="1150"/>
      <c r="N16" s="1150"/>
      <c r="O16" s="1150"/>
      <c r="P16" s="57"/>
      <c r="Q16" s="38"/>
      <c r="R16" s="35" t="s">
        <v>16</v>
      </c>
      <c r="S16" s="1151" t="str">
        <f ca="1">Taal04!B47</f>
        <v>Fout ingevuld</v>
      </c>
      <c r="T16" s="1151"/>
      <c r="U16" s="1151"/>
      <c r="V16" s="1151"/>
      <c r="W16" s="30"/>
      <c r="X16" s="79"/>
      <c r="Y16" s="321"/>
      <c r="Z16" s="321"/>
      <c r="AA16" s="321"/>
      <c r="AB16" s="321"/>
      <c r="AC16" s="323" t="s">
        <v>271</v>
      </c>
      <c r="AD16" s="324" t="str">
        <f ca="1">IF(LEN(SUBSTITUTE(Y11,"FOUT","ONGELDIG"))=AD14,"GOED","FOUT")</f>
        <v>FOUT</v>
      </c>
      <c r="AE16" s="52"/>
      <c r="AF16" s="52" t="s">
        <v>268</v>
      </c>
      <c r="AG16" s="130" t="str">
        <f ca="1">IF(TYPE(VLOOKUP(AF16,$D$25:$D$60,1,FALSE)*1)=1,VLOOKUP(AF16,$D$25:$AA$60,24,FALSE),IF(TYPE(VLOOKUP(AF16,$N$25:$N$60,1,FALSE)*1)=1,VLOOKUP(AF16,$N$25:$AD$60,17,FALSE),"ERROR"))</f>
        <v>FOUT</v>
      </c>
      <c r="AH16" s="197"/>
      <c r="AI16" s="197"/>
      <c r="AJ16" s="92" t="s">
        <v>232</v>
      </c>
      <c r="AK16" s="92" t="str">
        <f>IF(COUNTIF(Y25:Z30,"GOED")=12,"JA","NEE")</f>
        <v>NEE</v>
      </c>
      <c r="AL16" s="91"/>
      <c r="AM16" s="91"/>
      <c r="AN16" s="91"/>
      <c r="AO16" s="91"/>
      <c r="AP16" s="91"/>
      <c r="AQ16" s="91"/>
      <c r="AR16" s="91"/>
      <c r="AS16" s="238"/>
      <c r="AT16" s="238"/>
      <c r="AU16" s="238"/>
      <c r="AV16" s="238"/>
      <c r="AW16" s="238"/>
      <c r="AX16" s="238"/>
      <c r="AY16" s="238"/>
      <c r="AZ16" s="238"/>
      <c r="BA16" s="92"/>
    </row>
    <row r="17" spans="1:53" ht="15" customHeight="1" x14ac:dyDescent="0.3">
      <c r="B17" s="79"/>
      <c r="C17" s="39"/>
      <c r="D17" s="75"/>
      <c r="E17" s="75"/>
      <c r="F17" s="75"/>
      <c r="G17" s="75"/>
      <c r="H17" s="75"/>
      <c r="I17" s="75"/>
      <c r="J17" s="75"/>
      <c r="K17" s="75"/>
      <c r="L17" s="75"/>
      <c r="M17" s="75"/>
      <c r="N17" s="75"/>
      <c r="O17" s="75"/>
      <c r="P17" s="75"/>
      <c r="Q17" s="75"/>
      <c r="R17" s="75"/>
      <c r="S17" s="75"/>
      <c r="T17" s="75"/>
      <c r="U17" s="75"/>
      <c r="V17" s="75"/>
      <c r="W17" s="40"/>
      <c r="X17" s="79"/>
      <c r="Y17" s="1144" t="s">
        <v>316</v>
      </c>
      <c r="Z17" s="1144"/>
      <c r="AA17" s="1144"/>
      <c r="AB17" s="1144"/>
      <c r="AC17" s="1144"/>
      <c r="AD17" s="1144"/>
      <c r="AE17" s="130"/>
      <c r="AF17" s="130" t="s">
        <v>266</v>
      </c>
      <c r="AG17" s="130" t="str">
        <f ca="1">IF(TYPE(VLOOKUP(AF17,$D$25:$D$60,1,FALSE)*1)=1,VLOOKUP(AF17,$D$25:$AA$60,24,FALSE),IF(TYPE(VLOOKUP(AF17,$N$25:$N$60,1,FALSE)*1)=1,VLOOKUP(AF17,$N$25:$AD$60,17,FALSE),"ERROR"))</f>
        <v>FOUT</v>
      </c>
      <c r="AH17" s="1147"/>
      <c r="AI17" s="1147"/>
      <c r="AJ17" s="92"/>
      <c r="AK17" s="1146" t="s">
        <v>177</v>
      </c>
      <c r="AL17" s="1146" t="str">
        <f ca="1">AJ21</f>
        <v>Denemarken</v>
      </c>
      <c r="AM17" s="1146" t="str">
        <f ca="1">AJ22</f>
        <v>Finland</v>
      </c>
      <c r="AN17" s="1146" t="str">
        <f ca="1">AJ23</f>
        <v>België</v>
      </c>
      <c r="AO17" s="1146" t="str">
        <f ca="1">AJ24</f>
        <v>Rusland</v>
      </c>
      <c r="AP17" s="1146" t="s">
        <v>99</v>
      </c>
      <c r="AQ17" s="1146" t="s">
        <v>176</v>
      </c>
      <c r="AR17" s="1146" t="s">
        <v>175</v>
      </c>
      <c r="AS17" s="1146" t="str">
        <f ca="1">"Gelijk met "&amp;AH21</f>
        <v>Gelijk met B1</v>
      </c>
      <c r="AT17" s="1146" t="str">
        <f ca="1">"Gelijk met "&amp;AH22</f>
        <v>Gelijk met B2</v>
      </c>
      <c r="AU17" s="1146" t="str">
        <f ca="1">"Gelijk met "&amp;AH23</f>
        <v>Gelijk met B3</v>
      </c>
      <c r="AV17" s="1146" t="str">
        <f ca="1">"Gelijk met "&amp;AH24</f>
        <v>Gelijk met B4</v>
      </c>
      <c r="AW17" s="1146" t="s">
        <v>99</v>
      </c>
      <c r="AX17" s="1146" t="s">
        <v>176</v>
      </c>
      <c r="AY17" s="1146" t="s">
        <v>175</v>
      </c>
      <c r="AZ17" s="1146" t="s">
        <v>233</v>
      </c>
      <c r="BA17" s="1146" t="s">
        <v>71</v>
      </c>
    </row>
    <row r="18" spans="1:53" ht="15" customHeight="1" x14ac:dyDescent="0.3">
      <c r="B18" s="79"/>
      <c r="C18" s="463"/>
      <c r="D18" s="463"/>
      <c r="E18" s="463"/>
      <c r="F18" s="463"/>
      <c r="G18" s="463"/>
      <c r="H18" s="463"/>
      <c r="I18" s="463"/>
      <c r="J18" s="463"/>
      <c r="K18" s="463"/>
      <c r="L18" s="463"/>
      <c r="M18" s="463"/>
      <c r="N18" s="79"/>
      <c r="O18" s="79"/>
      <c r="P18" s="79"/>
      <c r="Q18" s="79"/>
      <c r="R18" s="79"/>
      <c r="S18" s="79"/>
      <c r="T18" s="79"/>
      <c r="U18" s="79"/>
      <c r="V18" s="79"/>
      <c r="W18" s="79"/>
      <c r="X18" s="79"/>
      <c r="Y18" s="359"/>
      <c r="Z18" s="360" t="s">
        <v>317</v>
      </c>
      <c r="AA18" s="360" t="s">
        <v>318</v>
      </c>
      <c r="AB18" s="360" t="s">
        <v>319</v>
      </c>
      <c r="AC18" s="542" t="s">
        <v>320</v>
      </c>
      <c r="AD18" s="360" t="s">
        <v>315</v>
      </c>
      <c r="AE18" s="52"/>
      <c r="AF18" s="52" t="s">
        <v>269</v>
      </c>
      <c r="AG18" s="130" t="str">
        <f ca="1">IF(TYPE(VLOOKUP(AF18,$D$25:$D$60,1,FALSE)*1)=1,VLOOKUP(AF18,$D$25:$AA$60,24,FALSE),IF(TYPE(VLOOKUP(AF18,$N$25:$N$60,1,FALSE)*1)=1,VLOOKUP(AF18,$N$25:$AD$60,17,FALSE),"ERROR"))</f>
        <v>FOUT</v>
      </c>
      <c r="AH18" s="1147"/>
      <c r="AI18" s="1147"/>
      <c r="AJ18" s="92"/>
      <c r="AK18" s="1146"/>
      <c r="AL18" s="1146"/>
      <c r="AM18" s="1146"/>
      <c r="AN18" s="1146"/>
      <c r="AO18" s="1146"/>
      <c r="AP18" s="1146"/>
      <c r="AQ18" s="1146"/>
      <c r="AR18" s="1146"/>
      <c r="AS18" s="1146"/>
      <c r="AT18" s="1146"/>
      <c r="AU18" s="1146"/>
      <c r="AV18" s="1146"/>
      <c r="AW18" s="1146"/>
      <c r="AX18" s="1146"/>
      <c r="AY18" s="1146"/>
      <c r="AZ18" s="1146"/>
      <c r="BA18" s="1146"/>
    </row>
    <row r="19" spans="1:53" ht="15" customHeight="1" x14ac:dyDescent="0.3">
      <c r="B19" s="79"/>
      <c r="C19" s="1017"/>
      <c r="D19" s="1028" t="str">
        <f ca="1">Taal04!$B$49</f>
        <v>De Groepswedstrijden - Groep A t/m F</v>
      </c>
      <c r="E19" s="1018"/>
      <c r="F19" s="1018"/>
      <c r="G19" s="1018"/>
      <c r="H19" s="1018"/>
      <c r="I19" s="1018"/>
      <c r="J19" s="1018"/>
      <c r="K19" s="1018"/>
      <c r="L19" s="1018"/>
      <c r="M19" s="1018"/>
      <c r="N19" s="1018"/>
      <c r="O19" s="1018"/>
      <c r="P19" s="1018"/>
      <c r="Q19" s="1018"/>
      <c r="R19" s="1018"/>
      <c r="S19" s="1018"/>
      <c r="T19" s="1018"/>
      <c r="U19" s="1018"/>
      <c r="V19" s="1018"/>
      <c r="W19" s="1020"/>
      <c r="X19" s="79"/>
      <c r="Y19" s="360" t="s">
        <v>463</v>
      </c>
      <c r="Z19" s="361">
        <f>IF(LEN(AA25)=3,IF(J25=L25,0,1),0)+IF(LEN(AA26)=3,IF(J26=L26,0,1),0)+IF(LEN(AA27)=3,IF(J27=L27,0,1),0)+IF(LEN(AA28)=3,IF(J28=L28,0,1),0)+IF(LEN(AA29)=3,IF(J29=L29,0,1),0)+IF(LEN(AA30)=3,IF(J30=L30,0,1),0)+IF(LEN(AD25)=3,IF(T25=V25,0,1),0)+IF(LEN(AD26)=3,IF(T26=V26,0,1),0)+IF(LEN(AD27)=3,IF(T27=V27,0,1),0)+IF(LEN(AD28)=3,IF(T28=V28,0,1),0)+IF(LEN(AD29)=3,IF(T29=V29,0,1),0)+IF(LEN(AD30)=3,IF(T30=V30,0,1),0)</f>
        <v>0</v>
      </c>
      <c r="AA19" s="361">
        <f>IF(LEN(AA35)=3,IF(J35=L35,0,1),0)+IF(LEN(AA36)=3,IF(J36=L36,0,1),0)+IF(LEN(AA38)=3,IF(J38=L38,0,1),0)+IF(LEN(AA37)=3,IF(J37=L37,0,1),0)+IF(LEN(AA39)=3,IF(J39=L39,0,1),0)+IF(LEN(AA40)=3,IF(J40=L40,0,1),0)+IF(LEN(AD35)=3,IF(T35=V35,0,1),0)+IF(LEN(AD36)=3,IF(T36=V36,0,1),0)+IF(LEN(AD37)=3,IF(T37=V37,0,1),0)+IF(LEN(AD38)=3,IF(T38=V38,0,1),0)+IF(LEN(AD39)=3,IF(T39=V39,0,1),0)+IF(LEN(AD40)=3,IF(T40=V40,0,1),0)</f>
        <v>0</v>
      </c>
      <c r="AB19" s="361">
        <f>IF(LEN(AA45)=3,IF(J45=L45,0,1),0)+IF(LEN(AA46)=3,IF(J46=L46,0,1),0)+IF(LEN(AA47)=3,IF(J47=L47,0,1),0)+IF(LEN(AA48)=3,IF(J48=L48,0,1),0)+IF(LEN(AA49)=3,IF(J49=L49,0,1),0)+IF(LEN(AA50)=3,IF(J50=L50,0,1),0)+IF(LEN(AD45)=3,IF(T45=V45,0,1),0)+IF(LEN(AD46)=3,IF(T46=V46,0,1),0)+IF(LEN(AD48)=3,IF(T48=V48,0,1),0)+IF(LEN(AD47)=3,IF(T47=V47,0,1),0)+IF(LEN(AD49)=3,IF(T49=V49,0,1),0)+IF(LEN(AD50)=3,IF(T50=V50,0,1),0)</f>
        <v>0</v>
      </c>
      <c r="AC19" s="361">
        <f>IF(LEN(AA55)=3,IF(J55=L55,0,1),0)+IF(LEN(AA56)=3,IF(J56=L56,0,1),0)+IF(LEN(AA57)=3,IF(J57=L57,0,1),0)+IF(LEN(AA58)=3,IF(J58=L58,0,1),0)+IF(LEN(AA59)=3,IF(J59=L59,0,1),0)+IF(LEN(AA60)=3,IF(J60=L60,0,1),0)+IF(LEN(AD56)=3,IF(T56=V56,0,1),0)+IF(LEN(AD55)=3,IF(T55=V55,0,1),0)+IF(LEN(AD58)=3,IF(T58=V58,0,1),0)+IF(LEN(AD57)=3,IF(T57=V57,0,1),0)+IF(LEN(AD59)=3,IF(T59=V59,0,1),0)+IF(LEN(AD60)=3,IF(T60=V60,0,1),0)</f>
        <v>0</v>
      </c>
      <c r="AD19" s="542">
        <f>SUM(Z19:AB19)+IF($A$53="H",0,AC19)</f>
        <v>0</v>
      </c>
      <c r="AE19" s="52"/>
      <c r="AF19" s="130">
        <v>10</v>
      </c>
      <c r="AG19" s="130" t="str">
        <f t="shared" ca="1" si="0"/>
        <v>FOUT</v>
      </c>
      <c r="AH19" s="1147"/>
      <c r="AI19" s="1147"/>
      <c r="AJ19" s="195" t="str">
        <f ca="1">N23</f>
        <v>Groep B</v>
      </c>
      <c r="AK19" s="1146"/>
      <c r="AL19" s="1146"/>
      <c r="AM19" s="1146"/>
      <c r="AN19" s="1146"/>
      <c r="AO19" s="1146"/>
      <c r="AP19" s="1146"/>
      <c r="AQ19" s="1146"/>
      <c r="AR19" s="1146"/>
      <c r="AS19" s="1146"/>
      <c r="AT19" s="1146"/>
      <c r="AU19" s="1146"/>
      <c r="AV19" s="1146"/>
      <c r="AW19" s="1146"/>
      <c r="AX19" s="1146"/>
      <c r="AY19" s="1146"/>
      <c r="AZ19" s="1146"/>
      <c r="BA19" s="1146"/>
    </row>
    <row r="20" spans="1:53" ht="15" customHeight="1" x14ac:dyDescent="0.3">
      <c r="B20" s="79"/>
      <c r="C20" s="7"/>
      <c r="D20" s="409"/>
      <c r="E20" s="71"/>
      <c r="F20" s="71"/>
      <c r="G20" s="71"/>
      <c r="H20" s="71"/>
      <c r="I20" s="71"/>
      <c r="J20" s="71"/>
      <c r="K20" s="71"/>
      <c r="L20" s="71"/>
      <c r="M20" s="71"/>
      <c r="N20" s="71"/>
      <c r="O20" s="71"/>
      <c r="P20" s="71"/>
      <c r="Q20" s="71"/>
      <c r="R20" s="71"/>
      <c r="S20" s="71"/>
      <c r="T20" s="71"/>
      <c r="U20" s="71"/>
      <c r="V20" s="71"/>
      <c r="W20" s="8"/>
      <c r="X20" s="79"/>
      <c r="Y20" s="360" t="s">
        <v>462</v>
      </c>
      <c r="Z20" s="361">
        <f>IF(LEN(AA25)=3,IF(J25=L25,1,0),0)+IF(LEN(AA26)=3,IF(J26=L26,1,0),0)+IF(LEN(AA27)=3,IF(J27=L27,1,0),0)+IF(LEN(AA28)=3,IF(J28=L28,1,0),0)+IF(LEN(AA29)=3,IF(J29=L29,1,0),0)+IF(LEN(AA30)=3,IF(J30=L30,1,0),0)+IF(LEN(AD25)=3,IF(T25=V25,1,0),0)+IF(LEN(AD26)=3,IF(T26=V26,1,0),0)+IF(LEN(AD27)=3,IF(T27=V27,1,0),0)+IF(LEN(AD28)=3,IF(T28=V28,1,0),0)+IF(LEN(AD29)=3,IF(T29=V29,1,0),0)+IF(LEN(AD30)=3,IF(T30=V30,1,0),0)</f>
        <v>0</v>
      </c>
      <c r="AA20" s="361">
        <f>IF(LEN(AA35)=3,IF(J35=L35,1,0),0)+IF(LEN(AA36)=3,IF(J36=L36,1,0),0)+IF(LEN(AA38)=3,IF(J38=L38,1,0),0)+IF(LEN(AA37)=3,IF(J37=L37,1,0),0)+IF(LEN(AA39)=3,IF(J39=L39,1,0),0)+IF(LEN(AA40)=3,IF(J40=L40,1,0),0)+IF(LEN(AD35)=3,IF(T35=V35,1,0),0)+IF(LEN(AD36)=3,IF(T36=V36,1,0),0)+IF(LEN(AD37)=3,IF(T37=V37,1,0),0)+IF(LEN(AD38)=3,IF(T38=V38,1,0),0)+IF(LEN(AD39)=3,IF(T39=V39,1,0),0)+IF(LEN(AD40)=3,IF(T40=V40,1,0),0)</f>
        <v>0</v>
      </c>
      <c r="AB20" s="361">
        <f>IF(LEN(AA45)=3,IF(J45=L45,1,0),0)+IF(LEN(AA46)=3,IF(J46=L46,1,0),0)+IF(LEN(AA47)=3,IF(J47=L47,1,0),0)+IF(LEN(AA48)=3,IF(J48=L48,1,0),0)+IF(LEN(AA49)=3,IF(J49=L49,1,0),0)+IF(LEN(AA50)=3,IF(J50=L50,1,0),0)+IF(LEN(AD45)=3,IF(T45=V45,1,0),0)+IF(LEN(AD46)=3,IF(T46=V46,1,0),0)+IF(LEN(AD48)=3,IF(T48=V48,1,0),0)+IF(LEN(AD47)=3,IF(T47=V47,1,0),0)+IF(LEN(AD49)=3,IF(T49=V49,1,0),0)+IF(LEN(AD50)=3,IF(T50=V50,1,0),0)</f>
        <v>0</v>
      </c>
      <c r="AC20" s="361">
        <f>IF(LEN(AA55)=3,IF(J55=L55,1,0),0)+IF(LEN(AA56)=3,IF(J56=L56,1,0),0)+IF(LEN(AA57)=3,IF(J57=L57,1,0),0)+IF(LEN(AA58)=3,IF(J58=L58,1,0),0)+IF(LEN(AA59)=3,IF(J59=L59,1,0),0)+IF(LEN(AA60)=3,IF(J60=L60,1,0),0)+IF(LEN(AD56)=3,IF(T56=V56,1,0),0)+IF(LEN(AD55)=3,IF(T55=V55,1,0),0)+IF(LEN(AD58)=3,IF(T58=V58,1,0),0)+IF(LEN(AD57)=3,IF(T57=V57,1,0),0)+IF(LEN(AD59)=3,IF(T59=V59,1,0),0)+IF(LEN(AD60)=3,IF(T60=V60,1,0),0)</f>
        <v>0</v>
      </c>
      <c r="AD20" s="542">
        <f>SUM(Z20:AB20)+IF($A$53="H",0,AC20)</f>
        <v>0</v>
      </c>
      <c r="AE20" s="52"/>
      <c r="AF20" s="130" t="s">
        <v>270</v>
      </c>
      <c r="AG20" s="130" t="str">
        <f t="shared" ca="1" si="0"/>
        <v>FOUT</v>
      </c>
      <c r="AH20" s="1147"/>
      <c r="AI20" s="1147"/>
      <c r="AJ20" s="194" t="s">
        <v>17</v>
      </c>
      <c r="AK20" s="1146"/>
      <c r="AL20" s="1146"/>
      <c r="AM20" s="1146"/>
      <c r="AN20" s="1146"/>
      <c r="AO20" s="1146"/>
      <c r="AP20" s="1146"/>
      <c r="AQ20" s="1146"/>
      <c r="AR20" s="1146"/>
      <c r="AS20" s="1146"/>
      <c r="AT20" s="1146"/>
      <c r="AU20" s="1146"/>
      <c r="AV20" s="1146"/>
      <c r="AW20" s="1146"/>
      <c r="AX20" s="1146"/>
      <c r="AY20" s="1146"/>
      <c r="AZ20" s="1146"/>
      <c r="BA20" s="1146"/>
    </row>
    <row r="21" spans="1:53" s="209" customFormat="1" ht="15" customHeight="1" x14ac:dyDescent="0.5">
      <c r="A21" s="411"/>
      <c r="B21" s="410"/>
      <c r="C21" s="415"/>
      <c r="D21" s="423" t="str">
        <f ca="1">IF($AD$21=1,Taal04!$B$50,Voorblad!C15)</f>
        <v>Voorspel de uitslag van de groepswedstrijden en vul deze in op dit blad.</v>
      </c>
      <c r="E21" s="417"/>
      <c r="F21" s="417"/>
      <c r="G21" s="417"/>
      <c r="H21" s="417"/>
      <c r="I21" s="417"/>
      <c r="J21" s="417"/>
      <c r="K21" s="417"/>
      <c r="L21" s="417"/>
      <c r="M21" s="417"/>
      <c r="N21" s="417"/>
      <c r="O21" s="417"/>
      <c r="P21" s="417"/>
      <c r="Q21" s="417"/>
      <c r="R21" s="417"/>
      <c r="S21" s="417"/>
      <c r="T21" s="417"/>
      <c r="U21" s="417"/>
      <c r="V21" s="417"/>
      <c r="W21" s="416"/>
      <c r="X21" s="410"/>
      <c r="Y21" s="422"/>
      <c r="Z21" s="422"/>
      <c r="AA21" s="422"/>
      <c r="AB21" s="422"/>
      <c r="AC21" s="424" t="s">
        <v>301</v>
      </c>
      <c r="AD21" s="420">
        <f>Reglement!Q81</f>
        <v>1</v>
      </c>
      <c r="AE21" s="52"/>
      <c r="AF21" s="130">
        <v>11</v>
      </c>
      <c r="AG21" s="130" t="str">
        <f t="shared" ca="1" si="0"/>
        <v>FOUT</v>
      </c>
      <c r="AH21" s="216" t="str">
        <f ca="1">RIGHT(AJ19,1)&amp;1</f>
        <v>B1</v>
      </c>
      <c r="AI21" s="332">
        <f ca="1">$AU$84</f>
        <v>2</v>
      </c>
      <c r="AJ21" s="193" t="str">
        <f ca="1">VLOOKUP(AH21,Voorblad!$X$67:$Z$98,2,FALSE)</f>
        <v>Denemarken</v>
      </c>
      <c r="AK21" s="192" t="str">
        <f ca="1">VLOOKUP(AH21,Voorblad!$X$67:$Z$98,3,FALSE)</f>
        <v>DK</v>
      </c>
      <c r="AL21" s="267">
        <v>0</v>
      </c>
      <c r="AM21" s="270">
        <f>IF(ISNUMBER(T25),T25,0)</f>
        <v>0</v>
      </c>
      <c r="AN21" s="270">
        <f>IF(ISNUMBER(T28),T28,0)</f>
        <v>0</v>
      </c>
      <c r="AO21" s="270">
        <f>IF(ISNUMBER(V29),V29,0)</f>
        <v>0</v>
      </c>
      <c r="AP21" s="188">
        <f>IF(AD26&lt;&gt;"FOUT",IF(AM21&gt;AL22,3,IF(AM21=AL22,1,0)),0)+IF(AD28&lt;&gt;"FOUT",IF(AN21&gt;AL23,3,IF(AN21=AL23,1,0)),0)+IF(AD30&lt;&gt;"FOUT",IF(AO21&gt;AL24,3,IF(AO21=AL24,1,0)),0)</f>
        <v>0</v>
      </c>
      <c r="AQ21" s="191">
        <f>SUM(AL21:AO21)</f>
        <v>0</v>
      </c>
      <c r="AR21" s="190">
        <f>SUM(AL21:AL24)</f>
        <v>0</v>
      </c>
      <c r="AS21" s="267">
        <v>0</v>
      </c>
      <c r="AT21" s="189">
        <f>IF($AP21=$AP22,AM21,0)</f>
        <v>0</v>
      </c>
      <c r="AU21" s="189">
        <f>IF($AP21=$AP23,AN21,0)</f>
        <v>0</v>
      </c>
      <c r="AV21" s="263">
        <f>IF($AP21=$AP24,AO21,0)</f>
        <v>0</v>
      </c>
      <c r="AW21" s="188">
        <f>IF(AT21&gt;AS22,3,IF(AT21=AS22,1,0))+IF(AU21&gt;AS23,3,IF(AU21=AS23,1,0))+IF(AV21&gt;AS24,3,IF(AV21=AS24,1,0))</f>
        <v>3</v>
      </c>
      <c r="AX21" s="191">
        <f>SUM(AS21:AV21)</f>
        <v>0</v>
      </c>
      <c r="AY21" s="190">
        <f>SUM(AS21:AS24)</f>
        <v>0</v>
      </c>
      <c r="AZ21" s="276">
        <f ca="1">AP21*10000000000000+AW21*100000000000+(500+AX21-AY21)*100000000+AX21*10000000+(500+AQ21-AR21)*1000+AQ21*10+AI21</f>
        <v>350000500002</v>
      </c>
      <c r="BA21" s="279">
        <f ca="1">RANK(AZ21,AZ21:AZ24)</f>
        <v>3</v>
      </c>
    </row>
    <row r="22" spans="1:53" s="209" customFormat="1" ht="15" customHeight="1" x14ac:dyDescent="0.3">
      <c r="B22" s="79"/>
      <c r="C22" s="9"/>
      <c r="D22" s="255"/>
      <c r="E22" s="72"/>
      <c r="F22" s="72"/>
      <c r="G22" s="72"/>
      <c r="H22" s="72"/>
      <c r="I22" s="72"/>
      <c r="J22" s="72"/>
      <c r="K22" s="72"/>
      <c r="L22" s="72"/>
      <c r="M22" s="72"/>
      <c r="N22" s="72"/>
      <c r="O22" s="72"/>
      <c r="P22" s="72"/>
      <c r="Q22" s="72"/>
      <c r="R22" s="72"/>
      <c r="S22" s="72"/>
      <c r="T22" s="72"/>
      <c r="U22" s="72"/>
      <c r="V22" s="215" t="str">
        <f ca="1">Taal04!$B$25</f>
        <v>Alle tijden zijn Midden-Europese Tijd (UCT+1)</v>
      </c>
      <c r="W22" s="11"/>
      <c r="X22" s="79"/>
      <c r="Y22" s="6"/>
      <c r="Z22" s="6"/>
      <c r="AA22" s="201"/>
      <c r="AB22" s="6"/>
      <c r="AC22" s="6"/>
      <c r="AD22" s="201"/>
      <c r="AE22" s="52"/>
      <c r="AF22" s="316">
        <v>12</v>
      </c>
      <c r="AG22" s="130" t="str">
        <f t="shared" ca="1" si="0"/>
        <v>FOUT</v>
      </c>
      <c r="AH22" s="216" t="str">
        <f ca="1">RIGHT(AJ19,1)&amp;2</f>
        <v>B2</v>
      </c>
      <c r="AI22" s="332">
        <f ca="1">$AV$84</f>
        <v>3</v>
      </c>
      <c r="AJ22" s="187" t="str">
        <f ca="1">VLOOKUP(AH22,Voorblad!$X$67:$Z$98,2,FALSE)</f>
        <v>Finland</v>
      </c>
      <c r="AK22" s="134" t="str">
        <f ca="1">VLOOKUP(AH22,Voorblad!$X$67:$Z$98,3,FALSE)</f>
        <v>FI</v>
      </c>
      <c r="AL22" s="271">
        <f>IF(ISNUMBER(V25),V25,0)</f>
        <v>0</v>
      </c>
      <c r="AM22" s="266">
        <v>0</v>
      </c>
      <c r="AN22" s="272">
        <f>IF(ISNUMBER(T30),T30,0)</f>
        <v>0</v>
      </c>
      <c r="AO22" s="272">
        <f>IF(ISNUMBER(T27),T27,0)</f>
        <v>0</v>
      </c>
      <c r="AP22" s="184">
        <f>IF(AD26&lt;&gt;"FOUT",IF(AL22&gt;AM21,3,IF(AL22=AM21,1,0)),0)+IF(AD29&lt;&gt;"FOUT",IF(AN22&gt;AM23,3,IF(AN22=AM23,1,0)),0)+IF(AD27&lt;&gt;"FOUT",IF(AO22&gt;AM24,3,IF(AO22=AM24,1,0)),0)</f>
        <v>0</v>
      </c>
      <c r="AQ22" s="186">
        <f>SUM(AL22:AO22)</f>
        <v>0</v>
      </c>
      <c r="AR22" s="185">
        <f>SUM(AM21:AM24)</f>
        <v>0</v>
      </c>
      <c r="AS22" s="134">
        <f>IF($AP22=$AP21,AL22,0)</f>
        <v>0</v>
      </c>
      <c r="AT22" s="266">
        <v>0</v>
      </c>
      <c r="AU22" s="177">
        <f>IF($AP22=$AP23,AN22,0)</f>
        <v>0</v>
      </c>
      <c r="AV22" s="264">
        <f>IF($AP22=$AP24,AO22,0)</f>
        <v>0</v>
      </c>
      <c r="AW22" s="184">
        <f>IF(AS22&gt;AT21,3,IF(AS22=AT21,1,0))+IF(AU22&gt;AT23,3,IF(AU22=AT23,1,0))+IF(AV22&gt;AT24,3,IF(AV22=AT24,1,0))</f>
        <v>3</v>
      </c>
      <c r="AX22" s="186">
        <f>SUM(AS22:AV22)</f>
        <v>0</v>
      </c>
      <c r="AY22" s="185">
        <f>SUM(AT21:AT24)</f>
        <v>0</v>
      </c>
      <c r="AZ22" s="277">
        <f ca="1">AP22*10000000000000+AW22*100000000000+(500+AX22-AY22)*100000000+AX22*10000000+(500+AQ22-AR22)*1000+AQ22*10+AI22</f>
        <v>350000500003</v>
      </c>
      <c r="BA22" s="280">
        <f ca="1">RANK(AZ22,AZ21:AZ24)</f>
        <v>2</v>
      </c>
    </row>
    <row r="23" spans="1:53" s="209" customFormat="1" ht="20.100000000000001" customHeight="1" x14ac:dyDescent="0.5">
      <c r="B23" s="79"/>
      <c r="C23" s="9"/>
      <c r="D23" s="10" t="str">
        <f ca="1">Taal04!$B$26&amp;" A"</f>
        <v>Groep A</v>
      </c>
      <c r="E23" s="72"/>
      <c r="F23" s="72"/>
      <c r="G23" s="72"/>
      <c r="H23" s="72"/>
      <c r="I23" s="72"/>
      <c r="J23" s="72"/>
      <c r="K23" s="72"/>
      <c r="L23" s="72"/>
      <c r="M23" s="72"/>
      <c r="N23" s="10" t="str">
        <f ca="1">Taal04!$B$26&amp;" B"</f>
        <v>Groep B</v>
      </c>
      <c r="O23" s="72"/>
      <c r="P23" s="72"/>
      <c r="Q23" s="72"/>
      <c r="R23" s="72"/>
      <c r="S23" s="72"/>
      <c r="T23" s="72"/>
      <c r="U23" s="72"/>
      <c r="V23" s="72"/>
      <c r="W23" s="11"/>
      <c r="X23" s="79"/>
      <c r="Y23" s="1148" t="str">
        <f ca="1">"Controle "&amp;D23</f>
        <v>Controle Groep A</v>
      </c>
      <c r="Z23" s="1148"/>
      <c r="AA23" s="1148"/>
      <c r="AB23" s="1148" t="str">
        <f ca="1">"Controle "&amp;N23</f>
        <v>Controle Groep B</v>
      </c>
      <c r="AC23" s="1148"/>
      <c r="AD23" s="1148"/>
      <c r="AE23" s="52"/>
      <c r="AF23" s="316">
        <v>15</v>
      </c>
      <c r="AG23" s="130" t="str">
        <f t="shared" ca="1" si="0"/>
        <v>FOUT</v>
      </c>
      <c r="AH23" s="216" t="str">
        <f ca="1">RIGHT(AJ19,1)&amp;3</f>
        <v>B3</v>
      </c>
      <c r="AI23" s="332">
        <f ca="1">$AW$84</f>
        <v>1</v>
      </c>
      <c r="AJ23" s="187" t="str">
        <f ca="1">VLOOKUP(AH23,Voorblad!$X$67:$Z$98,2,FALSE)</f>
        <v>België</v>
      </c>
      <c r="AK23" s="134" t="str">
        <f ca="1">VLOOKUP(AH23,Voorblad!$X$67:$Z$98,3,FALSE)</f>
        <v>BE</v>
      </c>
      <c r="AL23" s="271">
        <f>IF(ISNUMBER(V28),V28,0)</f>
        <v>0</v>
      </c>
      <c r="AM23" s="272">
        <f>IF(ISNUMBER(V30),V30,0)</f>
        <v>0</v>
      </c>
      <c r="AN23" s="266">
        <v>0</v>
      </c>
      <c r="AO23" s="272">
        <f>IF(ISNUMBER(T26),T26,0)</f>
        <v>0</v>
      </c>
      <c r="AP23" s="184">
        <f>IF(AD28&lt;&gt;"FOUT",IF(AL23&gt;AN21,3,IF(AL23=AN21,1,0)),0)+IF(AD29&lt;&gt;"FOUT",IF(AM23&gt;AN22,3,IF(AM23=AN22,1,0)),0)+IF(AD25&lt;&gt;"FOUT",IF(AO23&gt;AN24,3,IF(AO23=AN24,1,0)),0)</f>
        <v>0</v>
      </c>
      <c r="AQ23" s="186">
        <f>SUM(AL23:AO23)</f>
        <v>0</v>
      </c>
      <c r="AR23" s="185">
        <f>SUM(AN21:AN24)</f>
        <v>0</v>
      </c>
      <c r="AS23" s="134">
        <f>IF($AP23=$AP21,AL23,0)</f>
        <v>0</v>
      </c>
      <c r="AT23" s="177">
        <f>IF($AP23=$AP22,AM23,0)</f>
        <v>0</v>
      </c>
      <c r="AU23" s="266">
        <v>0</v>
      </c>
      <c r="AV23" s="264">
        <f>IF($AP23=$AP24,AO23,0)</f>
        <v>0</v>
      </c>
      <c r="AW23" s="184">
        <f>IF(AS23&gt;AU21,3,IF(AS23=AU21,1,0))+IF(AT23&gt;AU22,3,IF(AT23=AU22,1,0))+IF(AV23&gt;AU24,3,IF(AV23=AU24,1,0))</f>
        <v>3</v>
      </c>
      <c r="AX23" s="186">
        <f>SUM(AS23:AV23)</f>
        <v>0</v>
      </c>
      <c r="AY23" s="185">
        <f>SUM(AU21:AU24)</f>
        <v>0</v>
      </c>
      <c r="AZ23" s="277">
        <f ca="1">AP23*10000000000000+AW23*100000000000+(500+AX23-AY23)*100000000+AX23*10000000+(500+AQ23-AR23)*1000+AQ23*10+AI23</f>
        <v>350000500001</v>
      </c>
      <c r="BA23" s="280">
        <f ca="1">RANK(AZ23,AZ21:AZ24)</f>
        <v>4</v>
      </c>
    </row>
    <row r="24" spans="1:53" s="209" customFormat="1" ht="15" customHeight="1" x14ac:dyDescent="0.3">
      <c r="B24" s="79"/>
      <c r="C24" s="9"/>
      <c r="D24" s="73"/>
      <c r="E24" s="235" t="str">
        <f ca="1">Taal04!$B$20</f>
        <v>Datum</v>
      </c>
      <c r="F24" s="235" t="str">
        <f ca="1">Taal04!$B$21</f>
        <v>Tijd</v>
      </c>
      <c r="G24" s="1173" t="str">
        <f ca="1">Taal04!$B$22</f>
        <v>Wedstrijd</v>
      </c>
      <c r="H24" s="1173"/>
      <c r="I24" s="1173"/>
      <c r="J24" s="1173" t="str">
        <f ca="1">Taal04!$B$24</f>
        <v>Eindstand</v>
      </c>
      <c r="K24" s="1174"/>
      <c r="L24" s="1174"/>
      <c r="M24" s="72"/>
      <c r="N24" s="73"/>
      <c r="O24" s="235" t="str">
        <f ca="1">Taal04!$B$20</f>
        <v>Datum</v>
      </c>
      <c r="P24" s="235" t="str">
        <f ca="1">Taal04!$B$21</f>
        <v>Tijd</v>
      </c>
      <c r="Q24" s="1173" t="str">
        <f ca="1">Taal04!$B$22</f>
        <v>Wedstrijd</v>
      </c>
      <c r="R24" s="1173"/>
      <c r="S24" s="1173"/>
      <c r="T24" s="1173" t="str">
        <f ca="1">Taal04!$B$24</f>
        <v>Eindstand</v>
      </c>
      <c r="U24" s="1174"/>
      <c r="V24" s="1174"/>
      <c r="W24" s="11"/>
      <c r="X24" s="79"/>
      <c r="Y24" s="13" t="s">
        <v>24</v>
      </c>
      <c r="Z24" s="13" t="s">
        <v>25</v>
      </c>
      <c r="AA24" s="240" t="s">
        <v>0</v>
      </c>
      <c r="AB24" s="13" t="s">
        <v>24</v>
      </c>
      <c r="AC24" s="13" t="s">
        <v>25</v>
      </c>
      <c r="AD24" s="240" t="s">
        <v>0</v>
      </c>
      <c r="AE24" s="52"/>
      <c r="AF24" s="316">
        <v>13</v>
      </c>
      <c r="AG24" s="130" t="str">
        <f t="shared" si="0"/>
        <v>FOUT</v>
      </c>
      <c r="AH24" s="216" t="str">
        <f ca="1">RIGHT(AJ19,1)&amp;4</f>
        <v>B4</v>
      </c>
      <c r="AI24" s="332">
        <f ca="1">$AX$84</f>
        <v>4</v>
      </c>
      <c r="AJ24" s="183" t="str">
        <f ca="1">VLOOKUP(AH24,Voorblad!$X$67:$Z$98,2,FALSE)</f>
        <v>Rusland</v>
      </c>
      <c r="AK24" s="182" t="str">
        <f ca="1">VLOOKUP(AH24,Voorblad!$X$67:$Z$98,3,FALSE)</f>
        <v>RU</v>
      </c>
      <c r="AL24" s="273">
        <f>IF(ISNUMBER(T29),T29,0)</f>
        <v>0</v>
      </c>
      <c r="AM24" s="274">
        <f>IF(ISNUMBER(V27),V27,0)</f>
        <v>0</v>
      </c>
      <c r="AN24" s="274">
        <f>IF(ISNUMBER(V26),V26,0)</f>
        <v>0</v>
      </c>
      <c r="AO24" s="275">
        <v>0</v>
      </c>
      <c r="AP24" s="530">
        <f>IF(AD30&lt;&gt;"FOUT",IF(AL24&gt;AO21,3,IF(AL24=AO21,1,0)),0)+IF(AD27&lt;&gt;"FOUT",IF(AM24&gt;AO22,3,IF(AM24=AO22,1,0)),0)+IF(AD25&lt;&gt;"FOUT",IF(AN24&gt;AO23,3,IF(AN24=AO23,1,0)),0)</f>
        <v>0</v>
      </c>
      <c r="AQ24" s="181">
        <f>SUM(AL24:AO24)</f>
        <v>0</v>
      </c>
      <c r="AR24" s="180">
        <f>SUM(AO21:AO24)</f>
        <v>0</v>
      </c>
      <c r="AS24" s="182">
        <f>IF($AP24=$AP21,AL24,0)</f>
        <v>0</v>
      </c>
      <c r="AT24" s="179">
        <f>IF($AP24=$AP22,AM24,0)</f>
        <v>0</v>
      </c>
      <c r="AU24" s="179">
        <f>IF($AP24=$AP23,AN24,0)</f>
        <v>0</v>
      </c>
      <c r="AV24" s="265">
        <v>0</v>
      </c>
      <c r="AW24" s="178">
        <f>IF(AS24&gt;AV21,3,IF(AS24=AV21,1,0))+IF(AT24&gt;AV22,3,IF(AT24=AV22,1,0))+IF(AU24&gt;AV23,3,IF(AU24=AV23,1,0))</f>
        <v>3</v>
      </c>
      <c r="AX24" s="181">
        <f>SUM(AS24:AV24)</f>
        <v>0</v>
      </c>
      <c r="AY24" s="180">
        <f>SUM(AV21:AV24)</f>
        <v>0</v>
      </c>
      <c r="AZ24" s="278">
        <f ca="1">AP24*10000000000000+AW24*100000000000+(500+AX24-AY24)*100000000+AX24*10000000+(500+AQ24-AR24)*1000+AQ24*10+AI24</f>
        <v>350000500004</v>
      </c>
      <c r="BA24" s="281">
        <f ca="1">RANK(AZ24,AZ21:AZ24)</f>
        <v>1</v>
      </c>
    </row>
    <row r="25" spans="1:53" ht="15" customHeight="1" x14ac:dyDescent="0.3">
      <c r="A25" s="209"/>
      <c r="B25" s="79"/>
      <c r="C25" s="9"/>
      <c r="D25" s="14" t="str">
        <f>"01"</f>
        <v>01</v>
      </c>
      <c r="E25" s="23">
        <f>DATE(2021,6,11)+TIME(21,0,0)</f>
        <v>44358.875</v>
      </c>
      <c r="F25" s="161">
        <f t="shared" ref="F25:F30" si="1">E25+TIME(0,0,0)</f>
        <v>44358.875</v>
      </c>
      <c r="G25" s="16" t="str">
        <f ca="1">AJ12</f>
        <v>Turkije</v>
      </c>
      <c r="H25" s="15" t="s">
        <v>12</v>
      </c>
      <c r="I25" s="236" t="str">
        <f ca="1">AJ13</f>
        <v>Italië</v>
      </c>
      <c r="J25" s="457"/>
      <c r="K25" s="66" t="s">
        <v>12</v>
      </c>
      <c r="L25" s="457"/>
      <c r="M25" s="17"/>
      <c r="N25" s="14" t="str">
        <f>"03"</f>
        <v>03</v>
      </c>
      <c r="O25" s="23">
        <f>DATE(2021,6,12)+TIME(18,0,0)</f>
        <v>44359.75</v>
      </c>
      <c r="P25" s="161">
        <f t="shared" ref="P25:P30" si="2">O25+TIME(0,0,0)</f>
        <v>44359.75</v>
      </c>
      <c r="Q25" s="16" t="str">
        <f ca="1">AJ21</f>
        <v>Denemarken</v>
      </c>
      <c r="R25" s="15" t="s">
        <v>12</v>
      </c>
      <c r="S25" s="236" t="str">
        <f ca="1">AJ22</f>
        <v>Finland</v>
      </c>
      <c r="T25" s="457"/>
      <c r="U25" s="66" t="s">
        <v>12</v>
      </c>
      <c r="V25" s="457"/>
      <c r="W25" s="11"/>
      <c r="X25" s="79"/>
      <c r="Y25" s="6" t="str">
        <f t="shared" ref="Y25:Y30" si="3">IF(ISBLANK(J25),"LEEG",IF(TYPE(J25)=1,IF(AND(J25&lt;10,J25&gt;=0),IF(J25=ROUND(J25,0),"GOED","ONGELDIG"),"HOOG"),"ONGELDIG"))</f>
        <v>LEEG</v>
      </c>
      <c r="Z25" s="6" t="str">
        <f t="shared" ref="Z25:Z30" si="4">IF(ISBLANK(L25),"LEEG",IF(TYPE(L25)=1,IF(AND(L25&lt;10,L25&gt;=0),IF(L25=ROUND(L25,0),"GOED","ONGELDIG"),"HOOG"),"ONGELDIG"))</f>
        <v>LEEG</v>
      </c>
      <c r="AA25" s="201" t="str">
        <f t="shared" ref="AA25:AA30" si="5">IF(Y25="GOED",IF(Z25="GOED",J25&amp;L25&amp;"|","FOUT"),"FOUT")</f>
        <v>FOUT</v>
      </c>
      <c r="AB25" s="6" t="str">
        <f t="shared" ref="AB25:AB30" si="6">IF(ISBLANK(T25),"LEEG",IF(TYPE(T25)=1,IF(AND(T25&lt;10,T25&gt;=0),IF(T25=ROUND(T25,0),"GOED","ONGELDIG"),"HOOG"),"ONGELDIG"))</f>
        <v>LEEG</v>
      </c>
      <c r="AC25" s="6" t="str">
        <f t="shared" ref="AC25:AC30" si="7">IF(ISBLANK(V25),"LEEG",IF(TYPE(V25)=1,IF(AND(V25&lt;10,V25&gt;=0),IF(V25=ROUND(V25,0),"GOED","ONGELDIG"),"HOOG"),"ONGELDIG"))</f>
        <v>LEEG</v>
      </c>
      <c r="AD25" s="201" t="str">
        <f t="shared" ref="AD25:AD30" si="8">IF(AB25="GOED",IF(AC25="GOED",T25&amp;V25&amp;"|","FOUT"),"FOUT")</f>
        <v>FOUT</v>
      </c>
      <c r="AE25" s="52"/>
      <c r="AF25" s="316">
        <v>14</v>
      </c>
      <c r="AG25" s="130" t="str">
        <f t="shared" si="0"/>
        <v>FOUT</v>
      </c>
      <c r="AH25" s="197"/>
      <c r="AI25" s="197"/>
      <c r="AJ25" s="92" t="s">
        <v>232</v>
      </c>
      <c r="AK25" s="92" t="str">
        <f>IF(COUNTIF(AB25:AC30,"GOED")=12,"JA","NEE")</f>
        <v>NEE</v>
      </c>
      <c r="AL25" s="91"/>
      <c r="AM25" s="91"/>
      <c r="AN25" s="91"/>
      <c r="AO25" s="91"/>
      <c r="AP25" s="91"/>
      <c r="AQ25" s="91"/>
      <c r="AR25" s="91"/>
      <c r="AS25" s="238"/>
      <c r="AT25" s="238"/>
      <c r="AU25" s="238"/>
      <c r="AV25" s="238"/>
      <c r="AW25" s="238"/>
      <c r="AX25" s="238"/>
      <c r="AY25" s="238"/>
      <c r="AZ25" s="238"/>
      <c r="BA25" s="92"/>
    </row>
    <row r="26" spans="1:53" ht="15" customHeight="1" x14ac:dyDescent="0.3">
      <c r="B26" s="79"/>
      <c r="C26" s="9"/>
      <c r="D26" s="14" t="str">
        <f>"02"</f>
        <v>02</v>
      </c>
      <c r="E26" s="23">
        <f>DATE(2021,6,12)+TIME(15,0,0)</f>
        <v>44359.625</v>
      </c>
      <c r="F26" s="161">
        <f t="shared" si="1"/>
        <v>44359.625</v>
      </c>
      <c r="G26" s="16" t="str">
        <f ca="1">AJ14</f>
        <v>Wales</v>
      </c>
      <c r="H26" s="15" t="s">
        <v>12</v>
      </c>
      <c r="I26" s="236" t="str">
        <f ca="1">AJ15</f>
        <v>Zwitserland</v>
      </c>
      <c r="J26" s="457"/>
      <c r="K26" s="66" t="s">
        <v>12</v>
      </c>
      <c r="L26" s="457"/>
      <c r="M26" s="17"/>
      <c r="N26" s="14" t="str">
        <f>"04"</f>
        <v>04</v>
      </c>
      <c r="O26" s="23">
        <f>DATE(2021,6,12)+TIME(21,0,0)</f>
        <v>44359.875</v>
      </c>
      <c r="P26" s="161">
        <f t="shared" si="2"/>
        <v>44359.875</v>
      </c>
      <c r="Q26" s="16" t="str">
        <f ca="1">AJ23</f>
        <v>België</v>
      </c>
      <c r="R26" s="15" t="s">
        <v>12</v>
      </c>
      <c r="S26" s="236" t="str">
        <f ca="1">AJ24</f>
        <v>Rusland</v>
      </c>
      <c r="T26" s="457"/>
      <c r="U26" s="66" t="s">
        <v>12</v>
      </c>
      <c r="V26" s="457"/>
      <c r="W26" s="11"/>
      <c r="X26" s="79"/>
      <c r="Y26" s="6" t="str">
        <f t="shared" si="3"/>
        <v>LEEG</v>
      </c>
      <c r="Z26" s="6" t="str">
        <f t="shared" si="4"/>
        <v>LEEG</v>
      </c>
      <c r="AA26" s="201" t="str">
        <f t="shared" si="5"/>
        <v>FOUT</v>
      </c>
      <c r="AB26" s="6" t="str">
        <f t="shared" si="6"/>
        <v>LEEG</v>
      </c>
      <c r="AC26" s="6" t="str">
        <f t="shared" si="7"/>
        <v>LEEG</v>
      </c>
      <c r="AD26" s="201" t="str">
        <f t="shared" si="8"/>
        <v>FOUT</v>
      </c>
      <c r="AE26" s="52"/>
      <c r="AF26" s="316">
        <v>18</v>
      </c>
      <c r="AG26" s="130" t="str">
        <f t="shared" ca="1" si="0"/>
        <v>FOUT</v>
      </c>
      <c r="AH26" s="1147"/>
      <c r="AI26" s="1147"/>
      <c r="AJ26" s="92"/>
      <c r="AK26" s="1146" t="s">
        <v>177</v>
      </c>
      <c r="AL26" s="1146" t="str">
        <f ca="1">AJ30</f>
        <v>Nederland</v>
      </c>
      <c r="AM26" s="1146" t="str">
        <f ca="1">AJ31</f>
        <v>Oekraïne</v>
      </c>
      <c r="AN26" s="1146" t="str">
        <f ca="1">AJ32</f>
        <v>Oostenrijk</v>
      </c>
      <c r="AO26" s="1146" t="str">
        <f ca="1">AJ33</f>
        <v>N.-Macedonië</v>
      </c>
      <c r="AP26" s="1146" t="s">
        <v>99</v>
      </c>
      <c r="AQ26" s="1146" t="s">
        <v>176</v>
      </c>
      <c r="AR26" s="1146" t="s">
        <v>175</v>
      </c>
      <c r="AS26" s="1146" t="str">
        <f ca="1">"Gelijk met "&amp;AH30</f>
        <v>Gelijk met C1</v>
      </c>
      <c r="AT26" s="1146" t="str">
        <f ca="1">"Gelijk met "&amp;AH31</f>
        <v>Gelijk met C2</v>
      </c>
      <c r="AU26" s="1146" t="str">
        <f ca="1">"Gelijk met "&amp;AH32</f>
        <v>Gelijk met C3</v>
      </c>
      <c r="AV26" s="1146" t="str">
        <f ca="1">"Gelijk met "&amp;AH33</f>
        <v>Gelijk met C4</v>
      </c>
      <c r="AW26" s="1146" t="s">
        <v>99</v>
      </c>
      <c r="AX26" s="1146" t="s">
        <v>176</v>
      </c>
      <c r="AY26" s="1146" t="s">
        <v>175</v>
      </c>
      <c r="AZ26" s="1146" t="s">
        <v>233</v>
      </c>
      <c r="BA26" s="1146" t="s">
        <v>71</v>
      </c>
    </row>
    <row r="27" spans="1:53" ht="15" customHeight="1" x14ac:dyDescent="0.3">
      <c r="B27" s="79"/>
      <c r="C27" s="9"/>
      <c r="D27" s="14">
        <v>13</v>
      </c>
      <c r="E27" s="23">
        <f>DATE(2021,6,16)+TIME(18,0,0)</f>
        <v>44363.75</v>
      </c>
      <c r="F27" s="161">
        <f t="shared" si="1"/>
        <v>44363.75</v>
      </c>
      <c r="G27" s="16" t="str">
        <f ca="1">AJ12</f>
        <v>Turkije</v>
      </c>
      <c r="H27" s="15" t="s">
        <v>12</v>
      </c>
      <c r="I27" s="236" t="str">
        <f ca="1">AJ14</f>
        <v>Wales</v>
      </c>
      <c r="J27" s="457"/>
      <c r="K27" s="66" t="s">
        <v>12</v>
      </c>
      <c r="L27" s="457"/>
      <c r="M27" s="17"/>
      <c r="N27" s="14">
        <v>15</v>
      </c>
      <c r="O27" s="23">
        <f>DATE(2021,6,16)+TIME(15,0,0)</f>
        <v>44363.625</v>
      </c>
      <c r="P27" s="161">
        <f t="shared" si="2"/>
        <v>44363.625</v>
      </c>
      <c r="Q27" s="16" t="str">
        <f ca="1">AJ22</f>
        <v>Finland</v>
      </c>
      <c r="R27" s="15" t="s">
        <v>12</v>
      </c>
      <c r="S27" s="236" t="str">
        <f ca="1">AJ24</f>
        <v>Rusland</v>
      </c>
      <c r="T27" s="457"/>
      <c r="U27" s="66" t="s">
        <v>12</v>
      </c>
      <c r="V27" s="457"/>
      <c r="W27" s="11"/>
      <c r="X27" s="79"/>
      <c r="Y27" s="6" t="str">
        <f t="shared" si="3"/>
        <v>LEEG</v>
      </c>
      <c r="Z27" s="6" t="str">
        <f t="shared" si="4"/>
        <v>LEEG</v>
      </c>
      <c r="AA27" s="201" t="str">
        <f t="shared" si="5"/>
        <v>FOUT</v>
      </c>
      <c r="AB27" s="6" t="str">
        <f t="shared" si="6"/>
        <v>LEEG</v>
      </c>
      <c r="AC27" s="6" t="str">
        <f t="shared" si="7"/>
        <v>LEEG</v>
      </c>
      <c r="AD27" s="201" t="str">
        <f t="shared" si="8"/>
        <v>FOUT</v>
      </c>
      <c r="AE27" s="253"/>
      <c r="AF27" s="316">
        <v>16</v>
      </c>
      <c r="AG27" s="130" t="str">
        <f t="shared" ca="1" si="0"/>
        <v>FOUT</v>
      </c>
      <c r="AH27" s="1147"/>
      <c r="AI27" s="1147"/>
      <c r="AJ27" s="92"/>
      <c r="AK27" s="1146"/>
      <c r="AL27" s="1146"/>
      <c r="AM27" s="1146"/>
      <c r="AN27" s="1146"/>
      <c r="AO27" s="1146"/>
      <c r="AP27" s="1146"/>
      <c r="AQ27" s="1146"/>
      <c r="AR27" s="1146"/>
      <c r="AS27" s="1146"/>
      <c r="AT27" s="1146"/>
      <c r="AU27" s="1146"/>
      <c r="AV27" s="1146"/>
      <c r="AW27" s="1146"/>
      <c r="AX27" s="1146"/>
      <c r="AY27" s="1146"/>
      <c r="AZ27" s="1146"/>
      <c r="BA27" s="1146"/>
    </row>
    <row r="28" spans="1:53" ht="15" customHeight="1" x14ac:dyDescent="0.3">
      <c r="B28" s="79"/>
      <c r="C28" s="9"/>
      <c r="D28" s="14">
        <v>14</v>
      </c>
      <c r="E28" s="23">
        <f>DATE(2021,6,16)+TIME(21,0,0)</f>
        <v>44363.875</v>
      </c>
      <c r="F28" s="161">
        <f t="shared" si="1"/>
        <v>44363.875</v>
      </c>
      <c r="G28" s="16" t="str">
        <f ca="1">AJ13</f>
        <v>Italië</v>
      </c>
      <c r="H28" s="15" t="s">
        <v>12</v>
      </c>
      <c r="I28" s="236" t="str">
        <f ca="1">AJ15</f>
        <v>Zwitserland</v>
      </c>
      <c r="J28" s="457"/>
      <c r="K28" s="66" t="s">
        <v>12</v>
      </c>
      <c r="L28" s="457"/>
      <c r="M28" s="17"/>
      <c r="N28" s="14">
        <v>16</v>
      </c>
      <c r="O28" s="23">
        <f>DATE(2021,6,17)+TIME(18,0,0)</f>
        <v>44364.75</v>
      </c>
      <c r="P28" s="161">
        <f t="shared" si="2"/>
        <v>44364.75</v>
      </c>
      <c r="Q28" s="16" t="str">
        <f ca="1">AJ21</f>
        <v>Denemarken</v>
      </c>
      <c r="R28" s="15" t="s">
        <v>12</v>
      </c>
      <c r="S28" s="236" t="str">
        <f ca="1">AJ23</f>
        <v>België</v>
      </c>
      <c r="T28" s="457"/>
      <c r="U28" s="66" t="s">
        <v>12</v>
      </c>
      <c r="V28" s="457"/>
      <c r="W28" s="11"/>
      <c r="X28" s="79"/>
      <c r="Y28" s="6" t="str">
        <f t="shared" si="3"/>
        <v>LEEG</v>
      </c>
      <c r="Z28" s="6" t="str">
        <f t="shared" si="4"/>
        <v>LEEG</v>
      </c>
      <c r="AA28" s="201" t="str">
        <f t="shared" si="5"/>
        <v>FOUT</v>
      </c>
      <c r="AB28" s="6" t="str">
        <f t="shared" si="6"/>
        <v>LEEG</v>
      </c>
      <c r="AC28" s="6" t="str">
        <f t="shared" si="7"/>
        <v>LEEG</v>
      </c>
      <c r="AD28" s="201" t="str">
        <f t="shared" si="8"/>
        <v>FOUT</v>
      </c>
      <c r="AE28" s="77"/>
      <c r="AF28" s="316">
        <v>17</v>
      </c>
      <c r="AG28" s="130" t="str">
        <f t="shared" ca="1" si="0"/>
        <v>FOUT</v>
      </c>
      <c r="AH28" s="1147"/>
      <c r="AI28" s="1147"/>
      <c r="AJ28" s="195" t="str">
        <f ca="1">D33</f>
        <v>Groep C</v>
      </c>
      <c r="AK28" s="1146"/>
      <c r="AL28" s="1146"/>
      <c r="AM28" s="1146"/>
      <c r="AN28" s="1146"/>
      <c r="AO28" s="1146"/>
      <c r="AP28" s="1146"/>
      <c r="AQ28" s="1146"/>
      <c r="AR28" s="1146"/>
      <c r="AS28" s="1146"/>
      <c r="AT28" s="1146"/>
      <c r="AU28" s="1146"/>
      <c r="AV28" s="1146"/>
      <c r="AW28" s="1146"/>
      <c r="AX28" s="1146"/>
      <c r="AY28" s="1146"/>
      <c r="AZ28" s="1146"/>
      <c r="BA28" s="1146"/>
    </row>
    <row r="29" spans="1:53" ht="15" customHeight="1" x14ac:dyDescent="0.3">
      <c r="B29" s="79"/>
      <c r="C29" s="9"/>
      <c r="D29" s="14">
        <v>25</v>
      </c>
      <c r="E29" s="23">
        <f>DATE(2021,6,20)+TIME(18,0,0)</f>
        <v>44367.75</v>
      </c>
      <c r="F29" s="161">
        <f t="shared" si="1"/>
        <v>44367.75</v>
      </c>
      <c r="G29" s="16" t="str">
        <f ca="1">AJ15</f>
        <v>Zwitserland</v>
      </c>
      <c r="H29" s="15" t="s">
        <v>12</v>
      </c>
      <c r="I29" s="236" t="str">
        <f ca="1">AJ12</f>
        <v>Turkije</v>
      </c>
      <c r="J29" s="457"/>
      <c r="K29" s="66" t="s">
        <v>12</v>
      </c>
      <c r="L29" s="457"/>
      <c r="M29" s="17"/>
      <c r="N29" s="14">
        <v>27</v>
      </c>
      <c r="O29" s="23">
        <f>DATE(2021,6,21)+TIME(21,0,0)</f>
        <v>44368.875</v>
      </c>
      <c r="P29" s="161">
        <f t="shared" si="2"/>
        <v>44368.875</v>
      </c>
      <c r="Q29" s="16" t="str">
        <f ca="1">AJ24</f>
        <v>Rusland</v>
      </c>
      <c r="R29" s="15" t="s">
        <v>12</v>
      </c>
      <c r="S29" s="236" t="str">
        <f ca="1">AJ21</f>
        <v>Denemarken</v>
      </c>
      <c r="T29" s="457"/>
      <c r="U29" s="66" t="s">
        <v>12</v>
      </c>
      <c r="V29" s="457"/>
      <c r="W29" s="11"/>
      <c r="X29" s="79"/>
      <c r="Y29" s="6" t="str">
        <f t="shared" si="3"/>
        <v>LEEG</v>
      </c>
      <c r="Z29" s="6" t="str">
        <f t="shared" si="4"/>
        <v>LEEG</v>
      </c>
      <c r="AA29" s="201" t="str">
        <f t="shared" si="5"/>
        <v>FOUT</v>
      </c>
      <c r="AB29" s="6" t="str">
        <f t="shared" si="6"/>
        <v>LEEG</v>
      </c>
      <c r="AC29" s="6" t="str">
        <f t="shared" si="7"/>
        <v>LEEG</v>
      </c>
      <c r="AD29" s="201" t="str">
        <f t="shared" si="8"/>
        <v>FOUT</v>
      </c>
      <c r="AE29" s="77"/>
      <c r="AF29" s="130">
        <v>21</v>
      </c>
      <c r="AG29" s="130" t="str">
        <f t="shared" ca="1" si="0"/>
        <v>FOUT</v>
      </c>
      <c r="AH29" s="1147"/>
      <c r="AI29" s="1147"/>
      <c r="AJ29" s="194" t="s">
        <v>17</v>
      </c>
      <c r="AK29" s="1146"/>
      <c r="AL29" s="1146"/>
      <c r="AM29" s="1146"/>
      <c r="AN29" s="1146"/>
      <c r="AO29" s="1146"/>
      <c r="AP29" s="1146"/>
      <c r="AQ29" s="1146"/>
      <c r="AR29" s="1146"/>
      <c r="AS29" s="1146"/>
      <c r="AT29" s="1146"/>
      <c r="AU29" s="1146"/>
      <c r="AV29" s="1146"/>
      <c r="AW29" s="1146"/>
      <c r="AX29" s="1146"/>
      <c r="AY29" s="1146"/>
      <c r="AZ29" s="1146"/>
      <c r="BA29" s="1146"/>
    </row>
    <row r="30" spans="1:53" ht="15" customHeight="1" x14ac:dyDescent="0.3">
      <c r="B30" s="79"/>
      <c r="C30" s="9"/>
      <c r="D30" s="14">
        <v>26</v>
      </c>
      <c r="E30" s="23">
        <f>E29</f>
        <v>44367.75</v>
      </c>
      <c r="F30" s="161">
        <f t="shared" si="1"/>
        <v>44367.75</v>
      </c>
      <c r="G30" s="16" t="str">
        <f ca="1">AJ13</f>
        <v>Italië</v>
      </c>
      <c r="H30" s="15" t="s">
        <v>12</v>
      </c>
      <c r="I30" s="236" t="str">
        <f ca="1">AJ14</f>
        <v>Wales</v>
      </c>
      <c r="J30" s="457"/>
      <c r="K30" s="66" t="s">
        <v>12</v>
      </c>
      <c r="L30" s="457"/>
      <c r="M30" s="17"/>
      <c r="N30" s="14">
        <v>28</v>
      </c>
      <c r="O30" s="23">
        <f>O29</f>
        <v>44368.875</v>
      </c>
      <c r="P30" s="161">
        <f t="shared" si="2"/>
        <v>44368.875</v>
      </c>
      <c r="Q30" s="16" t="str">
        <f ca="1">AJ22</f>
        <v>Finland</v>
      </c>
      <c r="R30" s="15" t="s">
        <v>12</v>
      </c>
      <c r="S30" s="236" t="str">
        <f ca="1">AJ23</f>
        <v>België</v>
      </c>
      <c r="T30" s="457"/>
      <c r="U30" s="66" t="s">
        <v>12</v>
      </c>
      <c r="V30" s="457"/>
      <c r="W30" s="11"/>
      <c r="X30" s="79"/>
      <c r="Y30" s="6" t="str">
        <f t="shared" si="3"/>
        <v>LEEG</v>
      </c>
      <c r="Z30" s="6" t="str">
        <f t="shared" si="4"/>
        <v>LEEG</v>
      </c>
      <c r="AA30" s="201" t="str">
        <f t="shared" si="5"/>
        <v>FOUT</v>
      </c>
      <c r="AB30" s="6" t="str">
        <f t="shared" si="6"/>
        <v>LEEG</v>
      </c>
      <c r="AC30" s="6" t="str">
        <f t="shared" si="7"/>
        <v>LEEG</v>
      </c>
      <c r="AD30" s="201" t="str">
        <f t="shared" si="8"/>
        <v>FOUT</v>
      </c>
      <c r="AE30" s="77"/>
      <c r="AF30" s="130">
        <v>19</v>
      </c>
      <c r="AG30" s="130" t="str">
        <f t="shared" ca="1" si="0"/>
        <v>FOUT</v>
      </c>
      <c r="AH30" s="216" t="str">
        <f ca="1">RIGHT(AJ28,1)&amp;1</f>
        <v>C1</v>
      </c>
      <c r="AI30" s="332">
        <f ca="1">$AU$85</f>
        <v>1</v>
      </c>
      <c r="AJ30" s="193" t="str">
        <f ca="1">VLOOKUP(AH30,Voorblad!$X$67:$Z$98,2,FALSE)</f>
        <v>Nederland</v>
      </c>
      <c r="AK30" s="192" t="str">
        <f ca="1">VLOOKUP(AH30,Voorblad!$X$67:$Z$98,3,FALSE)</f>
        <v>NL</v>
      </c>
      <c r="AL30" s="267">
        <v>0</v>
      </c>
      <c r="AM30" s="270">
        <f>IF(ISNUMBER(J36),J36,0)</f>
        <v>0</v>
      </c>
      <c r="AN30" s="270">
        <f>IF(ISNUMBER(J38),J38,0)</f>
        <v>0</v>
      </c>
      <c r="AO30" s="270">
        <f>IF(ISNUMBER(L39),L39,0)</f>
        <v>0</v>
      </c>
      <c r="AP30" s="188">
        <f>IF(AA36&lt;&gt;"FOUT",IF(AM30&gt;AL31,3,IF(AM30=AL31,1,0)),0)+IF(AA37&lt;&gt;"FOUT",IF(AN30&gt;AL32,3,IF(AN30=AL32,1,0)),0)+IF(AA40&lt;&gt;"FOUT",IF(AO30&gt;AL33,3,IF(AO30=AL33,1,0)),0)</f>
        <v>0</v>
      </c>
      <c r="AQ30" s="191">
        <f>SUM(AL30:AO30)</f>
        <v>0</v>
      </c>
      <c r="AR30" s="190">
        <f>SUM(AL30:AL33)</f>
        <v>0</v>
      </c>
      <c r="AS30" s="267">
        <v>0</v>
      </c>
      <c r="AT30" s="189">
        <f>IF($AP30=$AP31,AM30,0)</f>
        <v>0</v>
      </c>
      <c r="AU30" s="189">
        <f>IF($AP30=$AP32,AN30,0)</f>
        <v>0</v>
      </c>
      <c r="AV30" s="263">
        <f>IF($AP30=$AP33,AO30,0)</f>
        <v>0</v>
      </c>
      <c r="AW30" s="188">
        <f>IF(AT30&gt;AS31,3,IF(AT30=AS31,1,0))+IF(AU30&gt;AS32,3,IF(AU30=AS32,1,0))+IF(AV30&gt;AS33,3,IF(AV30=AS33,1,0))</f>
        <v>3</v>
      </c>
      <c r="AX30" s="191">
        <f>SUM(AS30:AV30)</f>
        <v>0</v>
      </c>
      <c r="AY30" s="190">
        <f>SUM(AS30:AS33)</f>
        <v>0</v>
      </c>
      <c r="AZ30" s="276">
        <f ca="1">AP30*10000000000000+AW30*100000000000+(500+AX30-AY30)*100000000+AX30*10000000+(500+AQ30-AR30)*1000+AQ30*10+AI30</f>
        <v>350000500001</v>
      </c>
      <c r="BA30" s="279">
        <f ca="1">RANK(AZ30,AZ30:AZ33)</f>
        <v>4</v>
      </c>
    </row>
    <row r="31" spans="1:53" ht="15" customHeight="1" x14ac:dyDescent="0.3">
      <c r="B31" s="79"/>
      <c r="C31" s="9"/>
      <c r="D31" s="230"/>
      <c r="E31" s="67"/>
      <c r="F31" s="313"/>
      <c r="G31" s="314"/>
      <c r="H31" s="68"/>
      <c r="I31" s="315"/>
      <c r="J31" s="72"/>
      <c r="K31" s="72"/>
      <c r="L31" s="72"/>
      <c r="M31" s="17"/>
      <c r="N31" s="230"/>
      <c r="O31" s="67"/>
      <c r="P31" s="313"/>
      <c r="Q31" s="314"/>
      <c r="R31" s="68"/>
      <c r="S31" s="315"/>
      <c r="T31" s="72"/>
      <c r="U31" s="72"/>
      <c r="V31" s="72"/>
      <c r="W31" s="11"/>
      <c r="X31" s="79"/>
      <c r="Y31" s="6"/>
      <c r="Z31" s="6"/>
      <c r="AA31" s="201"/>
      <c r="AB31" s="6"/>
      <c r="AC31" s="6"/>
      <c r="AD31" s="201"/>
      <c r="AE31" s="77"/>
      <c r="AF31" s="316">
        <v>20</v>
      </c>
      <c r="AG31" s="130" t="str">
        <f t="shared" ca="1" si="0"/>
        <v>FOUT</v>
      </c>
      <c r="AH31" s="216" t="str">
        <f ca="1">RIGHT(AJ28,1)&amp;2</f>
        <v>C2</v>
      </c>
      <c r="AI31" s="332">
        <f ca="1">$AV$85</f>
        <v>3</v>
      </c>
      <c r="AJ31" s="187" t="str">
        <f ca="1">VLOOKUP(AH31,Voorblad!$X$67:$Z$98,2,FALSE)</f>
        <v>Oekraïne</v>
      </c>
      <c r="AK31" s="134" t="str">
        <f ca="1">VLOOKUP(AH31,Voorblad!$X$67:$Z$98,3,FALSE)</f>
        <v>UA</v>
      </c>
      <c r="AL31" s="271">
        <f>IF(ISNUMBER(L36),L36,0)</f>
        <v>0</v>
      </c>
      <c r="AM31" s="266">
        <v>0</v>
      </c>
      <c r="AN31" s="272">
        <f>IF(ISNUMBER(J40),J40,0)</f>
        <v>0</v>
      </c>
      <c r="AO31" s="272">
        <f>IF(ISNUMBER(L37),L37,0)</f>
        <v>0</v>
      </c>
      <c r="AP31" s="184">
        <f>IF(AA36&lt;&gt;"FOUT",IF(AL31&gt;AM30,3,IF(AL31=AM30,1,0)),0)+IF(AA39&lt;&gt;"FOUT",IF(AN31&gt;AM32,3,IF(AN31=AM32,1,0)),0)+IF(AA38&lt;&gt;"FOUT",IF(AO31&gt;AM33,3,IF(AO31=AM33,1,0)),0)</f>
        <v>0</v>
      </c>
      <c r="AQ31" s="186">
        <f>SUM(AL31:AO31)</f>
        <v>0</v>
      </c>
      <c r="AR31" s="185">
        <f>SUM(AM30:AM33)</f>
        <v>0</v>
      </c>
      <c r="AS31" s="134">
        <f>IF($AP31=$AP30,AL31,0)</f>
        <v>0</v>
      </c>
      <c r="AT31" s="266">
        <v>0</v>
      </c>
      <c r="AU31" s="177">
        <f>IF($AP31=$AP32,AN31,0)</f>
        <v>0</v>
      </c>
      <c r="AV31" s="264">
        <f>IF($AP31=$AP33,AO31,0)</f>
        <v>0</v>
      </c>
      <c r="AW31" s="184">
        <f>IF(AS31&gt;AT30,3,IF(AS31=AT30,1,0))+IF(AU31&gt;AT32,3,IF(AU31=AT32,1,0))+IF(AV31&gt;AT33,3,IF(AV31=AT33,1,0))</f>
        <v>3</v>
      </c>
      <c r="AX31" s="186">
        <f>SUM(AS31:AV31)</f>
        <v>0</v>
      </c>
      <c r="AY31" s="185">
        <f>SUM(AT30:AT33)</f>
        <v>0</v>
      </c>
      <c r="AZ31" s="277">
        <f ca="1">AP31*10000000000000+AW31*100000000000+(500+AX31-AY31)*100000000+AX31*10000000+(500+AQ31-AR31)*1000+AQ31*10+AI31</f>
        <v>350000500003</v>
      </c>
      <c r="BA31" s="280">
        <f ca="1">RANK(AZ31,AZ30:AZ33)</f>
        <v>2</v>
      </c>
    </row>
    <row r="32" spans="1:53" ht="15" customHeight="1" x14ac:dyDescent="0.3">
      <c r="B32" s="79"/>
      <c r="C32" s="9"/>
      <c r="D32" s="19"/>
      <c r="E32" s="72"/>
      <c r="F32" s="72"/>
      <c r="G32" s="72"/>
      <c r="H32" s="72"/>
      <c r="I32" s="72"/>
      <c r="J32" s="72"/>
      <c r="K32" s="72"/>
      <c r="L32" s="72"/>
      <c r="M32" s="72"/>
      <c r="N32" s="72"/>
      <c r="O32" s="72"/>
      <c r="P32" s="72"/>
      <c r="Q32" s="72"/>
      <c r="R32" s="72"/>
      <c r="S32" s="72"/>
      <c r="T32" s="72"/>
      <c r="U32" s="72"/>
      <c r="V32" s="72"/>
      <c r="W32" s="11"/>
      <c r="X32" s="79"/>
      <c r="Y32" s="6"/>
      <c r="Z32" s="6"/>
      <c r="AA32" s="6"/>
      <c r="AB32" s="6"/>
      <c r="AC32" s="6"/>
      <c r="AD32" s="5"/>
      <c r="AE32" s="77"/>
      <c r="AF32" s="316">
        <v>23</v>
      </c>
      <c r="AG32" s="130" t="str">
        <f t="shared" ca="1" si="0"/>
        <v>FOUT</v>
      </c>
      <c r="AH32" s="216" t="str">
        <f ca="1">RIGHT(AJ28,1)&amp;3</f>
        <v>C3</v>
      </c>
      <c r="AI32" s="332">
        <f ca="1">$AW$85</f>
        <v>4</v>
      </c>
      <c r="AJ32" s="187" t="str">
        <f ca="1">VLOOKUP(AH32,Voorblad!$X$67:$Z$98,2,FALSE)</f>
        <v>Oostenrijk</v>
      </c>
      <c r="AK32" s="134" t="str">
        <f ca="1">VLOOKUP(AH32,Voorblad!$X$67:$Z$98,3,FALSE)</f>
        <v>AT</v>
      </c>
      <c r="AL32" s="271">
        <f>IF(ISNUMBER(L38),L38,0)</f>
        <v>0</v>
      </c>
      <c r="AM32" s="272">
        <f>IF(ISNUMBER(L40),L40,0)</f>
        <v>0</v>
      </c>
      <c r="AN32" s="266">
        <v>0</v>
      </c>
      <c r="AO32" s="272">
        <f>IF(ISNUMBER(J35),J35,0)</f>
        <v>0</v>
      </c>
      <c r="AP32" s="184">
        <f>IF(AA37&lt;&gt;"FOUT",IF(AL32&gt;AN30,3,IF(AL32=AN30,1,0)),0)+IF(AA39&lt;&gt;"FOUT",IF(AM32&gt;AN31,3,IF(AM32=AN31,1,0)),0)+IF(AA35&lt;&gt;"FOUT",IF(AO32&gt;AN33,3,IF(AO32=AN33,1,0)),0)</f>
        <v>0</v>
      </c>
      <c r="AQ32" s="186">
        <f>SUM(AL32:AO32)</f>
        <v>0</v>
      </c>
      <c r="AR32" s="185">
        <f>SUM(AN30:AN33)</f>
        <v>0</v>
      </c>
      <c r="AS32" s="134">
        <f>IF($AP32=$AP30,AL32,0)</f>
        <v>0</v>
      </c>
      <c r="AT32" s="177">
        <f>IF($AP32=$AP31,AM32,0)</f>
        <v>0</v>
      </c>
      <c r="AU32" s="266">
        <v>0</v>
      </c>
      <c r="AV32" s="264">
        <f>IF($AP32=$AP33,AO32,0)</f>
        <v>0</v>
      </c>
      <c r="AW32" s="184">
        <f>IF(AS32&gt;AU30,3,IF(AS32=AU30,1,0))+IF(AT32&gt;AU31,3,IF(AT32=AU31,1,0))+IF(AV32&gt;AU33,3,IF(AV32=AU33,1,0))</f>
        <v>3</v>
      </c>
      <c r="AX32" s="186">
        <f>SUM(AS32:AV32)</f>
        <v>0</v>
      </c>
      <c r="AY32" s="185">
        <f>SUM(AU30:AU33)</f>
        <v>0</v>
      </c>
      <c r="AZ32" s="277">
        <f ca="1">AP32*10000000000000+AW32*100000000000+(500+AX32-AY32)*100000000+AX32*10000000+(500+AQ32-AR32)*1000+AQ32*10+AI32</f>
        <v>350000500004</v>
      </c>
      <c r="BA32" s="280">
        <f ca="1">RANK(AZ32,AZ30:AZ33)</f>
        <v>1</v>
      </c>
    </row>
    <row r="33" spans="2:53" ht="20.100000000000001" customHeight="1" x14ac:dyDescent="0.5">
      <c r="B33" s="79"/>
      <c r="C33" s="9"/>
      <c r="D33" s="10" t="str">
        <f ca="1">Taal04!$B$26&amp;" C"</f>
        <v>Groep C</v>
      </c>
      <c r="E33" s="72"/>
      <c r="F33" s="72"/>
      <c r="G33" s="72"/>
      <c r="H33" s="72"/>
      <c r="I33" s="72"/>
      <c r="J33" s="72"/>
      <c r="K33" s="72"/>
      <c r="L33" s="72"/>
      <c r="M33" s="72"/>
      <c r="N33" s="10" t="str">
        <f ca="1">Taal04!$B$26&amp;" D"</f>
        <v>Groep D</v>
      </c>
      <c r="O33" s="72"/>
      <c r="P33" s="72"/>
      <c r="Q33" s="72"/>
      <c r="R33" s="72"/>
      <c r="S33" s="72"/>
      <c r="T33" s="72"/>
      <c r="U33" s="72"/>
      <c r="V33" s="72"/>
      <c r="W33" s="11"/>
      <c r="X33" s="79"/>
      <c r="Y33" s="1148" t="str">
        <f ca="1">"Controle "&amp;D33</f>
        <v>Controle Groep C</v>
      </c>
      <c r="Z33" s="1148"/>
      <c r="AA33" s="1148"/>
      <c r="AB33" s="1148" t="str">
        <f ca="1">"Controle "&amp;N33</f>
        <v>Controle Groep D</v>
      </c>
      <c r="AC33" s="1148"/>
      <c r="AD33" s="1148"/>
      <c r="AE33" s="77"/>
      <c r="AF33" s="316">
        <v>24</v>
      </c>
      <c r="AG33" s="130" t="str">
        <f t="shared" ca="1" si="0"/>
        <v>FOUT</v>
      </c>
      <c r="AH33" s="216" t="str">
        <f ca="1">RIGHT(AJ28,1)&amp;4</f>
        <v>C4</v>
      </c>
      <c r="AI33" s="332">
        <f ca="1">$AX$85</f>
        <v>2</v>
      </c>
      <c r="AJ33" s="183" t="str">
        <f ca="1">VLOOKUP(AH33,Voorblad!$X$67:$Z$98,2,FALSE)</f>
        <v>N.-Macedonië</v>
      </c>
      <c r="AK33" s="182" t="str">
        <f ca="1">VLOOKUP(AH33,Voorblad!$X$67:$Z$98,3,FALSE)</f>
        <v>MK</v>
      </c>
      <c r="AL33" s="273">
        <f>IF(ISNUMBER(J39),J39,0)</f>
        <v>0</v>
      </c>
      <c r="AM33" s="274">
        <f>IF(ISNUMBER(J37),J37,0)</f>
        <v>0</v>
      </c>
      <c r="AN33" s="274">
        <f>IF(ISNUMBER(L35),L35,0)</f>
        <v>0</v>
      </c>
      <c r="AO33" s="275">
        <v>0</v>
      </c>
      <c r="AP33" s="530">
        <f>IF(AA40&lt;&gt;"FOUT",IF(AL33&gt;AO30,3,IF(AL33=AO30,1,0)),0)+IF(AA38&lt;&gt;"FOUT",IF(AM33&gt;AO31,3,IF(AM33=AO31,1,0)),0)+IF(AA35&lt;&gt;"FOUT",IF(AN33&gt;AO32,3,IF(AN33=AO32,1,0)),0)</f>
        <v>0</v>
      </c>
      <c r="AQ33" s="181">
        <f>SUM(AL33:AO33)</f>
        <v>0</v>
      </c>
      <c r="AR33" s="180">
        <f>SUM(AO30:AO33)</f>
        <v>0</v>
      </c>
      <c r="AS33" s="182">
        <f>IF($AP33=$AP30,AL33,0)</f>
        <v>0</v>
      </c>
      <c r="AT33" s="179">
        <f>IF($AP33=$AP31,AM33,0)</f>
        <v>0</v>
      </c>
      <c r="AU33" s="179">
        <f>IF($AP33=$AP32,AN33,0)</f>
        <v>0</v>
      </c>
      <c r="AV33" s="265">
        <v>0</v>
      </c>
      <c r="AW33" s="178">
        <f>IF(AS33&gt;AV30,3,IF(AS33=AV30,1,0))+IF(AT33&gt;AV31,3,IF(AT33=AV31,1,0))+IF(AU33&gt;AV32,3,IF(AU33=AV32,1,0))</f>
        <v>3</v>
      </c>
      <c r="AX33" s="181">
        <f>SUM(AS33:AV33)</f>
        <v>0</v>
      </c>
      <c r="AY33" s="180">
        <f>SUM(AV30:AV33)</f>
        <v>0</v>
      </c>
      <c r="AZ33" s="278">
        <f ca="1">AP33*10000000000000+AW33*100000000000+(500+AX33-AY33)*100000000+AX33*10000000+(500+AQ33-AR33)*1000+AQ33*10+AI33</f>
        <v>350000500002</v>
      </c>
      <c r="BA33" s="281">
        <f ca="1">RANK(AZ33,AZ30:AZ33)</f>
        <v>3</v>
      </c>
    </row>
    <row r="34" spans="2:53" ht="15" customHeight="1" x14ac:dyDescent="0.3">
      <c r="B34" s="79"/>
      <c r="C34" s="9"/>
      <c r="D34" s="73"/>
      <c r="E34" s="235" t="str">
        <f ca="1">Taal04!$B$20</f>
        <v>Datum</v>
      </c>
      <c r="F34" s="235" t="str">
        <f ca="1">Taal04!$B$21</f>
        <v>Tijd</v>
      </c>
      <c r="G34" s="1173" t="str">
        <f ca="1">Taal04!$B$22</f>
        <v>Wedstrijd</v>
      </c>
      <c r="H34" s="1173"/>
      <c r="I34" s="1173"/>
      <c r="J34" s="1173" t="str">
        <f ca="1">Taal04!$B$24</f>
        <v>Eindstand</v>
      </c>
      <c r="K34" s="1174"/>
      <c r="L34" s="1174"/>
      <c r="M34" s="72"/>
      <c r="N34" s="73"/>
      <c r="O34" s="235" t="str">
        <f ca="1">Taal04!$B$20</f>
        <v>Datum</v>
      </c>
      <c r="P34" s="235" t="str">
        <f ca="1">Taal04!$B$21</f>
        <v>Tijd</v>
      </c>
      <c r="Q34" s="1173" t="str">
        <f ca="1">Taal04!$B$22</f>
        <v>Wedstrijd</v>
      </c>
      <c r="R34" s="1173"/>
      <c r="S34" s="1173"/>
      <c r="T34" s="1173" t="str">
        <f ca="1">Taal04!$B$24</f>
        <v>Eindstand</v>
      </c>
      <c r="U34" s="1174"/>
      <c r="V34" s="1174"/>
      <c r="W34" s="11"/>
      <c r="X34" s="79"/>
      <c r="Y34" s="13" t="s">
        <v>24</v>
      </c>
      <c r="Z34" s="13" t="s">
        <v>25</v>
      </c>
      <c r="AA34" s="240" t="s">
        <v>0</v>
      </c>
      <c r="AB34" s="13" t="s">
        <v>24</v>
      </c>
      <c r="AC34" s="13" t="s">
        <v>25</v>
      </c>
      <c r="AD34" s="240" t="s">
        <v>0</v>
      </c>
      <c r="AE34" s="77"/>
      <c r="AF34" s="316">
        <v>22</v>
      </c>
      <c r="AG34" s="130" t="str">
        <f t="shared" ca="1" si="0"/>
        <v>FOUT</v>
      </c>
      <c r="AH34" s="197"/>
      <c r="AI34" s="197"/>
      <c r="AJ34" s="92" t="s">
        <v>232</v>
      </c>
      <c r="AK34" s="92" t="str">
        <f>IF(COUNTIF(Y35:Z40,"GOED")=12,"JA","NEE")</f>
        <v>NEE</v>
      </c>
      <c r="AL34" s="91"/>
      <c r="AM34" s="91"/>
      <c r="AN34" s="91"/>
      <c r="AO34" s="91"/>
      <c r="AP34" s="91"/>
      <c r="AQ34" s="91"/>
      <c r="AR34" s="91"/>
      <c r="AS34" s="238"/>
      <c r="AT34" s="238"/>
      <c r="AU34" s="238"/>
      <c r="AV34" s="238"/>
      <c r="AW34" s="238"/>
      <c r="AX34" s="238"/>
      <c r="AY34" s="238"/>
      <c r="AZ34" s="238"/>
      <c r="BA34" s="92"/>
    </row>
    <row r="35" spans="2:53" ht="15" customHeight="1" x14ac:dyDescent="0.3">
      <c r="B35" s="79"/>
      <c r="C35" s="9"/>
      <c r="D35" s="14" t="str">
        <f>"06"</f>
        <v>06</v>
      </c>
      <c r="E35" s="23">
        <f>DATE(2021,6,13)+TIME(18,0,0)</f>
        <v>44360.75</v>
      </c>
      <c r="F35" s="161">
        <f t="shared" ref="F35:F40" si="9">E35+TIME(0,0,0)</f>
        <v>44360.75</v>
      </c>
      <c r="G35" s="16" t="str">
        <f ca="1">AJ32</f>
        <v>Oostenrijk</v>
      </c>
      <c r="H35" s="15" t="s">
        <v>12</v>
      </c>
      <c r="I35" s="236" t="str">
        <f ca="1">AJ33</f>
        <v>N.-Macedonië</v>
      </c>
      <c r="J35" s="457"/>
      <c r="K35" s="66" t="s">
        <v>12</v>
      </c>
      <c r="L35" s="457"/>
      <c r="M35" s="17"/>
      <c r="N35" s="14" t="str">
        <f>"07"</f>
        <v>07</v>
      </c>
      <c r="O35" s="23">
        <f>DATE(2021,6,13)+TIME(15,0,0)</f>
        <v>44360.625</v>
      </c>
      <c r="P35" s="161">
        <f t="shared" ref="P35:P40" si="10">O35+TIME(0,0,0)</f>
        <v>44360.625</v>
      </c>
      <c r="Q35" s="16" t="str">
        <f ca="1">AJ39</f>
        <v>Engeland</v>
      </c>
      <c r="R35" s="15" t="s">
        <v>12</v>
      </c>
      <c r="S35" s="236" t="str">
        <f ca="1">AJ40</f>
        <v>Kroatië</v>
      </c>
      <c r="T35" s="457"/>
      <c r="U35" s="66" t="s">
        <v>12</v>
      </c>
      <c r="V35" s="457"/>
      <c r="W35" s="11"/>
      <c r="X35" s="79"/>
      <c r="Y35" s="6" t="str">
        <f t="shared" ref="Y35:Y40" si="11">IF(ISBLANK(J35),"LEEG",IF(TYPE(J35)=1,IF(AND(J35&lt;10,J35&gt;=0),IF(J35=ROUND(J35,0),"GOED","ONGELDIG"),"HOOG"),"ONGELDIG"))</f>
        <v>LEEG</v>
      </c>
      <c r="Z35" s="6" t="str">
        <f t="shared" ref="Z35:Z40" si="12">IF(ISBLANK(L35),"LEEG",IF(TYPE(L35)=1,IF(AND(L35&lt;10,L35&gt;=0),IF(L35=ROUND(L35,0),"GOED","ONGELDIG"),"HOOG"),"ONGELDIG"))</f>
        <v>LEEG</v>
      </c>
      <c r="AA35" s="201" t="str">
        <f t="shared" ref="AA35:AA40" si="13">IF(Y35="GOED",IF(Z35="GOED",J35&amp;L35&amp;"|","FOUT"),"FOUT")</f>
        <v>FOUT</v>
      </c>
      <c r="AB35" s="6" t="str">
        <f t="shared" ref="AB35:AB40" si="14">IF(ISBLANK(T35),"LEEG",IF(TYPE(T35)=1,IF(AND(T35&lt;10,T35&gt;=0),IF(T35=ROUND(T35,0),"GOED","ONGELDIG"),"HOOG"),"ONGELDIG"))</f>
        <v>LEEG</v>
      </c>
      <c r="AC35" s="6" t="str">
        <f t="shared" ref="AC35:AC40" si="15">IF(ISBLANK(V35),"LEEG",IF(TYPE(V35)=1,IF(AND(V35&lt;10,V35&gt;=0),IF(V35=ROUND(V35,0),"GOED","ONGELDIG"),"HOOG"),"ONGELDIG"))</f>
        <v>LEEG</v>
      </c>
      <c r="AD35" s="201" t="str">
        <f t="shared" ref="AD35:AD40" si="16">IF(AB35="GOED",IF(AC35="GOED",T35&amp;V35&amp;"|","FOUT"),"FOUT")</f>
        <v>FOUT</v>
      </c>
      <c r="AE35" s="77"/>
      <c r="AF35" s="316">
        <v>25</v>
      </c>
      <c r="AG35" s="130" t="str">
        <f t="shared" si="0"/>
        <v>FOUT</v>
      </c>
      <c r="AH35" s="1147"/>
      <c r="AI35" s="1147"/>
      <c r="AJ35" s="92"/>
      <c r="AK35" s="1146" t="s">
        <v>177</v>
      </c>
      <c r="AL35" s="1146" t="str">
        <f ca="1">AJ39</f>
        <v>Engeland</v>
      </c>
      <c r="AM35" s="1146" t="str">
        <f ca="1">AJ40</f>
        <v>Kroatië</v>
      </c>
      <c r="AN35" s="1146" t="str">
        <f ca="1">AJ41</f>
        <v>Schotland</v>
      </c>
      <c r="AO35" s="1146" t="str">
        <f ca="1">AJ42</f>
        <v>Tsjechië</v>
      </c>
      <c r="AP35" s="1146" t="s">
        <v>99</v>
      </c>
      <c r="AQ35" s="1146" t="s">
        <v>176</v>
      </c>
      <c r="AR35" s="1146" t="s">
        <v>175</v>
      </c>
      <c r="AS35" s="1146" t="str">
        <f ca="1">"Gelijk met "&amp;AH39</f>
        <v>Gelijk met D1</v>
      </c>
      <c r="AT35" s="1146" t="str">
        <f ca="1">"Gelijk met "&amp;AH40</f>
        <v>Gelijk met D2</v>
      </c>
      <c r="AU35" s="1146" t="str">
        <f ca="1">"Gelijk met "&amp;AH41</f>
        <v>Gelijk met D3</v>
      </c>
      <c r="AV35" s="1146" t="str">
        <f ca="1">"Gelijk met "&amp;AH42</f>
        <v>Gelijk met D4</v>
      </c>
      <c r="AW35" s="1146" t="s">
        <v>99</v>
      </c>
      <c r="AX35" s="1146" t="s">
        <v>176</v>
      </c>
      <c r="AY35" s="1146" t="s">
        <v>175</v>
      </c>
      <c r="AZ35" s="1146" t="s">
        <v>233</v>
      </c>
      <c r="BA35" s="1146" t="s">
        <v>71</v>
      </c>
    </row>
    <row r="36" spans="2:53" ht="15" customHeight="1" x14ac:dyDescent="0.3">
      <c r="B36" s="79"/>
      <c r="C36" s="9"/>
      <c r="D36" s="14" t="str">
        <f>"05"</f>
        <v>05</v>
      </c>
      <c r="E36" s="23">
        <f>DATE(2021,6,13)+TIME(21,0,0)</f>
        <v>44360.875</v>
      </c>
      <c r="F36" s="161">
        <f t="shared" si="9"/>
        <v>44360.875</v>
      </c>
      <c r="G36" s="16" t="str">
        <f ca="1">AJ30</f>
        <v>Nederland</v>
      </c>
      <c r="H36" s="15" t="s">
        <v>12</v>
      </c>
      <c r="I36" s="236" t="str">
        <f ca="1">AJ31</f>
        <v>Oekraïne</v>
      </c>
      <c r="J36" s="457"/>
      <c r="K36" s="66" t="s">
        <v>12</v>
      </c>
      <c r="L36" s="457"/>
      <c r="M36" s="17"/>
      <c r="N36" s="546" t="str">
        <f>"08"</f>
        <v>08</v>
      </c>
      <c r="O36" s="544">
        <f>DATE(2021,6,14)+TIME(15,0,0)</f>
        <v>44361.625</v>
      </c>
      <c r="P36" s="161">
        <f t="shared" si="10"/>
        <v>44361.625</v>
      </c>
      <c r="Q36" s="16" t="str">
        <f ca="1">AJ41</f>
        <v>Schotland</v>
      </c>
      <c r="R36" s="15" t="s">
        <v>12</v>
      </c>
      <c r="S36" s="236" t="str">
        <f ca="1">AJ42</f>
        <v>Tsjechië</v>
      </c>
      <c r="T36" s="457"/>
      <c r="U36" s="66" t="s">
        <v>12</v>
      </c>
      <c r="V36" s="457"/>
      <c r="W36" s="11"/>
      <c r="X36" s="79"/>
      <c r="Y36" s="6" t="str">
        <f t="shared" si="11"/>
        <v>LEEG</v>
      </c>
      <c r="Z36" s="6" t="str">
        <f t="shared" si="12"/>
        <v>LEEG</v>
      </c>
      <c r="AA36" s="201" t="str">
        <f t="shared" si="13"/>
        <v>FOUT</v>
      </c>
      <c r="AB36" s="6" t="str">
        <f t="shared" si="14"/>
        <v>LEEG</v>
      </c>
      <c r="AC36" s="6" t="str">
        <f t="shared" si="15"/>
        <v>LEEG</v>
      </c>
      <c r="AD36" s="201" t="str">
        <f t="shared" si="16"/>
        <v>FOUT</v>
      </c>
      <c r="AE36" s="77"/>
      <c r="AF36" s="316">
        <v>26</v>
      </c>
      <c r="AG36" s="130" t="str">
        <f t="shared" si="0"/>
        <v>FOUT</v>
      </c>
      <c r="AH36" s="1147"/>
      <c r="AI36" s="1147"/>
      <c r="AJ36" s="92"/>
      <c r="AK36" s="1146"/>
      <c r="AL36" s="1146"/>
      <c r="AM36" s="1146"/>
      <c r="AN36" s="1146"/>
      <c r="AO36" s="1146"/>
      <c r="AP36" s="1146"/>
      <c r="AQ36" s="1146"/>
      <c r="AR36" s="1146"/>
      <c r="AS36" s="1146"/>
      <c r="AT36" s="1146"/>
      <c r="AU36" s="1146"/>
      <c r="AV36" s="1146"/>
      <c r="AW36" s="1146"/>
      <c r="AX36" s="1146"/>
      <c r="AY36" s="1146"/>
      <c r="AZ36" s="1146"/>
      <c r="BA36" s="1146"/>
    </row>
    <row r="37" spans="2:53" ht="15" customHeight="1" x14ac:dyDescent="0.3">
      <c r="B37" s="79"/>
      <c r="C37" s="9"/>
      <c r="D37" s="14">
        <v>18</v>
      </c>
      <c r="E37" s="23">
        <f>DATE(2021,6,17)+TIME(15,0,0)</f>
        <v>44364.625</v>
      </c>
      <c r="F37" s="161">
        <f>E37+TIME(0,0,0)</f>
        <v>44364.625</v>
      </c>
      <c r="G37" s="16" t="str">
        <f ca="1">AJ33</f>
        <v>N.-Macedonië</v>
      </c>
      <c r="H37" s="15" t="s">
        <v>12</v>
      </c>
      <c r="I37" s="236" t="str">
        <f ca="1">AJ31</f>
        <v>Oekraïne</v>
      </c>
      <c r="J37" s="457"/>
      <c r="K37" s="66" t="s">
        <v>12</v>
      </c>
      <c r="L37" s="457"/>
      <c r="M37" s="17"/>
      <c r="N37" s="14">
        <v>19</v>
      </c>
      <c r="O37" s="23">
        <f>DATE(2021,6,18)+TIME(18,0,0)</f>
        <v>44365.75</v>
      </c>
      <c r="P37" s="161">
        <f t="shared" si="10"/>
        <v>44365.75</v>
      </c>
      <c r="Q37" s="16" t="str">
        <f ca="1">AJ40</f>
        <v>Kroatië</v>
      </c>
      <c r="R37" s="15" t="s">
        <v>12</v>
      </c>
      <c r="S37" s="236" t="str">
        <f ca="1">AJ42</f>
        <v>Tsjechië</v>
      </c>
      <c r="T37" s="457"/>
      <c r="U37" s="66" t="s">
        <v>12</v>
      </c>
      <c r="V37" s="457"/>
      <c r="W37" s="11"/>
      <c r="X37" s="79"/>
      <c r="Y37" s="6" t="str">
        <f>IF(ISBLANK(J37),"LEEG",IF(TYPE(J37)=1,IF(AND(J37&lt;10,J37&gt;=0),IF(J37=ROUND(J37,0),"GOED","ONGELDIG"),"HOOG"),"ONGELDIG"))</f>
        <v>LEEG</v>
      </c>
      <c r="Z37" s="6" t="str">
        <f>IF(ISBLANK(L37),"LEEG",IF(TYPE(L37)=1,IF(AND(L37&lt;10,L37&gt;=0),IF(L37=ROUND(L37,0),"GOED","ONGELDIG"),"HOOG"),"ONGELDIG"))</f>
        <v>LEEG</v>
      </c>
      <c r="AA37" s="201" t="str">
        <f>IF(Y37="GOED",IF(Z37="GOED",J37&amp;L37&amp;"|","FOUT"),"FOUT")</f>
        <v>FOUT</v>
      </c>
      <c r="AB37" s="6" t="str">
        <f t="shared" si="14"/>
        <v>LEEG</v>
      </c>
      <c r="AC37" s="6" t="str">
        <f t="shared" si="15"/>
        <v>LEEG</v>
      </c>
      <c r="AD37" s="201" t="str">
        <f t="shared" si="16"/>
        <v>FOUT</v>
      </c>
      <c r="AE37" s="77"/>
      <c r="AF37" s="316">
        <v>29</v>
      </c>
      <c r="AG37" s="130" t="str">
        <f t="shared" ca="1" si="0"/>
        <v>FOUT</v>
      </c>
      <c r="AH37" s="1147"/>
      <c r="AI37" s="1147"/>
      <c r="AJ37" s="195" t="str">
        <f ca="1">N33</f>
        <v>Groep D</v>
      </c>
      <c r="AK37" s="1146"/>
      <c r="AL37" s="1146"/>
      <c r="AM37" s="1146"/>
      <c r="AN37" s="1146"/>
      <c r="AO37" s="1146"/>
      <c r="AP37" s="1146"/>
      <c r="AQ37" s="1146"/>
      <c r="AR37" s="1146"/>
      <c r="AS37" s="1146"/>
      <c r="AT37" s="1146"/>
      <c r="AU37" s="1146"/>
      <c r="AV37" s="1146"/>
      <c r="AW37" s="1146"/>
      <c r="AX37" s="1146"/>
      <c r="AY37" s="1146"/>
      <c r="AZ37" s="1146"/>
      <c r="BA37" s="1146"/>
    </row>
    <row r="38" spans="2:53" ht="15" customHeight="1" x14ac:dyDescent="0.3">
      <c r="B38" s="79"/>
      <c r="C38" s="9"/>
      <c r="D38" s="14">
        <v>17</v>
      </c>
      <c r="E38" s="23">
        <f>DATE(2021,6,17)+TIME(21,0,0)</f>
        <v>44364.875</v>
      </c>
      <c r="F38" s="161">
        <f>E38+TIME(0,0,0)</f>
        <v>44364.875</v>
      </c>
      <c r="G38" s="16" t="str">
        <f ca="1">AJ30</f>
        <v>Nederland</v>
      </c>
      <c r="H38" s="15" t="s">
        <v>12</v>
      </c>
      <c r="I38" s="236" t="str">
        <f ca="1">AJ32</f>
        <v>Oostenrijk</v>
      </c>
      <c r="J38" s="457"/>
      <c r="K38" s="66" t="s">
        <v>12</v>
      </c>
      <c r="L38" s="457"/>
      <c r="M38" s="17"/>
      <c r="N38" s="14">
        <v>20</v>
      </c>
      <c r="O38" s="23">
        <f>DATE(2021,6,18)+TIME(21,0,0)</f>
        <v>44365.875</v>
      </c>
      <c r="P38" s="161">
        <f t="shared" si="10"/>
        <v>44365.875</v>
      </c>
      <c r="Q38" s="16" t="str">
        <f ca="1">AJ39</f>
        <v>Engeland</v>
      </c>
      <c r="R38" s="15" t="s">
        <v>12</v>
      </c>
      <c r="S38" s="236" t="str">
        <f ca="1">AJ41</f>
        <v>Schotland</v>
      </c>
      <c r="T38" s="457"/>
      <c r="U38" s="66" t="s">
        <v>12</v>
      </c>
      <c r="V38" s="457"/>
      <c r="W38" s="11"/>
      <c r="X38" s="79"/>
      <c r="Y38" s="6" t="str">
        <f>IF(ISBLANK(J38),"LEEG",IF(TYPE(J38)=1,IF(AND(J38&lt;10,J38&gt;=0),IF(J38=ROUND(J38,0),"GOED","ONGELDIG"),"HOOG"),"ONGELDIG"))</f>
        <v>LEEG</v>
      </c>
      <c r="Z38" s="6" t="str">
        <f>IF(ISBLANK(L38),"LEEG",IF(TYPE(L38)=1,IF(AND(L38&lt;10,L38&gt;=0),IF(L38=ROUND(L38,0),"GOED","ONGELDIG"),"HOOG"),"ONGELDIG"))</f>
        <v>LEEG</v>
      </c>
      <c r="AA38" s="201" t="str">
        <f>IF(Y38="GOED",IF(Z38="GOED",J38&amp;L38&amp;"|","FOUT"),"FOUT")</f>
        <v>FOUT</v>
      </c>
      <c r="AB38" s="6" t="str">
        <f t="shared" si="14"/>
        <v>LEEG</v>
      </c>
      <c r="AC38" s="6" t="str">
        <f t="shared" si="15"/>
        <v>LEEG</v>
      </c>
      <c r="AD38" s="201" t="str">
        <f t="shared" si="16"/>
        <v>FOUT</v>
      </c>
      <c r="AE38" s="77"/>
      <c r="AF38" s="316">
        <v>30</v>
      </c>
      <c r="AG38" s="130" t="str">
        <f t="shared" ca="1" si="0"/>
        <v>FOUT</v>
      </c>
      <c r="AH38" s="1147"/>
      <c r="AI38" s="1147"/>
      <c r="AJ38" s="194" t="s">
        <v>17</v>
      </c>
      <c r="AK38" s="1175"/>
      <c r="AL38" s="1175"/>
      <c r="AM38" s="1175"/>
      <c r="AN38" s="1175"/>
      <c r="AO38" s="1175"/>
      <c r="AP38" s="1175"/>
      <c r="AQ38" s="1175"/>
      <c r="AR38" s="1175"/>
      <c r="AS38" s="1146"/>
      <c r="AT38" s="1146"/>
      <c r="AU38" s="1146"/>
      <c r="AV38" s="1146"/>
      <c r="AW38" s="1146"/>
      <c r="AX38" s="1146"/>
      <c r="AY38" s="1146"/>
      <c r="AZ38" s="1146"/>
      <c r="BA38" s="1146"/>
    </row>
    <row r="39" spans="2:53" ht="15" customHeight="1" x14ac:dyDescent="0.3">
      <c r="B39" s="79"/>
      <c r="C39" s="9"/>
      <c r="D39" s="14">
        <v>29</v>
      </c>
      <c r="E39" s="544">
        <f>DATE(2021,6,21)+TIME(18,0,0)</f>
        <v>44368.75</v>
      </c>
      <c r="F39" s="161">
        <f t="shared" si="9"/>
        <v>44368.75</v>
      </c>
      <c r="G39" s="16" t="str">
        <f ca="1">AJ33</f>
        <v>N.-Macedonië</v>
      </c>
      <c r="H39" s="15" t="s">
        <v>12</v>
      </c>
      <c r="I39" s="236" t="str">
        <f ca="1">AJ30</f>
        <v>Nederland</v>
      </c>
      <c r="J39" s="457"/>
      <c r="K39" s="66" t="s">
        <v>12</v>
      </c>
      <c r="L39" s="457"/>
      <c r="M39" s="17"/>
      <c r="N39" s="14">
        <v>31</v>
      </c>
      <c r="O39" s="544">
        <f>DATE(2021,6,22)+TIME(21,0,0)</f>
        <v>44369.875</v>
      </c>
      <c r="P39" s="161">
        <f t="shared" si="10"/>
        <v>44369.875</v>
      </c>
      <c r="Q39" s="16" t="str">
        <f ca="1">AJ40</f>
        <v>Kroatië</v>
      </c>
      <c r="R39" s="15" t="s">
        <v>12</v>
      </c>
      <c r="S39" s="236" t="str">
        <f ca="1">AJ41</f>
        <v>Schotland</v>
      </c>
      <c r="T39" s="457"/>
      <c r="U39" s="66" t="s">
        <v>12</v>
      </c>
      <c r="V39" s="457"/>
      <c r="W39" s="11"/>
      <c r="X39" s="79"/>
      <c r="Y39" s="6" t="str">
        <f t="shared" si="11"/>
        <v>LEEG</v>
      </c>
      <c r="Z39" s="6" t="str">
        <f t="shared" si="12"/>
        <v>LEEG</v>
      </c>
      <c r="AA39" s="201" t="str">
        <f t="shared" si="13"/>
        <v>FOUT</v>
      </c>
      <c r="AB39" s="6" t="str">
        <f t="shared" si="14"/>
        <v>LEEG</v>
      </c>
      <c r="AC39" s="6" t="str">
        <f t="shared" si="15"/>
        <v>LEEG</v>
      </c>
      <c r="AD39" s="201" t="str">
        <f t="shared" si="16"/>
        <v>FOUT</v>
      </c>
      <c r="AE39" s="77"/>
      <c r="AF39" s="316">
        <v>27</v>
      </c>
      <c r="AG39" s="130" t="str">
        <f t="shared" ca="1" si="0"/>
        <v>FOUT</v>
      </c>
      <c r="AH39" s="216" t="str">
        <f ca="1">RIGHT(AJ37,1)&amp;1</f>
        <v>D1</v>
      </c>
      <c r="AI39" s="332">
        <f ca="1">$AU$86</f>
        <v>1</v>
      </c>
      <c r="AJ39" s="193" t="str">
        <f ca="1">VLOOKUP(AH39,Voorblad!$X$67:$Z$98,2,FALSE)</f>
        <v>Engeland</v>
      </c>
      <c r="AK39" s="192" t="str">
        <f ca="1">VLOOKUP(AH39,Voorblad!$X$67:$Z$98,3,FALSE)</f>
        <v>GB</v>
      </c>
      <c r="AL39" s="267">
        <v>0</v>
      </c>
      <c r="AM39" s="270">
        <f>IF(ISNUMBER(T35),T35,0)</f>
        <v>0</v>
      </c>
      <c r="AN39" s="270">
        <f>IF(ISNUMBER(T38),T38,0)</f>
        <v>0</v>
      </c>
      <c r="AO39" s="270">
        <f>IF(ISNUMBER(V40),V40,0)</f>
        <v>0</v>
      </c>
      <c r="AP39" s="188">
        <f>IF(AD36&lt;&gt;"FOUT",IF(AM39&gt;AL40,3,IF(AM39=AL40,1,0)),0)+IF(AD38&lt;&gt;"FOUT",IF(AN39&gt;AL41,3,IF(AN39=AL41,1,0)),0)+IF(AD40&lt;&gt;"FOUT",IF(AO39&gt;AL42,3,IF(AO39=AL42,1,0)),0)</f>
        <v>0</v>
      </c>
      <c r="AQ39" s="191">
        <f>SUM(AL39:AO39)</f>
        <v>0</v>
      </c>
      <c r="AR39" s="190">
        <f>SUM(AL39:AL42)</f>
        <v>0</v>
      </c>
      <c r="AS39" s="267">
        <v>0</v>
      </c>
      <c r="AT39" s="189">
        <f>IF($AP39=$AP40,AM39,0)</f>
        <v>0</v>
      </c>
      <c r="AU39" s="189">
        <f>IF($AP39=$AP41,AN39,0)</f>
        <v>0</v>
      </c>
      <c r="AV39" s="263">
        <f>IF($AP39=$AP42,AO39,0)</f>
        <v>0</v>
      </c>
      <c r="AW39" s="188">
        <f>IF(AT39&gt;AS40,3,IF(AT39=AS40,1,0))+IF(AU39&gt;AS41,3,IF(AU39=AS41,1,0))+IF(AV39&gt;AS42,3,IF(AV39=AS42,1,0))</f>
        <v>3</v>
      </c>
      <c r="AX39" s="191">
        <f>SUM(AS39:AV39)</f>
        <v>0</v>
      </c>
      <c r="AY39" s="190">
        <f>SUM(AS39:AS42)</f>
        <v>0</v>
      </c>
      <c r="AZ39" s="276">
        <f ca="1">AP39*10000000000000+AW39*100000000000+(500+AX39-AY39)*100000000+AX39*10000000+(500+AQ39-AR39)*1000+AQ39*10+AI39</f>
        <v>350000500001</v>
      </c>
      <c r="BA39" s="279">
        <f ca="1">RANK(AZ39,AZ39:AZ42)</f>
        <v>4</v>
      </c>
    </row>
    <row r="40" spans="2:53" ht="15" customHeight="1" x14ac:dyDescent="0.3">
      <c r="B40" s="79"/>
      <c r="C40" s="9"/>
      <c r="D40" s="14">
        <v>30</v>
      </c>
      <c r="E40" s="544">
        <f>E39</f>
        <v>44368.75</v>
      </c>
      <c r="F40" s="161">
        <f t="shared" si="9"/>
        <v>44368.75</v>
      </c>
      <c r="G40" s="16" t="str">
        <f ca="1">AJ31</f>
        <v>Oekraïne</v>
      </c>
      <c r="H40" s="15" t="s">
        <v>12</v>
      </c>
      <c r="I40" s="236" t="str">
        <f ca="1">AJ32</f>
        <v>Oostenrijk</v>
      </c>
      <c r="J40" s="457"/>
      <c r="K40" s="66" t="s">
        <v>12</v>
      </c>
      <c r="L40" s="457"/>
      <c r="M40" s="17"/>
      <c r="N40" s="14">
        <v>32</v>
      </c>
      <c r="O40" s="544">
        <f>O39</f>
        <v>44369.875</v>
      </c>
      <c r="P40" s="161">
        <f t="shared" si="10"/>
        <v>44369.875</v>
      </c>
      <c r="Q40" s="16" t="str">
        <f ca="1">AJ42</f>
        <v>Tsjechië</v>
      </c>
      <c r="R40" s="15" t="s">
        <v>12</v>
      </c>
      <c r="S40" s="236" t="str">
        <f ca="1">AJ39</f>
        <v>Engeland</v>
      </c>
      <c r="T40" s="457"/>
      <c r="U40" s="66" t="s">
        <v>12</v>
      </c>
      <c r="V40" s="457"/>
      <c r="W40" s="11"/>
      <c r="X40" s="79"/>
      <c r="Y40" s="6" t="str">
        <f t="shared" si="11"/>
        <v>LEEG</v>
      </c>
      <c r="Z40" s="6" t="str">
        <f t="shared" si="12"/>
        <v>LEEG</v>
      </c>
      <c r="AA40" s="201" t="str">
        <f t="shared" si="13"/>
        <v>FOUT</v>
      </c>
      <c r="AB40" s="6" t="str">
        <f t="shared" si="14"/>
        <v>LEEG</v>
      </c>
      <c r="AC40" s="6" t="str">
        <f t="shared" si="15"/>
        <v>LEEG</v>
      </c>
      <c r="AD40" s="201" t="str">
        <f t="shared" si="16"/>
        <v>FOUT</v>
      </c>
      <c r="AE40" s="77"/>
      <c r="AF40" s="130">
        <v>28</v>
      </c>
      <c r="AG40" s="130" t="str">
        <f t="shared" ca="1" si="0"/>
        <v>FOUT</v>
      </c>
      <c r="AH40" s="216" t="str">
        <f ca="1">RIGHT(AJ37,1)&amp;2</f>
        <v>D2</v>
      </c>
      <c r="AI40" s="332">
        <f ca="1">$AV$86</f>
        <v>2</v>
      </c>
      <c r="AJ40" s="187" t="str">
        <f ca="1">VLOOKUP(AH40,Voorblad!$X$67:$Z$98,2,FALSE)</f>
        <v>Kroatië</v>
      </c>
      <c r="AK40" s="134" t="str">
        <f ca="1">VLOOKUP(AH40,Voorblad!$X$67:$Z$98,3,FALSE)</f>
        <v>HR</v>
      </c>
      <c r="AL40" s="271">
        <f>IF(ISNUMBER(V35),V35,0)</f>
        <v>0</v>
      </c>
      <c r="AM40" s="266">
        <v>0</v>
      </c>
      <c r="AN40" s="272">
        <f>IF(ISNUMBER(T39),T39,0)</f>
        <v>0</v>
      </c>
      <c r="AO40" s="272">
        <f>IF(ISNUMBER(T37),T37,0)</f>
        <v>0</v>
      </c>
      <c r="AP40" s="184">
        <f>IF(AD36&lt;&gt;"FOUT",IF(AL40&gt;AM39,3,IF(AL40=AM39,1,0)),0)+IF(AD39&lt;&gt;"FOUT",IF(AN40&gt;AM41,3,IF(AN40=AM41,1,0)),0)+IF(AD37&lt;&gt;"FOUT",IF(AO40&gt;AM42,3,IF(AO40=AM42,1,0)),0)</f>
        <v>0</v>
      </c>
      <c r="AQ40" s="186">
        <f>SUM(AL40:AO40)</f>
        <v>0</v>
      </c>
      <c r="AR40" s="185">
        <f>SUM(AM39:AM42)</f>
        <v>0</v>
      </c>
      <c r="AS40" s="134">
        <f>IF($AP40=$AP39,AL40,0)</f>
        <v>0</v>
      </c>
      <c r="AT40" s="266">
        <v>0</v>
      </c>
      <c r="AU40" s="177">
        <f>IF($AP40=$AP41,AN40,0)</f>
        <v>0</v>
      </c>
      <c r="AV40" s="264">
        <f>IF($AP40=$AP42,AO40,0)</f>
        <v>0</v>
      </c>
      <c r="AW40" s="184">
        <f>IF(AS40&gt;AT39,3,IF(AS40=AT39,1,0))+IF(AU40&gt;AT41,3,IF(AU40=AT41,1,0))+IF(AV40&gt;AT42,3,IF(AV40=AT42,1,0))</f>
        <v>3</v>
      </c>
      <c r="AX40" s="186">
        <f>SUM(AS40:AV40)</f>
        <v>0</v>
      </c>
      <c r="AY40" s="185">
        <f>SUM(AT39:AT42)</f>
        <v>0</v>
      </c>
      <c r="AZ40" s="277">
        <f ca="1">AP40*10000000000000+AW40*100000000000+(500+AX40-AY40)*100000000+AX40*10000000+(500+AQ40-AR40)*1000+AQ40*10+AI40</f>
        <v>350000500002</v>
      </c>
      <c r="BA40" s="280">
        <f ca="1">RANK(AZ40,AZ39:AZ42)</f>
        <v>3</v>
      </c>
    </row>
    <row r="41" spans="2:53" ht="15" customHeight="1" x14ac:dyDescent="0.3">
      <c r="B41" s="79"/>
      <c r="C41" s="9"/>
      <c r="D41" s="230"/>
      <c r="E41" s="67"/>
      <c r="F41" s="313"/>
      <c r="G41" s="314"/>
      <c r="H41" s="68"/>
      <c r="I41" s="315"/>
      <c r="J41" s="72"/>
      <c r="K41" s="72"/>
      <c r="L41" s="72"/>
      <c r="M41" s="17"/>
      <c r="N41" s="230"/>
      <c r="O41" s="67"/>
      <c r="P41" s="313"/>
      <c r="Q41" s="314"/>
      <c r="R41" s="68"/>
      <c r="S41" s="315"/>
      <c r="T41" s="72"/>
      <c r="U41" s="72"/>
      <c r="V41" s="72"/>
      <c r="W41" s="11"/>
      <c r="X41" s="79"/>
      <c r="Y41" s="6"/>
      <c r="Z41" s="6"/>
      <c r="AA41" s="201"/>
      <c r="AB41" s="6"/>
      <c r="AC41" s="6"/>
      <c r="AD41" s="201"/>
      <c r="AE41" s="77"/>
      <c r="AF41" s="130">
        <v>31</v>
      </c>
      <c r="AG41" s="130" t="str">
        <f t="shared" ca="1" si="0"/>
        <v>FOUT</v>
      </c>
      <c r="AH41" s="216" t="str">
        <f ca="1">RIGHT(AJ37,1)&amp;3</f>
        <v>D3</v>
      </c>
      <c r="AI41" s="332">
        <f ca="1">$AW$86</f>
        <v>3</v>
      </c>
      <c r="AJ41" s="187" t="str">
        <f ca="1">VLOOKUP(AH41,Voorblad!$X$67:$Z$98,2,FALSE)</f>
        <v>Schotland</v>
      </c>
      <c r="AK41" s="134" t="str">
        <f ca="1">VLOOKUP(AH41,Voorblad!$X$67:$Z$98,3,FALSE)</f>
        <v>SC</v>
      </c>
      <c r="AL41" s="271">
        <f>IF(ISNUMBER(V38),V38,0)</f>
        <v>0</v>
      </c>
      <c r="AM41" s="272">
        <f>IF(ISNUMBER(V39),V39,0)</f>
        <v>0</v>
      </c>
      <c r="AN41" s="266">
        <v>0</v>
      </c>
      <c r="AO41" s="272">
        <f>IF(ISNUMBER(T36),T36,0)</f>
        <v>0</v>
      </c>
      <c r="AP41" s="184">
        <f>IF(AD38&lt;&gt;"FOUT",IF(AL41&gt;AN39,3,IF(AL41=AN39,1,0)),0)+IF(AD39&lt;&gt;"FOUT",IF(AM41&gt;AN40,3,IF(AM41=AN40,1,0)),0)+IF(AD35&lt;&gt;"FOUT",IF(AO41&gt;AN42,3,IF(AO41=AN42,1,0)),0)</f>
        <v>0</v>
      </c>
      <c r="AQ41" s="186">
        <f>SUM(AL41:AO41)</f>
        <v>0</v>
      </c>
      <c r="AR41" s="185">
        <f>SUM(AN39:AN42)</f>
        <v>0</v>
      </c>
      <c r="AS41" s="134">
        <f>IF($AP41=$AP39,AL41,0)</f>
        <v>0</v>
      </c>
      <c r="AT41" s="177">
        <f>IF($AP41=$AP40,AM41,0)</f>
        <v>0</v>
      </c>
      <c r="AU41" s="266">
        <v>0</v>
      </c>
      <c r="AV41" s="264">
        <f>IF($AP41=$AP42,AO41,0)</f>
        <v>0</v>
      </c>
      <c r="AW41" s="184">
        <f>IF(AS41&gt;AU39,3,IF(AS41=AU39,1,0))+IF(AT41&gt;AU40,3,IF(AT41=AU40,1,0))+IF(AV41&gt;AU42,3,IF(AV41=AU42,1,0))</f>
        <v>3</v>
      </c>
      <c r="AX41" s="186">
        <f>SUM(AS41:AV41)</f>
        <v>0</v>
      </c>
      <c r="AY41" s="185">
        <f>SUM(AU39:AU42)</f>
        <v>0</v>
      </c>
      <c r="AZ41" s="277">
        <f ca="1">AP41*10000000000000+AW41*100000000000+(500+AX41-AY41)*100000000+AX41*10000000+(500+AQ41-AR41)*1000+AQ41*10+AI41</f>
        <v>350000500003</v>
      </c>
      <c r="BA41" s="280">
        <f ca="1">RANK(AZ41,AZ39:AZ42)</f>
        <v>2</v>
      </c>
    </row>
    <row r="42" spans="2:53" ht="15" customHeight="1" x14ac:dyDescent="0.3">
      <c r="B42" s="79"/>
      <c r="C42" s="9"/>
      <c r="D42" s="72"/>
      <c r="E42" s="72"/>
      <c r="F42" s="72"/>
      <c r="G42" s="72"/>
      <c r="H42" s="72"/>
      <c r="I42" s="72"/>
      <c r="J42" s="72"/>
      <c r="K42" s="72"/>
      <c r="L42" s="72"/>
      <c r="M42" s="72"/>
      <c r="N42" s="72"/>
      <c r="O42" s="72"/>
      <c r="P42" s="72"/>
      <c r="Q42" s="72"/>
      <c r="R42" s="72"/>
      <c r="S42" s="72"/>
      <c r="T42" s="72"/>
      <c r="U42" s="72"/>
      <c r="V42" s="72"/>
      <c r="W42" s="11"/>
      <c r="X42" s="79"/>
      <c r="Y42" s="201"/>
      <c r="Z42" s="201"/>
      <c r="AA42" s="201"/>
      <c r="AB42" s="6"/>
      <c r="AC42" s="6"/>
      <c r="AD42" s="5"/>
      <c r="AE42" s="77"/>
      <c r="AF42" s="130">
        <v>32</v>
      </c>
      <c r="AG42" s="130" t="str">
        <f t="shared" ca="1" si="0"/>
        <v>FOUT</v>
      </c>
      <c r="AH42" s="216" t="str">
        <f ca="1">RIGHT(AJ37,1)&amp;4</f>
        <v>D4</v>
      </c>
      <c r="AI42" s="332">
        <f ca="1">$AX$86</f>
        <v>4</v>
      </c>
      <c r="AJ42" s="183" t="str">
        <f ca="1">VLOOKUP(AH42,Voorblad!$X$67:$Z$98,2,FALSE)</f>
        <v>Tsjechië</v>
      </c>
      <c r="AK42" s="182" t="str">
        <f ca="1">VLOOKUP(AH42,Voorblad!$X$67:$Z$98,3,FALSE)</f>
        <v>CZ</v>
      </c>
      <c r="AL42" s="273">
        <f>IF(ISNUMBER(T40),T40,0)</f>
        <v>0</v>
      </c>
      <c r="AM42" s="274">
        <f>IF(ISNUMBER(V37),V37,0)</f>
        <v>0</v>
      </c>
      <c r="AN42" s="274">
        <f>IF(ISNUMBER(V36),V36,0)</f>
        <v>0</v>
      </c>
      <c r="AO42" s="275">
        <v>0</v>
      </c>
      <c r="AP42" s="530">
        <f>IF(AD40&lt;&gt;"FOUT",IF(AL42&gt;AO39,3,IF(AL42=AO39,1,0)),0)+IF(AD37&lt;&gt;"FOUT",IF(AM42&gt;AO40,3,IF(AM42=AO40,1,0)),0)+IF(AD35&lt;&gt;"FOUT",IF(AN42&gt;AO41,3,IF(AN42=AO41,1,0)),0)</f>
        <v>0</v>
      </c>
      <c r="AQ42" s="181">
        <f>SUM(AL42:AO42)</f>
        <v>0</v>
      </c>
      <c r="AR42" s="180">
        <f>SUM(AO39:AO42)</f>
        <v>0</v>
      </c>
      <c r="AS42" s="182">
        <f>IF($AP42=$AP39,AL42,0)</f>
        <v>0</v>
      </c>
      <c r="AT42" s="179">
        <f>IF($AP42=$AP40,AM42,0)</f>
        <v>0</v>
      </c>
      <c r="AU42" s="179">
        <f>IF($AP42=$AP41,AN42,0)</f>
        <v>0</v>
      </c>
      <c r="AV42" s="265">
        <v>0</v>
      </c>
      <c r="AW42" s="178">
        <f>IF(AS42&gt;AV39,3,IF(AS42=AV39,1,0))+IF(AT42&gt;AV40,3,IF(AT42=AV40,1,0))+IF(AU42&gt;AV41,3,IF(AU42=AV41,1,0))</f>
        <v>3</v>
      </c>
      <c r="AX42" s="181">
        <f>SUM(AS42:AV42)</f>
        <v>0</v>
      </c>
      <c r="AY42" s="180">
        <f>SUM(AV39:AV42)</f>
        <v>0</v>
      </c>
      <c r="AZ42" s="278">
        <f ca="1">AP42*10000000000000+AW42*100000000000+(500+AX42-AY42)*100000000+AX42*10000000+(500+AQ42-AR42)*1000+AQ42*10+AI42</f>
        <v>350000500004</v>
      </c>
      <c r="BA42" s="281">
        <f ca="1">RANK(AZ42,AZ39:AZ42)</f>
        <v>1</v>
      </c>
    </row>
    <row r="43" spans="2:53" ht="20.100000000000001" customHeight="1" x14ac:dyDescent="0.5">
      <c r="B43" s="79"/>
      <c r="C43" s="210"/>
      <c r="D43" s="10" t="str">
        <f ca="1">Taal04!$B$26&amp;" E"</f>
        <v>Groep E</v>
      </c>
      <c r="E43" s="72"/>
      <c r="F43" s="72"/>
      <c r="G43" s="72"/>
      <c r="H43" s="72"/>
      <c r="I43" s="72"/>
      <c r="J43" s="72"/>
      <c r="K43" s="72"/>
      <c r="L43" s="72"/>
      <c r="M43" s="72"/>
      <c r="N43" s="10" t="str">
        <f ca="1">Taal04!$B$26&amp;" F"</f>
        <v>Groep F</v>
      </c>
      <c r="O43" s="72"/>
      <c r="P43" s="72"/>
      <c r="Q43" s="72"/>
      <c r="R43" s="72"/>
      <c r="S43" s="72"/>
      <c r="T43" s="72"/>
      <c r="U43" s="72"/>
      <c r="V43" s="72"/>
      <c r="W43" s="237"/>
      <c r="X43" s="79"/>
      <c r="Y43" s="1148" t="str">
        <f ca="1">"Controle "&amp;D43</f>
        <v>Controle Groep E</v>
      </c>
      <c r="Z43" s="1148"/>
      <c r="AA43" s="1148"/>
      <c r="AB43" s="1148" t="str">
        <f ca="1">"Controle "&amp;N43</f>
        <v>Controle Groep F</v>
      </c>
      <c r="AC43" s="1148"/>
      <c r="AD43" s="1148"/>
      <c r="AE43" s="77"/>
      <c r="AF43" s="316">
        <v>33</v>
      </c>
      <c r="AG43" s="130" t="str">
        <f t="shared" ca="1" si="0"/>
        <v>FOUT</v>
      </c>
      <c r="AH43" s="1147"/>
      <c r="AI43" s="1147"/>
      <c r="AJ43" s="92" t="s">
        <v>232</v>
      </c>
      <c r="AK43" s="92" t="str">
        <f>IF(COUNTIF(AB35:AC40,"GOED")=12,"JA","NEE")</f>
        <v>NEE</v>
      </c>
      <c r="AL43" s="268"/>
      <c r="AM43" s="268"/>
      <c r="AN43" s="268"/>
      <c r="AO43" s="268"/>
      <c r="AP43" s="91"/>
      <c r="AQ43" s="91"/>
      <c r="AR43" s="91"/>
      <c r="AS43" s="238"/>
      <c r="AT43" s="238"/>
      <c r="AU43" s="238"/>
      <c r="AV43" s="238"/>
      <c r="AW43" s="238"/>
      <c r="AX43" s="238"/>
      <c r="AY43" s="238"/>
      <c r="AZ43" s="238"/>
      <c r="BA43" s="92"/>
    </row>
    <row r="44" spans="2:53" ht="15" customHeight="1" x14ac:dyDescent="0.3">
      <c r="B44" s="79"/>
      <c r="C44" s="210"/>
      <c r="D44" s="73"/>
      <c r="E44" s="235" t="str">
        <f ca="1">Taal04!$B$20</f>
        <v>Datum</v>
      </c>
      <c r="F44" s="235" t="str">
        <f ca="1">Taal04!$B$21</f>
        <v>Tijd</v>
      </c>
      <c r="G44" s="1173" t="str">
        <f ca="1">Taal04!$B$22</f>
        <v>Wedstrijd</v>
      </c>
      <c r="H44" s="1173"/>
      <c r="I44" s="1173"/>
      <c r="J44" s="1173" t="str">
        <f ca="1">Taal04!$B$24</f>
        <v>Eindstand</v>
      </c>
      <c r="K44" s="1174"/>
      <c r="L44" s="1174"/>
      <c r="M44" s="72"/>
      <c r="N44" s="73"/>
      <c r="O44" s="235" t="str">
        <f ca="1">Taal04!$B$20</f>
        <v>Datum</v>
      </c>
      <c r="P44" s="235" t="str">
        <f ca="1">Taal04!$B$21</f>
        <v>Tijd</v>
      </c>
      <c r="Q44" s="1173" t="str">
        <f ca="1">Taal04!$B$22</f>
        <v>Wedstrijd</v>
      </c>
      <c r="R44" s="1173"/>
      <c r="S44" s="1173"/>
      <c r="T44" s="1173" t="str">
        <f ca="1">Taal04!$B$24</f>
        <v>Eindstand</v>
      </c>
      <c r="U44" s="1174"/>
      <c r="V44" s="1174"/>
      <c r="W44" s="237"/>
      <c r="X44" s="79"/>
      <c r="Y44" s="13" t="s">
        <v>24</v>
      </c>
      <c r="Z44" s="13" t="s">
        <v>25</v>
      </c>
      <c r="AA44" s="240" t="s">
        <v>0</v>
      </c>
      <c r="AB44" s="13" t="s">
        <v>24</v>
      </c>
      <c r="AC44" s="13" t="s">
        <v>25</v>
      </c>
      <c r="AD44" s="240" t="s">
        <v>0</v>
      </c>
      <c r="AE44" s="77"/>
      <c r="AF44" s="316">
        <v>34</v>
      </c>
      <c r="AG44" s="130" t="str">
        <f t="shared" ca="1" si="0"/>
        <v>FOUT</v>
      </c>
      <c r="AH44" s="1147"/>
      <c r="AI44" s="1147"/>
      <c r="AJ44" s="92"/>
      <c r="AK44" s="1146" t="s">
        <v>177</v>
      </c>
      <c r="AL44" s="1146" t="str">
        <f ca="1">AJ48</f>
        <v>Spanje</v>
      </c>
      <c r="AM44" s="1146" t="str">
        <f ca="1">AJ49</f>
        <v>Zweden</v>
      </c>
      <c r="AN44" s="1146" t="str">
        <f ca="1">AJ50</f>
        <v>Polen</v>
      </c>
      <c r="AO44" s="1146" t="str">
        <f ca="1">AJ51</f>
        <v>Slowakije</v>
      </c>
      <c r="AP44" s="1146" t="s">
        <v>99</v>
      </c>
      <c r="AQ44" s="1146" t="s">
        <v>176</v>
      </c>
      <c r="AR44" s="1146" t="s">
        <v>175</v>
      </c>
      <c r="AS44" s="1146" t="str">
        <f ca="1">"Gelijk met "&amp;AH48</f>
        <v>Gelijk met E1</v>
      </c>
      <c r="AT44" s="1146" t="str">
        <f ca="1">"Gelijk met "&amp;AH49</f>
        <v>Gelijk met E2</v>
      </c>
      <c r="AU44" s="1146" t="str">
        <f ca="1">"Gelijk met "&amp;AH50</f>
        <v>Gelijk met E3</v>
      </c>
      <c r="AV44" s="1146" t="str">
        <f ca="1">"Gelijk met "&amp;AH51</f>
        <v>Gelijk met E4</v>
      </c>
      <c r="AW44" s="1146" t="s">
        <v>99</v>
      </c>
      <c r="AX44" s="1146" t="s">
        <v>176</v>
      </c>
      <c r="AY44" s="1146" t="s">
        <v>175</v>
      </c>
      <c r="AZ44" s="1146" t="s">
        <v>233</v>
      </c>
      <c r="BA44" s="1146" t="s">
        <v>71</v>
      </c>
    </row>
    <row r="45" spans="2:53" ht="15" customHeight="1" x14ac:dyDescent="0.3">
      <c r="B45" s="79"/>
      <c r="C45" s="210"/>
      <c r="D45" s="14">
        <v>10</v>
      </c>
      <c r="E45" s="23">
        <f>DATE(2021,6,14)+TIME(18,0,0)</f>
        <v>44361.75</v>
      </c>
      <c r="F45" s="161">
        <f t="shared" ref="F45:F50" si="17">E45+TIME(0,0,0)</f>
        <v>44361.75</v>
      </c>
      <c r="G45" s="16" t="str">
        <f ca="1">AJ50</f>
        <v>Polen</v>
      </c>
      <c r="H45" s="15" t="s">
        <v>12</v>
      </c>
      <c r="I45" s="236" t="str">
        <f ca="1">AJ51</f>
        <v>Slowakije</v>
      </c>
      <c r="J45" s="457"/>
      <c r="K45" s="66" t="s">
        <v>12</v>
      </c>
      <c r="L45" s="457"/>
      <c r="M45" s="17"/>
      <c r="N45" s="14">
        <v>11</v>
      </c>
      <c r="O45" s="23">
        <f>DATE(2021,6,15)+TIME(18,0,0)</f>
        <v>44362.75</v>
      </c>
      <c r="P45" s="161">
        <f t="shared" ref="P45:P50" si="18">O45+TIME(0,0,0)</f>
        <v>44362.75</v>
      </c>
      <c r="Q45" s="16" t="str">
        <f ca="1">AJ57</f>
        <v>Hongarije</v>
      </c>
      <c r="R45" s="15" t="s">
        <v>12</v>
      </c>
      <c r="S45" s="236" t="str">
        <f ca="1">AJ58</f>
        <v>Portugal</v>
      </c>
      <c r="T45" s="457"/>
      <c r="U45" s="66" t="s">
        <v>12</v>
      </c>
      <c r="V45" s="457"/>
      <c r="W45" s="237"/>
      <c r="X45" s="79"/>
      <c r="Y45" s="6" t="str">
        <f t="shared" ref="Y45:Y50" si="19">IF(ISBLANK(J45),"LEEG",IF(TYPE(J45)=1,IF(AND(J45&lt;10,J45&gt;=0),IF(J45=ROUND(J45,0),"GOED","ONGELDIG"),"HOOG"),"ONGELDIG"))</f>
        <v>LEEG</v>
      </c>
      <c r="Z45" s="6" t="str">
        <f t="shared" ref="Z45:Z50" si="20">IF(ISBLANK(L45),"LEEG",IF(TYPE(L45)=1,IF(AND(L45&lt;10,L45&gt;=0),IF(L45=ROUND(L45,0),"GOED","ONGELDIG"),"HOOG"),"ONGELDIG"))</f>
        <v>LEEG</v>
      </c>
      <c r="AA45" s="201" t="str">
        <f t="shared" ref="AA45:AA50" si="21">IF(Y45="GOED",IF(Z45="GOED",J45&amp;L45&amp;"|","FOUT"),"FOUT")</f>
        <v>FOUT</v>
      </c>
      <c r="AB45" s="6" t="str">
        <f t="shared" ref="AB45:AB50" si="22">IF(ISBLANK(T45),"LEEG",IF(TYPE(T45)=1,IF(AND(T45&lt;10,T45&gt;=0),IF(T45=ROUND(T45,0),"GOED","ONGELDIG"),"HOOG"),"ONGELDIG"))</f>
        <v>LEEG</v>
      </c>
      <c r="AC45" s="6" t="str">
        <f t="shared" ref="AC45:AC50" si="23">IF(ISBLANK(V45),"LEEG",IF(TYPE(V45)=1,IF(AND(V45&lt;10,V45&gt;=0),IF(V45=ROUND(V45,0),"GOED","ONGELDIG"),"HOOG"),"ONGELDIG"))</f>
        <v>LEEG</v>
      </c>
      <c r="AD45" s="201" t="str">
        <f t="shared" ref="AD45:AD50" si="24">IF(AB45="GOED",IF(AC45="GOED",T45&amp;V45&amp;"|","FOUT"),"FOUT")</f>
        <v>FOUT</v>
      </c>
      <c r="AE45" s="77"/>
      <c r="AF45" s="316">
        <v>35</v>
      </c>
      <c r="AG45" s="130" t="str">
        <f t="shared" ca="1" si="0"/>
        <v>FOUT</v>
      </c>
      <c r="AH45" s="1147"/>
      <c r="AI45" s="1147"/>
      <c r="AJ45" s="92"/>
      <c r="AK45" s="1146"/>
      <c r="AL45" s="1146"/>
      <c r="AM45" s="1146"/>
      <c r="AN45" s="1146"/>
      <c r="AO45" s="1146"/>
      <c r="AP45" s="1146"/>
      <c r="AQ45" s="1146"/>
      <c r="AR45" s="1146"/>
      <c r="AS45" s="1146"/>
      <c r="AT45" s="1146"/>
      <c r="AU45" s="1146"/>
      <c r="AV45" s="1146"/>
      <c r="AW45" s="1146"/>
      <c r="AX45" s="1146"/>
      <c r="AY45" s="1146"/>
      <c r="AZ45" s="1146"/>
      <c r="BA45" s="1146"/>
    </row>
    <row r="46" spans="2:53" ht="15" customHeight="1" x14ac:dyDescent="0.3">
      <c r="B46" s="79"/>
      <c r="C46" s="210"/>
      <c r="D46" s="14" t="str">
        <f>"09"</f>
        <v>09</v>
      </c>
      <c r="E46" s="23">
        <f>DATE(2021,6,14)+TIME(21,0,0)</f>
        <v>44361.875</v>
      </c>
      <c r="F46" s="161">
        <f t="shared" si="17"/>
        <v>44361.875</v>
      </c>
      <c r="G46" s="16" t="str">
        <f ca="1">AJ48</f>
        <v>Spanje</v>
      </c>
      <c r="H46" s="15" t="s">
        <v>12</v>
      </c>
      <c r="I46" s="236" t="str">
        <f ca="1">AJ49</f>
        <v>Zweden</v>
      </c>
      <c r="J46" s="457"/>
      <c r="K46" s="66" t="s">
        <v>12</v>
      </c>
      <c r="L46" s="457"/>
      <c r="M46" s="17"/>
      <c r="N46" s="14">
        <v>12</v>
      </c>
      <c r="O46" s="23">
        <f>DATE(2021,6,15)+TIME(21,0,0)</f>
        <v>44362.875</v>
      </c>
      <c r="P46" s="161">
        <f t="shared" si="18"/>
        <v>44362.875</v>
      </c>
      <c r="Q46" s="16" t="str">
        <f ca="1">AJ59</f>
        <v>Frankrijk</v>
      </c>
      <c r="R46" s="15" t="s">
        <v>12</v>
      </c>
      <c r="S46" s="236" t="str">
        <f ca="1">AJ60</f>
        <v>Duitsland</v>
      </c>
      <c r="T46" s="457"/>
      <c r="U46" s="66" t="s">
        <v>12</v>
      </c>
      <c r="V46" s="457"/>
      <c r="W46" s="237"/>
      <c r="X46" s="79"/>
      <c r="Y46" s="6" t="str">
        <f t="shared" si="19"/>
        <v>LEEG</v>
      </c>
      <c r="Z46" s="6" t="str">
        <f t="shared" si="20"/>
        <v>LEEG</v>
      </c>
      <c r="AA46" s="201" t="str">
        <f t="shared" si="21"/>
        <v>FOUT</v>
      </c>
      <c r="AB46" s="6" t="str">
        <f t="shared" si="22"/>
        <v>LEEG</v>
      </c>
      <c r="AC46" s="6" t="str">
        <f t="shared" si="23"/>
        <v>LEEG</v>
      </c>
      <c r="AD46" s="201" t="str">
        <f t="shared" si="24"/>
        <v>FOUT</v>
      </c>
      <c r="AE46" s="253"/>
      <c r="AF46" s="316">
        <v>36</v>
      </c>
      <c r="AG46" s="130" t="str">
        <f t="shared" ca="1" si="0"/>
        <v>FOUT</v>
      </c>
      <c r="AH46" s="1147"/>
      <c r="AI46" s="1147"/>
      <c r="AJ46" s="555" t="str">
        <f ca="1">D43</f>
        <v>Groep E</v>
      </c>
      <c r="AK46" s="1146"/>
      <c r="AL46" s="1146"/>
      <c r="AM46" s="1146"/>
      <c r="AN46" s="1146"/>
      <c r="AO46" s="1146"/>
      <c r="AP46" s="1146"/>
      <c r="AQ46" s="1146"/>
      <c r="AR46" s="1146"/>
      <c r="AS46" s="1146"/>
      <c r="AT46" s="1146"/>
      <c r="AU46" s="1146"/>
      <c r="AV46" s="1146"/>
      <c r="AW46" s="1146"/>
      <c r="AX46" s="1146"/>
      <c r="AY46" s="1146"/>
      <c r="AZ46" s="1146"/>
      <c r="BA46" s="1146"/>
    </row>
    <row r="47" spans="2:53" ht="15" customHeight="1" x14ac:dyDescent="0.3">
      <c r="B47" s="79"/>
      <c r="C47" s="210"/>
      <c r="D47" s="14">
        <v>21</v>
      </c>
      <c r="E47" s="23">
        <f>DATE(2021,6,18)+TIME(15,0,0)</f>
        <v>44365.625</v>
      </c>
      <c r="F47" s="161">
        <f t="shared" si="17"/>
        <v>44365.625</v>
      </c>
      <c r="G47" s="16" t="str">
        <f ca="1">AJ49</f>
        <v>Zweden</v>
      </c>
      <c r="H47" s="15" t="s">
        <v>12</v>
      </c>
      <c r="I47" s="236" t="str">
        <f ca="1">AJ51</f>
        <v>Slowakije</v>
      </c>
      <c r="J47" s="457"/>
      <c r="K47" s="66" t="s">
        <v>12</v>
      </c>
      <c r="L47" s="457"/>
      <c r="M47" s="17"/>
      <c r="N47" s="14">
        <v>23</v>
      </c>
      <c r="O47" s="23">
        <f>DATE(2021,6,19)+TIME(15,0,0)</f>
        <v>44366.625</v>
      </c>
      <c r="P47" s="161">
        <f>O47+TIME(0,0,0)</f>
        <v>44366.625</v>
      </c>
      <c r="Q47" s="16" t="str">
        <f ca="1">AJ57</f>
        <v>Hongarije</v>
      </c>
      <c r="R47" s="15" t="s">
        <v>12</v>
      </c>
      <c r="S47" s="236" t="str">
        <f ca="1">AJ59</f>
        <v>Frankrijk</v>
      </c>
      <c r="T47" s="457"/>
      <c r="U47" s="66" t="s">
        <v>12</v>
      </c>
      <c r="V47" s="457"/>
      <c r="W47" s="237"/>
      <c r="X47" s="79"/>
      <c r="Y47" s="6" t="str">
        <f t="shared" si="19"/>
        <v>LEEG</v>
      </c>
      <c r="Z47" s="6" t="str">
        <f t="shared" si="20"/>
        <v>LEEG</v>
      </c>
      <c r="AA47" s="201" t="str">
        <f t="shared" si="21"/>
        <v>FOUT</v>
      </c>
      <c r="AB47" s="6" t="str">
        <f>IF(ISBLANK(T47),"LEEG",IF(TYPE(T47)=1,IF(AND(T47&lt;10,T47&gt;=0),IF(T47=ROUND(T47,0),"GOED","ONGELDIG"),"HOOG"),"ONGELDIG"))</f>
        <v>LEEG</v>
      </c>
      <c r="AC47" s="6" t="str">
        <f>IF(ISBLANK(V47),"LEEG",IF(TYPE(V47)=1,IF(AND(V47&lt;10,V47&gt;=0),IF(V47=ROUND(V47,0),"GOED","ONGELDIG"),"HOOG"),"ONGELDIG"))</f>
        <v>LEEG</v>
      </c>
      <c r="AD47" s="201" t="str">
        <f>IF(AB47="GOED",IF(AC47="GOED",T47&amp;V47&amp;"|","FOUT"),"FOUT")</f>
        <v>FOUT</v>
      </c>
      <c r="AE47" s="77"/>
      <c r="AF47" s="316">
        <v>37</v>
      </c>
      <c r="AG47" s="130" t="str">
        <f ca="1">IF(TYPE(VLOOKUP(AF47,$D$25:$D$60,1,FALSE)*1)=1,VLOOKUP(AF47,$D$25:$AA$60,24,FALSE),IF(TYPE(VLOOKUP(AF47,$N$25:$N$60,1,FALSE)*1)=1,VLOOKUP(AF47,$N$25:$AD$60,17,FALSE),"ERROR"))</f>
        <v>ERROR</v>
      </c>
      <c r="AH47" s="1147"/>
      <c r="AI47" s="1147"/>
      <c r="AJ47" s="554" t="s">
        <v>17</v>
      </c>
      <c r="AK47" s="1175"/>
      <c r="AL47" s="1175"/>
      <c r="AM47" s="1175"/>
      <c r="AN47" s="1175"/>
      <c r="AO47" s="1175"/>
      <c r="AP47" s="1146"/>
      <c r="AQ47" s="1146"/>
      <c r="AR47" s="1146"/>
      <c r="AS47" s="1146"/>
      <c r="AT47" s="1146"/>
      <c r="AU47" s="1146"/>
      <c r="AV47" s="1146"/>
      <c r="AW47" s="1146"/>
      <c r="AX47" s="1146"/>
      <c r="AY47" s="1146"/>
      <c r="AZ47" s="1146"/>
      <c r="BA47" s="1146"/>
    </row>
    <row r="48" spans="2:53" ht="15" customHeight="1" x14ac:dyDescent="0.3">
      <c r="B48" s="79"/>
      <c r="C48" s="210"/>
      <c r="D48" s="14">
        <v>22</v>
      </c>
      <c r="E48" s="23">
        <f>DATE(2021,6,19)+TIME(21,0,0)</f>
        <v>44366.875</v>
      </c>
      <c r="F48" s="161">
        <f t="shared" si="17"/>
        <v>44366.875</v>
      </c>
      <c r="G48" s="16" t="str">
        <f ca="1">AJ48</f>
        <v>Spanje</v>
      </c>
      <c r="H48" s="15" t="s">
        <v>12</v>
      </c>
      <c r="I48" s="236" t="str">
        <f ca="1">AJ50</f>
        <v>Polen</v>
      </c>
      <c r="J48" s="457"/>
      <c r="K48" s="66" t="s">
        <v>12</v>
      </c>
      <c r="L48" s="457"/>
      <c r="M48" s="17"/>
      <c r="N48" s="14">
        <v>24</v>
      </c>
      <c r="O48" s="23">
        <f>DATE(2021,6,19)+TIME(18,0,0)</f>
        <v>44366.75</v>
      </c>
      <c r="P48" s="161">
        <f>O48+TIME(0,0,0)</f>
        <v>44366.75</v>
      </c>
      <c r="Q48" s="16" t="str">
        <f ca="1">AJ58</f>
        <v>Portugal</v>
      </c>
      <c r="R48" s="15" t="s">
        <v>12</v>
      </c>
      <c r="S48" s="236" t="str">
        <f ca="1">AJ60</f>
        <v>Duitsland</v>
      </c>
      <c r="T48" s="457"/>
      <c r="U48" s="66" t="s">
        <v>12</v>
      </c>
      <c r="V48" s="457"/>
      <c r="W48" s="237"/>
      <c r="X48" s="79"/>
      <c r="Y48" s="6" t="str">
        <f t="shared" si="19"/>
        <v>LEEG</v>
      </c>
      <c r="Z48" s="6" t="str">
        <f t="shared" si="20"/>
        <v>LEEG</v>
      </c>
      <c r="AA48" s="201" t="str">
        <f t="shared" si="21"/>
        <v>FOUT</v>
      </c>
      <c r="AB48" s="6" t="str">
        <f>IF(ISBLANK(T48),"LEEG",IF(TYPE(T48)=1,IF(AND(T48&lt;10,T48&gt;=0),IF(T48=ROUND(T48,0),"GOED","ONGELDIG"),"HOOG"),"ONGELDIG"))</f>
        <v>LEEG</v>
      </c>
      <c r="AC48" s="6" t="str">
        <f>IF(ISBLANK(V48),"LEEG",IF(TYPE(V48)=1,IF(AND(V48&lt;10,V48&gt;=0),IF(V48=ROUND(V48,0),"GOED","ONGELDIG"),"HOOG"),"ONGELDIG"))</f>
        <v>LEEG</v>
      </c>
      <c r="AD48" s="201" t="str">
        <f>IF(AB48="GOED",IF(AC48="GOED",T48&amp;V48&amp;"|","FOUT"),"FOUT")</f>
        <v>FOUT</v>
      </c>
      <c r="AE48" s="77"/>
      <c r="AF48" s="316">
        <v>38</v>
      </c>
      <c r="AG48" s="130" t="str">
        <f t="shared" ca="1" si="0"/>
        <v>ERROR</v>
      </c>
      <c r="AH48" s="216" t="str">
        <f ca="1">RIGHT(AJ46,1)&amp;1</f>
        <v>E1</v>
      </c>
      <c r="AI48" s="332">
        <f ca="1">$AU$87</f>
        <v>3</v>
      </c>
      <c r="AJ48" s="556" t="str">
        <f ca="1">VLOOKUP(AH48,Voorblad!$X$67:$Z$98,2,FALSE)</f>
        <v>Spanje</v>
      </c>
      <c r="AK48" s="192" t="str">
        <f ca="1">VLOOKUP(AH48,Voorblad!$X$67:$Z$98,3,FALSE)</f>
        <v>ES</v>
      </c>
      <c r="AL48" s="267">
        <v>0</v>
      </c>
      <c r="AM48" s="270">
        <f>IF(ISNUMBER(J46),J46,0)</f>
        <v>0</v>
      </c>
      <c r="AN48" s="270">
        <f>IF(ISNUMBER(J48),J48,0)</f>
        <v>0</v>
      </c>
      <c r="AO48" s="270">
        <f>IF(ISNUMBER(L49),L49,0)</f>
        <v>0</v>
      </c>
      <c r="AP48" s="188">
        <f>IF(AA46&lt;&gt;"FOUT",IF(AM48&gt;AL49,3,IF(AM48=AL49,1,0)),0)+IF(AA48&lt;&gt;"FOUT",IF(AN48&gt;AL50,3,IF(AN48=AL50,1,0)),0)+IF(AA50&lt;&gt;"FOUT",IF(AO48&gt;AL51,3,IF(AO48=AL51,1,0)),0)</f>
        <v>0</v>
      </c>
      <c r="AQ48" s="191">
        <f>SUM(AL48:AO48)</f>
        <v>0</v>
      </c>
      <c r="AR48" s="190">
        <f>SUM(AL48:AL51)</f>
        <v>0</v>
      </c>
      <c r="AS48" s="267">
        <v>0</v>
      </c>
      <c r="AT48" s="189">
        <f>IF($AP48=$AP49,AM48,0)</f>
        <v>0</v>
      </c>
      <c r="AU48" s="189">
        <f>IF($AP48=$AP50,AN48,0)</f>
        <v>0</v>
      </c>
      <c r="AV48" s="263">
        <f>IF($AP48=$AP51,AO48,0)</f>
        <v>0</v>
      </c>
      <c r="AW48" s="188">
        <f>IF(AT48&gt;AS49,3,IF(AT48=AS49,1,0))+IF(AU48&gt;AS50,3,IF(AU48=AS50,1,0))+IF(AV48&gt;AS51,3,IF(AV48=AS51,1,0))</f>
        <v>3</v>
      </c>
      <c r="AX48" s="191">
        <f>SUM(AS48:AV48)</f>
        <v>0</v>
      </c>
      <c r="AY48" s="190">
        <f>SUM(AS48:AS51)</f>
        <v>0</v>
      </c>
      <c r="AZ48" s="276">
        <f ca="1">AP48*10000000000000+AW48*100000000000+(500+AX48-AY48)*100000000+AX48*10000000+(500+AQ48-AR48)*1000+AQ48*10+AI48</f>
        <v>350000500003</v>
      </c>
      <c r="BA48" s="279">
        <f ca="1">RANK(AZ48,AZ48:AZ51)</f>
        <v>2</v>
      </c>
    </row>
    <row r="49" spans="1:53" ht="15" customHeight="1" x14ac:dyDescent="0.3">
      <c r="B49" s="79"/>
      <c r="C49" s="210"/>
      <c r="D49" s="14">
        <v>33</v>
      </c>
      <c r="E49" s="544">
        <f>DATE(2021,6,23)+TIME(18,0,0)</f>
        <v>44370.75</v>
      </c>
      <c r="F49" s="161">
        <f t="shared" si="17"/>
        <v>44370.75</v>
      </c>
      <c r="G49" s="16" t="str">
        <f ca="1">AJ51</f>
        <v>Slowakije</v>
      </c>
      <c r="H49" s="15" t="s">
        <v>12</v>
      </c>
      <c r="I49" s="236" t="str">
        <f ca="1">AJ48</f>
        <v>Spanje</v>
      </c>
      <c r="J49" s="457"/>
      <c r="K49" s="66" t="s">
        <v>12</v>
      </c>
      <c r="L49" s="457"/>
      <c r="M49" s="17"/>
      <c r="N49" s="14">
        <v>35</v>
      </c>
      <c r="O49" s="544">
        <f>DATE(2021,6,23)+TIME(21,0,0)</f>
        <v>44370.875</v>
      </c>
      <c r="P49" s="161">
        <f t="shared" si="18"/>
        <v>44370.875</v>
      </c>
      <c r="Q49" s="16" t="str">
        <f ca="1">AJ58</f>
        <v>Portugal</v>
      </c>
      <c r="R49" s="15" t="s">
        <v>12</v>
      </c>
      <c r="S49" s="236" t="str">
        <f ca="1">AJ59</f>
        <v>Frankrijk</v>
      </c>
      <c r="T49" s="457"/>
      <c r="U49" s="66" t="s">
        <v>12</v>
      </c>
      <c r="V49" s="457"/>
      <c r="W49" s="237"/>
      <c r="X49" s="79"/>
      <c r="Y49" s="6" t="str">
        <f t="shared" si="19"/>
        <v>LEEG</v>
      </c>
      <c r="Z49" s="6" t="str">
        <f t="shared" si="20"/>
        <v>LEEG</v>
      </c>
      <c r="AA49" s="201" t="str">
        <f t="shared" si="21"/>
        <v>FOUT</v>
      </c>
      <c r="AB49" s="6" t="str">
        <f t="shared" si="22"/>
        <v>LEEG</v>
      </c>
      <c r="AC49" s="6" t="str">
        <f t="shared" si="23"/>
        <v>LEEG</v>
      </c>
      <c r="AD49" s="201" t="str">
        <f t="shared" si="24"/>
        <v>FOUT</v>
      </c>
      <c r="AE49" s="77"/>
      <c r="AF49" s="316">
        <v>39</v>
      </c>
      <c r="AG49" s="130" t="str">
        <f t="shared" ca="1" si="0"/>
        <v>ERROR</v>
      </c>
      <c r="AH49" s="216" t="str">
        <f ca="1">RIGHT(AJ46,1)&amp;2</f>
        <v>E2</v>
      </c>
      <c r="AI49" s="332">
        <f ca="1">$AV$87</f>
        <v>4</v>
      </c>
      <c r="AJ49" s="566" t="str">
        <f ca="1">VLOOKUP(AH49,Voorblad!$X$67:$Z$98,2,FALSE)</f>
        <v>Zweden</v>
      </c>
      <c r="AK49" s="134" t="str">
        <f ca="1">VLOOKUP(AH49,Voorblad!$X$67:$Z$98,3,FALSE)</f>
        <v>SE</v>
      </c>
      <c r="AL49" s="271">
        <f>IF(ISNUMBER(L46),L46,0)</f>
        <v>0</v>
      </c>
      <c r="AM49" s="266">
        <v>0</v>
      </c>
      <c r="AN49" s="272">
        <f>IF(ISNUMBER(J50),J50,0)</f>
        <v>0</v>
      </c>
      <c r="AO49" s="272">
        <f>IF(ISNUMBER(J47),J47,0)</f>
        <v>0</v>
      </c>
      <c r="AP49" s="184">
        <f>IF(AA46&lt;&gt;"FOUT",IF(AL49&gt;AM48,3,IF(AL49=AM48,1,0)),0)+IF(AA49&lt;&gt;"FOUT",IF(AN49&gt;AM50,3,IF(AN49=AM50,1,0)),0)+IF(AA47&lt;&gt;"FOUT",IF(AO49&gt;AM51,3,IF(AO49=AM51,1,0)),0)</f>
        <v>0</v>
      </c>
      <c r="AQ49" s="186">
        <f>SUM(AL49:AO49)</f>
        <v>0</v>
      </c>
      <c r="AR49" s="185">
        <f>SUM(AM48:AM51)</f>
        <v>0</v>
      </c>
      <c r="AS49" s="134">
        <f>IF($AP49=$AP48,AL49,0)</f>
        <v>0</v>
      </c>
      <c r="AT49" s="266">
        <v>0</v>
      </c>
      <c r="AU49" s="177">
        <f>IF($AP49=$AP50,AN49,0)</f>
        <v>0</v>
      </c>
      <c r="AV49" s="264">
        <f>IF($AP49=$AP51,AO49,0)</f>
        <v>0</v>
      </c>
      <c r="AW49" s="184">
        <f>IF(AS49&gt;AT48,3,IF(AS49=AT48,1,0))+IF(AU49&gt;AT50,3,IF(AU49=AT50,1,0))+IF(AV49&gt;AT51,3,IF(AV49=AT51,1,0))</f>
        <v>3</v>
      </c>
      <c r="AX49" s="186">
        <f>SUM(AS49:AV49)</f>
        <v>0</v>
      </c>
      <c r="AY49" s="185">
        <f>SUM(AT48:AT51)</f>
        <v>0</v>
      </c>
      <c r="AZ49" s="277">
        <f ca="1">AP49*10000000000000+AW49*100000000000+(500+AX49-AY49)*100000000+AX49*10000000+(500+AQ49-AR49)*1000+AQ49*10+AI49</f>
        <v>350000500004</v>
      </c>
      <c r="BA49" s="280">
        <f ca="1">RANK(AZ49,AZ48:AZ51)</f>
        <v>1</v>
      </c>
    </row>
    <row r="50" spans="1:53" ht="15" customHeight="1" x14ac:dyDescent="0.3">
      <c r="B50" s="79"/>
      <c r="C50" s="210"/>
      <c r="D50" s="14">
        <v>34</v>
      </c>
      <c r="E50" s="544">
        <f>E49</f>
        <v>44370.75</v>
      </c>
      <c r="F50" s="161">
        <f t="shared" si="17"/>
        <v>44370.75</v>
      </c>
      <c r="G50" s="16" t="str">
        <f ca="1">AJ49</f>
        <v>Zweden</v>
      </c>
      <c r="H50" s="15" t="s">
        <v>12</v>
      </c>
      <c r="I50" s="236" t="str">
        <f ca="1">AJ50</f>
        <v>Polen</v>
      </c>
      <c r="J50" s="457"/>
      <c r="K50" s="66" t="s">
        <v>12</v>
      </c>
      <c r="L50" s="457"/>
      <c r="M50" s="17"/>
      <c r="N50" s="14">
        <v>36</v>
      </c>
      <c r="O50" s="544">
        <f>O49</f>
        <v>44370.875</v>
      </c>
      <c r="P50" s="161">
        <f t="shared" si="18"/>
        <v>44370.875</v>
      </c>
      <c r="Q50" s="16" t="str">
        <f ca="1">AJ60</f>
        <v>Duitsland</v>
      </c>
      <c r="R50" s="15" t="s">
        <v>12</v>
      </c>
      <c r="S50" s="236" t="str">
        <f ca="1">AJ57</f>
        <v>Hongarije</v>
      </c>
      <c r="T50" s="457"/>
      <c r="U50" s="66" t="s">
        <v>12</v>
      </c>
      <c r="V50" s="457"/>
      <c r="W50" s="237"/>
      <c r="X50" s="79"/>
      <c r="Y50" s="6" t="str">
        <f t="shared" si="19"/>
        <v>LEEG</v>
      </c>
      <c r="Z50" s="6" t="str">
        <f t="shared" si="20"/>
        <v>LEEG</v>
      </c>
      <c r="AA50" s="201" t="str">
        <f t="shared" si="21"/>
        <v>FOUT</v>
      </c>
      <c r="AB50" s="6" t="str">
        <f t="shared" si="22"/>
        <v>LEEG</v>
      </c>
      <c r="AC50" s="6" t="str">
        <f t="shared" si="23"/>
        <v>LEEG</v>
      </c>
      <c r="AD50" s="201" t="str">
        <f t="shared" si="24"/>
        <v>FOUT</v>
      </c>
      <c r="AE50" s="77"/>
      <c r="AF50" s="316">
        <v>40</v>
      </c>
      <c r="AG50" s="130" t="str">
        <f t="shared" ca="1" si="0"/>
        <v>ERROR</v>
      </c>
      <c r="AH50" s="216" t="str">
        <f ca="1">RIGHT(AJ46,1)&amp;3</f>
        <v>E3</v>
      </c>
      <c r="AI50" s="332">
        <f ca="1">$AW$87</f>
        <v>1</v>
      </c>
      <c r="AJ50" s="566" t="str">
        <f ca="1">VLOOKUP(AH50,Voorblad!$X$67:$Z$98,2,FALSE)</f>
        <v>Polen</v>
      </c>
      <c r="AK50" s="134" t="str">
        <f ca="1">VLOOKUP(AH50,Voorblad!$X$67:$Z$98,3,FALSE)</f>
        <v>PL</v>
      </c>
      <c r="AL50" s="271">
        <f>IF(ISNUMBER(L48),L48,0)</f>
        <v>0</v>
      </c>
      <c r="AM50" s="272">
        <f>IF(ISNUMBER(L50),L50,0)</f>
        <v>0</v>
      </c>
      <c r="AN50" s="266">
        <v>0</v>
      </c>
      <c r="AO50" s="272">
        <f>IF(ISNUMBER(J45),J45,0)</f>
        <v>0</v>
      </c>
      <c r="AP50" s="184">
        <f>IF(AA48&lt;&gt;"FOUT",IF(AL50&gt;AN48,3,IF(AL50=AN48,1,0)),0)+IF(AA49&lt;&gt;"FOUT",IF(AM50&gt;AN49,3,IF(AM50=AN49,1,0)),0)+IF(AA45&lt;&gt;"FOUT",IF(AO50&gt;AN51,3,IF(AO50=AN51,1,0)),0)</f>
        <v>0</v>
      </c>
      <c r="AQ50" s="186">
        <f>SUM(AL50:AO50)</f>
        <v>0</v>
      </c>
      <c r="AR50" s="185">
        <f>SUM(AN48:AN51)</f>
        <v>0</v>
      </c>
      <c r="AS50" s="134">
        <f>IF($AP50=$AP48,AL50,0)</f>
        <v>0</v>
      </c>
      <c r="AT50" s="177">
        <f>IF($AP50=$AP49,AM50,0)</f>
        <v>0</v>
      </c>
      <c r="AU50" s="266">
        <v>0</v>
      </c>
      <c r="AV50" s="264">
        <f>IF($AP50=$AP51,AO50,0)</f>
        <v>0</v>
      </c>
      <c r="AW50" s="184">
        <f>IF(AS50&gt;AU48,3,IF(AS50=AU48,1,0))+IF(AT50&gt;AU49,3,IF(AT50=AU49,1,0))+IF(AV50&gt;AU51,3,IF(AV50=AU51,1,0))</f>
        <v>3</v>
      </c>
      <c r="AX50" s="186">
        <f>SUM(AS50:AV50)</f>
        <v>0</v>
      </c>
      <c r="AY50" s="185">
        <f>SUM(AU48:AU51)</f>
        <v>0</v>
      </c>
      <c r="AZ50" s="277">
        <f ca="1">AP50*10000000000000+AW50*100000000000+(500+AX50-AY50)*100000000+AX50*10000000+(500+AQ50-AR50)*1000+AQ50*10+AI50</f>
        <v>350000500001</v>
      </c>
      <c r="BA50" s="280">
        <f ca="1">RANK(AZ50,AZ48:AZ51)</f>
        <v>4</v>
      </c>
    </row>
    <row r="51" spans="1:53" ht="15" customHeight="1" x14ac:dyDescent="0.3">
      <c r="B51" s="79"/>
      <c r="C51" s="210"/>
      <c r="D51" s="230"/>
      <c r="E51" s="67"/>
      <c r="F51" s="313"/>
      <c r="G51" s="314"/>
      <c r="H51" s="68"/>
      <c r="I51" s="315"/>
      <c r="J51" s="72"/>
      <c r="K51" s="72"/>
      <c r="L51" s="72"/>
      <c r="M51" s="17"/>
      <c r="N51" s="230"/>
      <c r="O51" s="67"/>
      <c r="P51" s="313"/>
      <c r="Q51" s="314"/>
      <c r="R51" s="68"/>
      <c r="S51" s="315"/>
      <c r="T51" s="72"/>
      <c r="U51" s="72"/>
      <c r="V51" s="72"/>
      <c r="W51" s="237"/>
      <c r="X51" s="79"/>
      <c r="Y51" s="6"/>
      <c r="Z51" s="6"/>
      <c r="AA51" s="201"/>
      <c r="AB51" s="6"/>
      <c r="AC51" s="6"/>
      <c r="AD51" s="6"/>
      <c r="AE51" s="77"/>
      <c r="AF51" s="316">
        <v>41</v>
      </c>
      <c r="AG51" s="130" t="str">
        <f t="shared" ca="1" si="0"/>
        <v>ERROR</v>
      </c>
      <c r="AH51" s="216" t="str">
        <f ca="1">RIGHT(AJ46,1)&amp;4</f>
        <v>E4</v>
      </c>
      <c r="AI51" s="332">
        <f ca="1">$AX$87</f>
        <v>2</v>
      </c>
      <c r="AJ51" s="577" t="str">
        <f ca="1">VLOOKUP(AH51,Voorblad!$X$67:$Z$98,2,FALSE)</f>
        <v>Slowakije</v>
      </c>
      <c r="AK51" s="182" t="str">
        <f ca="1">VLOOKUP(AH51,Voorblad!$X$67:$Z$98,3,FALSE)</f>
        <v>SK</v>
      </c>
      <c r="AL51" s="273">
        <f>IF(ISNUMBER(J49),J49,0)</f>
        <v>0</v>
      </c>
      <c r="AM51" s="274">
        <f>IF(ISNUMBER(L47),L47,0)</f>
        <v>0</v>
      </c>
      <c r="AN51" s="274">
        <f>IF(ISNUMBER(L45),L45,0)</f>
        <v>0</v>
      </c>
      <c r="AO51" s="275">
        <v>0</v>
      </c>
      <c r="AP51" s="530">
        <f>IF(AA50&lt;&gt;"FOUT",IF(AL51&gt;AO48,3,IF(AL51=AO48,1,0)),0)+IF(AA47&lt;&gt;"FOUT",IF(AM51&gt;AO49,3,IF(AM51=AO49,1,0)),0)+IF(AA45&lt;&gt;"FOUT",IF(AN51&gt;AO50,3,IF(AN51=AO50,1,0)),0)</f>
        <v>0</v>
      </c>
      <c r="AQ51" s="181">
        <f>SUM(AL51:AO51)</f>
        <v>0</v>
      </c>
      <c r="AR51" s="180">
        <f>SUM(AO48:AO51)</f>
        <v>0</v>
      </c>
      <c r="AS51" s="182">
        <f>IF($AP51=$AP48,AL51,0)</f>
        <v>0</v>
      </c>
      <c r="AT51" s="179">
        <f>IF($AP51=$AP49,AM51,0)</f>
        <v>0</v>
      </c>
      <c r="AU51" s="179">
        <f>IF($AP51=$AP50,AN51,0)</f>
        <v>0</v>
      </c>
      <c r="AV51" s="265">
        <v>0</v>
      </c>
      <c r="AW51" s="178">
        <f>IF(AS51&gt;AV48,3,IF(AS51=AV48,1,0))+IF(AT51&gt;AV49,3,IF(AT51=AV49,1,0))+IF(AU51&gt;AV50,3,IF(AU51=AV50,1,0))</f>
        <v>3</v>
      </c>
      <c r="AX51" s="181">
        <f>SUM(AS51:AV51)</f>
        <v>0</v>
      </c>
      <c r="AY51" s="180">
        <f>SUM(AV48:AV51)</f>
        <v>0</v>
      </c>
      <c r="AZ51" s="278">
        <f ca="1">AP51*10000000000000+AW51*100000000000+(500+AX51-AY51)*100000000+AX51*10000000+(500+AQ51-AR51)*1000+AQ51*10+AI51</f>
        <v>350000500002</v>
      </c>
      <c r="BA51" s="281">
        <f ca="1">RANK(AZ51,AZ48:AZ51)</f>
        <v>3</v>
      </c>
    </row>
    <row r="52" spans="1:53" ht="15" customHeight="1" x14ac:dyDescent="0.3">
      <c r="B52" s="79"/>
      <c r="C52" s="524"/>
      <c r="D52" s="474"/>
      <c r="E52" s="474"/>
      <c r="F52" s="474"/>
      <c r="G52" s="474"/>
      <c r="H52" s="474"/>
      <c r="I52" s="474"/>
      <c r="J52" s="474"/>
      <c r="K52" s="474"/>
      <c r="L52" s="474"/>
      <c r="M52" s="474"/>
      <c r="N52" s="474"/>
      <c r="O52" s="474"/>
      <c r="P52" s="474"/>
      <c r="Q52" s="474"/>
      <c r="R52" s="474"/>
      <c r="S52" s="474"/>
      <c r="T52" s="474"/>
      <c r="U52" s="474"/>
      <c r="V52" s="474"/>
      <c r="W52" s="525"/>
      <c r="X52" s="79"/>
      <c r="Y52" s="6"/>
      <c r="Z52" s="6"/>
      <c r="AA52" s="6"/>
      <c r="AB52" s="6"/>
      <c r="AC52" s="6"/>
      <c r="AD52" s="6"/>
      <c r="AE52" s="77"/>
      <c r="AF52" s="316">
        <v>42</v>
      </c>
      <c r="AG52" s="130" t="str">
        <f t="shared" ca="1" si="0"/>
        <v>ERROR</v>
      </c>
      <c r="AH52" s="197"/>
      <c r="AI52" s="197"/>
      <c r="AJ52" s="554" t="s">
        <v>232</v>
      </c>
      <c r="AK52" s="92" t="str">
        <f>IF(COUNTIF(Y45:Z50,"GOED")=12,"JA","NEE")</f>
        <v>NEE</v>
      </c>
      <c r="AL52" s="91"/>
      <c r="AM52" s="91"/>
      <c r="AN52" s="91"/>
      <c r="AO52" s="91"/>
      <c r="AP52" s="91"/>
      <c r="AQ52" s="91"/>
      <c r="AR52" s="91"/>
      <c r="AS52" s="238"/>
      <c r="AT52" s="238"/>
      <c r="AU52" s="238"/>
      <c r="AV52" s="238"/>
      <c r="AW52" s="238"/>
      <c r="AX52" s="238"/>
      <c r="AY52" s="238"/>
      <c r="AZ52" s="238"/>
      <c r="BA52" s="92"/>
    </row>
    <row r="53" spans="1:53" ht="20.100000000000001" hidden="1" customHeight="1" x14ac:dyDescent="0.5">
      <c r="A53" s="136" t="s">
        <v>170</v>
      </c>
      <c r="B53" s="79"/>
      <c r="C53" s="524"/>
      <c r="D53" s="441" t="str">
        <f ca="1">Taal04!$B$26&amp;" G"</f>
        <v>Groep G</v>
      </c>
      <c r="E53" s="463"/>
      <c r="F53" s="463"/>
      <c r="G53" s="463"/>
      <c r="H53" s="463"/>
      <c r="I53" s="463"/>
      <c r="J53" s="463"/>
      <c r="K53" s="463"/>
      <c r="L53" s="463"/>
      <c r="M53" s="474"/>
      <c r="N53" s="441" t="str">
        <f ca="1">Taal04!$B$26&amp;" H"</f>
        <v>Groep H</v>
      </c>
      <c r="O53" s="463"/>
      <c r="P53" s="463"/>
      <c r="Q53" s="463"/>
      <c r="R53" s="463"/>
      <c r="S53" s="463"/>
      <c r="T53" s="463"/>
      <c r="U53" s="463"/>
      <c r="V53" s="463"/>
      <c r="W53" s="525"/>
      <c r="X53" s="79"/>
      <c r="Y53" s="1176" t="str">
        <f ca="1">"Controle "&amp;D53</f>
        <v>Controle Groep G</v>
      </c>
      <c r="Z53" s="1176"/>
      <c r="AA53" s="1176"/>
      <c r="AB53" s="1176" t="str">
        <f ca="1">"Controle "&amp;N53</f>
        <v>Controle Groep H</v>
      </c>
      <c r="AC53" s="1176"/>
      <c r="AD53" s="1176"/>
      <c r="AE53" s="77"/>
      <c r="AF53" s="316">
        <v>43</v>
      </c>
      <c r="AG53" s="130" t="str">
        <f t="shared" ca="1" si="0"/>
        <v>ERROR</v>
      </c>
      <c r="AH53" s="1147"/>
      <c r="AI53" s="1147"/>
      <c r="AJ53" s="604"/>
      <c r="AK53" s="1146" t="s">
        <v>177</v>
      </c>
      <c r="AL53" s="1146" t="str">
        <f ca="1">AJ57</f>
        <v>Hongarije</v>
      </c>
      <c r="AM53" s="1146" t="str">
        <f ca="1">AJ58</f>
        <v>Portugal</v>
      </c>
      <c r="AN53" s="1146" t="str">
        <f ca="1">AJ59</f>
        <v>Frankrijk</v>
      </c>
      <c r="AO53" s="1146" t="str">
        <f ca="1">AJ60</f>
        <v>Duitsland</v>
      </c>
      <c r="AP53" s="1146" t="s">
        <v>99</v>
      </c>
      <c r="AQ53" s="1146" t="s">
        <v>176</v>
      </c>
      <c r="AR53" s="1146" t="s">
        <v>175</v>
      </c>
      <c r="AS53" s="1146" t="str">
        <f ca="1">"Gelijk met "&amp;AH57</f>
        <v>Gelijk met F1</v>
      </c>
      <c r="AT53" s="1146" t="str">
        <f ca="1">"Gelijk met "&amp;AH58</f>
        <v>Gelijk met F2</v>
      </c>
      <c r="AU53" s="1146" t="str">
        <f ca="1">"Gelijk met "&amp;AH59</f>
        <v>Gelijk met F3</v>
      </c>
      <c r="AV53" s="1146" t="str">
        <f ca="1">"Gelijk met "&amp;AH60</f>
        <v>Gelijk met F4</v>
      </c>
      <c r="AW53" s="1146" t="s">
        <v>99</v>
      </c>
      <c r="AX53" s="1146" t="s">
        <v>176</v>
      </c>
      <c r="AY53" s="1146" t="s">
        <v>175</v>
      </c>
      <c r="AZ53" s="1146" t="s">
        <v>233</v>
      </c>
      <c r="BA53" s="1146" t="s">
        <v>71</v>
      </c>
    </row>
    <row r="54" spans="1:53" ht="15" hidden="1" customHeight="1" x14ac:dyDescent="0.3">
      <c r="A54" s="707" t="str">
        <f>IF(A53="H","H","")</f>
        <v>H</v>
      </c>
      <c r="B54" s="79"/>
      <c r="C54" s="524"/>
      <c r="D54" s="443"/>
      <c r="E54" s="538" t="str">
        <f ca="1">Taal04!$B$20</f>
        <v>Datum</v>
      </c>
      <c r="F54" s="538" t="str">
        <f ca="1">Taal04!$B$21</f>
        <v>Tijd</v>
      </c>
      <c r="G54" s="1173" t="str">
        <f ca="1">Taal04!$B$22</f>
        <v>Wedstrijd</v>
      </c>
      <c r="H54" s="1173"/>
      <c r="I54" s="1173"/>
      <c r="J54" s="1173" t="str">
        <f ca="1">Taal04!$B$24</f>
        <v>Eindstand</v>
      </c>
      <c r="K54" s="1174"/>
      <c r="L54" s="1174"/>
      <c r="M54" s="99"/>
      <c r="N54" s="443"/>
      <c r="O54" s="538" t="str">
        <f ca="1">Taal04!$B$20</f>
        <v>Datum</v>
      </c>
      <c r="P54" s="538" t="s">
        <v>11</v>
      </c>
      <c r="Q54" s="1173" t="str">
        <f ca="1">Taal04!$B$22</f>
        <v>Wedstrijd</v>
      </c>
      <c r="R54" s="1173"/>
      <c r="S54" s="1173"/>
      <c r="T54" s="1173" t="str">
        <f ca="1">Taal04!$B$24</f>
        <v>Eindstand</v>
      </c>
      <c r="U54" s="1174"/>
      <c r="V54" s="1174"/>
      <c r="W54" s="525"/>
      <c r="X54" s="79"/>
      <c r="Y54" s="551" t="s">
        <v>24</v>
      </c>
      <c r="Z54" s="551" t="s">
        <v>25</v>
      </c>
      <c r="AA54" s="552" t="s">
        <v>0</v>
      </c>
      <c r="AB54" s="551" t="s">
        <v>24</v>
      </c>
      <c r="AC54" s="551" t="s">
        <v>25</v>
      </c>
      <c r="AD54" s="552" t="s">
        <v>0</v>
      </c>
      <c r="AE54" s="77"/>
      <c r="AF54" s="316">
        <v>44</v>
      </c>
      <c r="AG54" s="130" t="str">
        <f t="shared" ca="1" si="0"/>
        <v>ERROR</v>
      </c>
      <c r="AH54" s="1147"/>
      <c r="AI54" s="1147"/>
      <c r="AJ54" s="604"/>
      <c r="AK54" s="1146"/>
      <c r="AL54" s="1146"/>
      <c r="AM54" s="1146"/>
      <c r="AN54" s="1146"/>
      <c r="AO54" s="1146"/>
      <c r="AP54" s="1146"/>
      <c r="AQ54" s="1146"/>
      <c r="AR54" s="1146"/>
      <c r="AS54" s="1146"/>
      <c r="AT54" s="1146"/>
      <c r="AU54" s="1146"/>
      <c r="AV54" s="1146"/>
      <c r="AW54" s="1146"/>
      <c r="AX54" s="1146"/>
      <c r="AY54" s="1146"/>
      <c r="AZ54" s="1146"/>
      <c r="BA54" s="1146"/>
    </row>
    <row r="55" spans="1:53" ht="15" hidden="1" customHeight="1" x14ac:dyDescent="0.3">
      <c r="A55" s="707" t="str">
        <f t="shared" ref="A55:A60" si="25">IF(A54="H","H","")</f>
        <v>H</v>
      </c>
      <c r="B55" s="79"/>
      <c r="C55" s="524"/>
      <c r="D55" s="14">
        <v>99</v>
      </c>
      <c r="E55" s="23">
        <f>DATE(2020,6,30)+TIME(24,0,0)</f>
        <v>44012</v>
      </c>
      <c r="F55" s="545">
        <f t="shared" ref="F55:F60" si="26">E55+TIME(0,0,0)</f>
        <v>44012</v>
      </c>
      <c r="G55" s="548" t="str">
        <f ca="1">AJ66</f>
        <v>Land G1</v>
      </c>
      <c r="H55" s="549" t="s">
        <v>12</v>
      </c>
      <c r="I55" s="550" t="str">
        <f ca="1">AJ67</f>
        <v>Land G2</v>
      </c>
      <c r="J55" s="457"/>
      <c r="K55" s="66" t="s">
        <v>12</v>
      </c>
      <c r="L55" s="457"/>
      <c r="M55" s="547"/>
      <c r="N55" s="14">
        <v>99</v>
      </c>
      <c r="O55" s="23">
        <f>DATE(2020,6,30)+TIME(24,0,0)</f>
        <v>44012</v>
      </c>
      <c r="P55" s="545">
        <f t="shared" ref="P55:P60" si="27">O55+TIME(0,0,0)</f>
        <v>44012</v>
      </c>
      <c r="Q55" s="548" t="str">
        <f ca="1">AJ75</f>
        <v>Land H1</v>
      </c>
      <c r="R55" s="549" t="s">
        <v>12</v>
      </c>
      <c r="S55" s="550" t="str">
        <f ca="1">AJ76</f>
        <v>Land H2</v>
      </c>
      <c r="T55" s="457"/>
      <c r="U55" s="66" t="s">
        <v>12</v>
      </c>
      <c r="V55" s="457"/>
      <c r="W55" s="525"/>
      <c r="X55" s="79"/>
      <c r="Y55" s="475" t="str">
        <f>IF($A55="H","",IF(ISBLANK(J55),"LEEG",IF(TYPE(J55)=1,IF(AND(J55&lt;10,J55&gt;=0),IF(J55=ROUND(J55,0),"GOED","ONGELDIG"),"HOOG"),"ONGELDIG")))</f>
        <v/>
      </c>
      <c r="Z55" s="475" t="str">
        <f>IF($A55="H","",IF(ISBLANK(L55),"LEEG",IF(TYPE(L55)=1,IF(AND(L55&lt;10,L55&gt;=0),IF(L55=ROUND(L55,0),"GOED","ONGELDIG"),"HOOG"),"ONGELDIG")))</f>
        <v/>
      </c>
      <c r="AA55" s="553" t="str">
        <f t="shared" ref="AA55:AA60" si="28">IF(Y55="GOED",IF(Z55="GOED",J55&amp;L55&amp;"|","FOUT"),"FOUT")</f>
        <v>FOUT</v>
      </c>
      <c r="AB55" s="475" t="str">
        <f>IF($A55="H","",IF(ISBLANK(T55),"LEEG",IF(TYPE(T55)=1,IF(AND(T55&lt;10,T55&gt;=0),IF(T55=ROUND(T55,0),"GOED","ONGELDIG"),"HOOG"),"ONGELDIG")))</f>
        <v/>
      </c>
      <c r="AC55" s="475" t="str">
        <f>IF($A55="H","",IF(ISBLANK(V55),"LEEG",IF(TYPE(V55)=1,IF(AND(V55&lt;10,V55&gt;=0),IF(V55=ROUND(V55,0),"GOED","ONGELDIG"),"HOOG"),"ONGELDIG")))</f>
        <v/>
      </c>
      <c r="AD55" s="553" t="str">
        <f t="shared" ref="AD55:AD60" si="29">IF(AB55="GOED",IF(AC55="GOED",T55&amp;V55&amp;"|","FOUT"),"FOUT")</f>
        <v>FOUT</v>
      </c>
      <c r="AE55" s="77"/>
      <c r="AF55" s="316">
        <v>45</v>
      </c>
      <c r="AG55" s="130" t="str">
        <f t="shared" ca="1" si="0"/>
        <v>ERROR</v>
      </c>
      <c r="AH55" s="1147"/>
      <c r="AI55" s="1147"/>
      <c r="AJ55" s="555" t="str">
        <f ca="1">N43</f>
        <v>Groep F</v>
      </c>
      <c r="AK55" s="1146"/>
      <c r="AL55" s="1146"/>
      <c r="AM55" s="1146"/>
      <c r="AN55" s="1146"/>
      <c r="AO55" s="1146"/>
      <c r="AP55" s="1146"/>
      <c r="AQ55" s="1146"/>
      <c r="AR55" s="1146"/>
      <c r="AS55" s="1146"/>
      <c r="AT55" s="1146"/>
      <c r="AU55" s="1146"/>
      <c r="AV55" s="1146"/>
      <c r="AW55" s="1146"/>
      <c r="AX55" s="1146"/>
      <c r="AY55" s="1146"/>
      <c r="AZ55" s="1146"/>
      <c r="BA55" s="1146"/>
    </row>
    <row r="56" spans="1:53" ht="15" hidden="1" customHeight="1" x14ac:dyDescent="0.3">
      <c r="A56" s="707" t="str">
        <f t="shared" si="25"/>
        <v>H</v>
      </c>
      <c r="B56" s="79"/>
      <c r="C56" s="524"/>
      <c r="D56" s="14">
        <v>99</v>
      </c>
      <c r="E56" s="23">
        <f>DATE(2020,6,30)+TIME(24,0,0)</f>
        <v>44012</v>
      </c>
      <c r="F56" s="545">
        <f t="shared" si="26"/>
        <v>44012</v>
      </c>
      <c r="G56" s="548" t="str">
        <f ca="1">AJ68</f>
        <v>Land G3</v>
      </c>
      <c r="H56" s="549" t="s">
        <v>12</v>
      </c>
      <c r="I56" s="550" t="str">
        <f ca="1">AJ69</f>
        <v>Land G4</v>
      </c>
      <c r="J56" s="457"/>
      <c r="K56" s="66" t="s">
        <v>12</v>
      </c>
      <c r="L56" s="457"/>
      <c r="M56" s="547"/>
      <c r="N56" s="14">
        <v>99</v>
      </c>
      <c r="O56" s="23">
        <f>DATE(2020,6,30)+TIME(24,0,0)</f>
        <v>44012</v>
      </c>
      <c r="P56" s="545">
        <f t="shared" si="27"/>
        <v>44012</v>
      </c>
      <c r="Q56" s="548" t="str">
        <f ca="1">AJ77</f>
        <v>Land H3</v>
      </c>
      <c r="R56" s="549" t="s">
        <v>12</v>
      </c>
      <c r="S56" s="550" t="str">
        <f ca="1">AJ78</f>
        <v>Land H4</v>
      </c>
      <c r="T56" s="457"/>
      <c r="U56" s="66" t="s">
        <v>12</v>
      </c>
      <c r="V56" s="457"/>
      <c r="W56" s="525"/>
      <c r="X56" s="79"/>
      <c r="Y56" s="475" t="str">
        <f t="shared" ref="Y56:Y60" si="30">IF($A56="H","",IF(ISBLANK(J56),"LEEG",IF(TYPE(J56)=1,IF(AND(J56&lt;10,J56&gt;=0),IF(J56=ROUND(J56,0),"GOED","ONGELDIG"),"HOOG"),"ONGELDIG")))</f>
        <v/>
      </c>
      <c r="Z56" s="475" t="str">
        <f t="shared" ref="Z56:Z60" si="31">IF($A56="H","",IF(ISBLANK(L56),"LEEG",IF(TYPE(L56)=1,IF(AND(L56&lt;10,L56&gt;=0),IF(L56=ROUND(L56,0),"GOED","ONGELDIG"),"HOOG"),"ONGELDIG")))</f>
        <v/>
      </c>
      <c r="AA56" s="553" t="str">
        <f t="shared" si="28"/>
        <v>FOUT</v>
      </c>
      <c r="AB56" s="475" t="str">
        <f t="shared" ref="AB56:AB60" si="32">IF($A56="H","",IF(ISBLANK(T56),"LEEG",IF(TYPE(T56)=1,IF(AND(T56&lt;10,T56&gt;=0),IF(T56=ROUND(T56,0),"GOED","ONGELDIG"),"HOOG"),"ONGELDIG")))</f>
        <v/>
      </c>
      <c r="AC56" s="475" t="str">
        <f t="shared" ref="AC56:AC60" si="33">IF($A56="H","",IF(ISBLANK(V56),"LEEG",IF(TYPE(V56)=1,IF(AND(V56&lt;10,V56&gt;=0),IF(V56=ROUND(V56,0),"GOED","ONGELDIG"),"HOOG"),"ONGELDIG")))</f>
        <v/>
      </c>
      <c r="AD56" s="553" t="str">
        <f t="shared" si="29"/>
        <v>FOUT</v>
      </c>
      <c r="AE56" s="77"/>
      <c r="AF56" s="316">
        <v>46</v>
      </c>
      <c r="AG56" s="130" t="str">
        <f t="shared" ca="1" si="0"/>
        <v>ERROR</v>
      </c>
      <c r="AH56" s="1147"/>
      <c r="AI56" s="1147"/>
      <c r="AJ56" s="554" t="s">
        <v>17</v>
      </c>
      <c r="AK56" s="1146"/>
      <c r="AL56" s="1146"/>
      <c r="AM56" s="1146"/>
      <c r="AN56" s="1146"/>
      <c r="AO56" s="1146"/>
      <c r="AP56" s="1146"/>
      <c r="AQ56" s="1146"/>
      <c r="AR56" s="1146"/>
      <c r="AS56" s="1146"/>
      <c r="AT56" s="1146"/>
      <c r="AU56" s="1146"/>
      <c r="AV56" s="1146"/>
      <c r="AW56" s="1146"/>
      <c r="AX56" s="1146"/>
      <c r="AY56" s="1146"/>
      <c r="AZ56" s="1146"/>
      <c r="BA56" s="1146"/>
    </row>
    <row r="57" spans="1:53" ht="15" hidden="1" customHeight="1" x14ac:dyDescent="0.3">
      <c r="A57" s="707" t="str">
        <f t="shared" si="25"/>
        <v>H</v>
      </c>
      <c r="B57" s="79"/>
      <c r="C57" s="524"/>
      <c r="D57" s="14">
        <v>99</v>
      </c>
      <c r="E57" s="23">
        <f>DATE(2020,6,30)+TIME(24,0,0)</f>
        <v>44012</v>
      </c>
      <c r="F57" s="545">
        <f t="shared" si="26"/>
        <v>44012</v>
      </c>
      <c r="G57" s="548" t="str">
        <f ca="1">AJ66</f>
        <v>Land G1</v>
      </c>
      <c r="H57" s="549" t="s">
        <v>12</v>
      </c>
      <c r="I57" s="550" t="str">
        <f ca="1">AJ68</f>
        <v>Land G3</v>
      </c>
      <c r="J57" s="457"/>
      <c r="K57" s="66" t="s">
        <v>12</v>
      </c>
      <c r="L57" s="457"/>
      <c r="M57" s="547"/>
      <c r="N57" s="14">
        <v>99</v>
      </c>
      <c r="O57" s="23">
        <f>DATE(2020,6,30)+TIME(24,0,0)</f>
        <v>44012</v>
      </c>
      <c r="P57" s="545">
        <f t="shared" si="27"/>
        <v>44012</v>
      </c>
      <c r="Q57" s="548" t="str">
        <f ca="1">AJ75</f>
        <v>Land H1</v>
      </c>
      <c r="R57" s="549" t="s">
        <v>12</v>
      </c>
      <c r="S57" s="550" t="str">
        <f ca="1">AJ77</f>
        <v>Land H3</v>
      </c>
      <c r="T57" s="457"/>
      <c r="U57" s="66" t="s">
        <v>12</v>
      </c>
      <c r="V57" s="457"/>
      <c r="W57" s="525"/>
      <c r="X57" s="79"/>
      <c r="Y57" s="475" t="str">
        <f t="shared" si="30"/>
        <v/>
      </c>
      <c r="Z57" s="475" t="str">
        <f t="shared" si="31"/>
        <v/>
      </c>
      <c r="AA57" s="553" t="str">
        <f t="shared" si="28"/>
        <v>FOUT</v>
      </c>
      <c r="AB57" s="475" t="str">
        <f t="shared" si="32"/>
        <v/>
      </c>
      <c r="AC57" s="475" t="str">
        <f t="shared" si="33"/>
        <v/>
      </c>
      <c r="AD57" s="553" t="str">
        <f t="shared" si="29"/>
        <v>FOUT</v>
      </c>
      <c r="AE57" s="77"/>
      <c r="AF57" s="316">
        <v>47</v>
      </c>
      <c r="AG57" s="130" t="str">
        <f t="shared" ca="1" si="0"/>
        <v>ERROR</v>
      </c>
      <c r="AH57" s="216" t="str">
        <f ca="1">RIGHT(AJ55,1)&amp;1</f>
        <v>F1</v>
      </c>
      <c r="AI57" s="332">
        <f ca="1">$AU$88</f>
        <v>3</v>
      </c>
      <c r="AJ57" s="556" t="str">
        <f ca="1">VLOOKUP(AH57,Voorblad!$X$67:$Z$98,2,FALSE)</f>
        <v>Hongarije</v>
      </c>
      <c r="AK57" s="192" t="str">
        <f ca="1">VLOOKUP(AH57,Voorblad!$X$67:$Z$98,3,FALSE)</f>
        <v>HU</v>
      </c>
      <c r="AL57" s="267">
        <v>0</v>
      </c>
      <c r="AM57" s="270">
        <f>IF(ISNUMBER(T45),T45,0)</f>
        <v>0</v>
      </c>
      <c r="AN57" s="270">
        <f>IF(ISNUMBER(T47),T47,0)</f>
        <v>0</v>
      </c>
      <c r="AO57" s="270">
        <f>IF(ISNUMBER(V50),V50,0)</f>
        <v>0</v>
      </c>
      <c r="AP57" s="188">
        <f>IF(AD46&lt;&gt;"FOUT",IF(AM57&gt;AL58,3,IF(AM57=AL58,1,0)),0)+IF(AD47&lt;&gt;"FOUT",IF(AN57&gt;AL59,3,IF(AN57=AL59,1,0)),0)+IF(AD50&lt;&gt;"FOUT",IF(AO57&gt;AL60,3,IF(AO57=AL60,1,0)),0)</f>
        <v>0</v>
      </c>
      <c r="AQ57" s="191">
        <f>SUM(AL57:AO57)</f>
        <v>0</v>
      </c>
      <c r="AR57" s="190">
        <f>SUM(AL57:AL60)</f>
        <v>0</v>
      </c>
      <c r="AS57" s="267">
        <v>0</v>
      </c>
      <c r="AT57" s="189">
        <f>IF($AP57=$AP58,AM57,0)</f>
        <v>0</v>
      </c>
      <c r="AU57" s="189">
        <f>IF($AP57=$AP59,AN57,0)</f>
        <v>0</v>
      </c>
      <c r="AV57" s="263">
        <f>IF($AP57=$AP60,AO57,0)</f>
        <v>0</v>
      </c>
      <c r="AW57" s="188">
        <f>IF(AT57&gt;AS58,3,IF(AT57=AS58,1,0))+IF(AU57&gt;AS59,3,IF(AU57=AS59,1,0))+IF(AV57&gt;AS60,3,IF(AV57=AS60,1,0))</f>
        <v>3</v>
      </c>
      <c r="AX57" s="191">
        <f>SUM(AS57:AV57)</f>
        <v>0</v>
      </c>
      <c r="AY57" s="190">
        <f>SUM(AS57:AS60)</f>
        <v>0</v>
      </c>
      <c r="AZ57" s="276">
        <f ca="1">AP57*10000000000000+AW57*100000000000+(500+AX57-AY57)*100000000+AX57*10000000+(500+AQ57-AR57)*1000+AQ57*10+AI57</f>
        <v>350000500003</v>
      </c>
      <c r="BA57" s="279">
        <f ca="1">RANK(AZ57,AZ57:AZ60)</f>
        <v>2</v>
      </c>
    </row>
    <row r="58" spans="1:53" ht="15" hidden="1" customHeight="1" x14ac:dyDescent="0.3">
      <c r="A58" s="707" t="str">
        <f t="shared" si="25"/>
        <v>H</v>
      </c>
      <c r="B58" s="79"/>
      <c r="C58" s="524"/>
      <c r="D58" s="14">
        <v>99</v>
      </c>
      <c r="E58" s="23">
        <f>DATE(2020,6,30)+TIME(24,0,0)</f>
        <v>44012</v>
      </c>
      <c r="F58" s="545">
        <f t="shared" si="26"/>
        <v>44012</v>
      </c>
      <c r="G58" s="548" t="str">
        <f ca="1">AJ67</f>
        <v>Land G2</v>
      </c>
      <c r="H58" s="549" t="s">
        <v>12</v>
      </c>
      <c r="I58" s="550" t="str">
        <f ca="1">AJ69</f>
        <v>Land G4</v>
      </c>
      <c r="J58" s="457"/>
      <c r="K58" s="66" t="s">
        <v>12</v>
      </c>
      <c r="L58" s="457"/>
      <c r="M58" s="547"/>
      <c r="N58" s="14">
        <v>99</v>
      </c>
      <c r="O58" s="23">
        <f>DATE(2020,6,30)+TIME(24,0,0)</f>
        <v>44012</v>
      </c>
      <c r="P58" s="545">
        <f t="shared" si="27"/>
        <v>44012</v>
      </c>
      <c r="Q58" s="548" t="str">
        <f ca="1">AJ76</f>
        <v>Land H2</v>
      </c>
      <c r="R58" s="549" t="s">
        <v>12</v>
      </c>
      <c r="S58" s="550" t="str">
        <f ca="1">AJ78</f>
        <v>Land H4</v>
      </c>
      <c r="T58" s="457"/>
      <c r="U58" s="66" t="s">
        <v>12</v>
      </c>
      <c r="V58" s="457"/>
      <c r="W58" s="525"/>
      <c r="X58" s="79"/>
      <c r="Y58" s="475" t="str">
        <f t="shared" si="30"/>
        <v/>
      </c>
      <c r="Z58" s="475" t="str">
        <f t="shared" si="31"/>
        <v/>
      </c>
      <c r="AA58" s="553" t="str">
        <f t="shared" si="28"/>
        <v>FOUT</v>
      </c>
      <c r="AB58" s="475" t="str">
        <f t="shared" si="32"/>
        <v/>
      </c>
      <c r="AC58" s="475" t="str">
        <f t="shared" si="33"/>
        <v/>
      </c>
      <c r="AD58" s="553" t="str">
        <f t="shared" si="29"/>
        <v>FOUT</v>
      </c>
      <c r="AE58" s="77"/>
      <c r="AF58" s="316">
        <v>48</v>
      </c>
      <c r="AG58" s="130" t="str">
        <f t="shared" ca="1" si="0"/>
        <v>ERROR</v>
      </c>
      <c r="AH58" s="216" t="str">
        <f ca="1">RIGHT(AJ55,1)&amp;2</f>
        <v>F2</v>
      </c>
      <c r="AI58" s="332">
        <f ca="1">$AV$88</f>
        <v>4</v>
      </c>
      <c r="AJ58" s="566" t="str">
        <f ca="1">VLOOKUP(AH58,Voorblad!$X$67:$Z$98,2,FALSE)</f>
        <v>Portugal</v>
      </c>
      <c r="AK58" s="134" t="str">
        <f ca="1">VLOOKUP(AH58,Voorblad!$X$67:$Z$98,3,FALSE)</f>
        <v>PT</v>
      </c>
      <c r="AL58" s="271">
        <f>IF(ISNUMBER(V45),V45,0)</f>
        <v>0</v>
      </c>
      <c r="AM58" s="266">
        <v>0</v>
      </c>
      <c r="AN58" s="272">
        <f>IF(ISNUMBER(T49),T49,0)</f>
        <v>0</v>
      </c>
      <c r="AO58" s="272">
        <f>IF(ISNUMBER(T48),T48,0)</f>
        <v>0</v>
      </c>
      <c r="AP58" s="184">
        <f>IF(AD46&lt;&gt;"FOUT",IF(AL58&gt;AM57,3,IF(AL58=AM57,1,0)),0)+IF(AD49&lt;&gt;"FOUT",IF(AN58&gt;AM59,3,IF(AN58=AM59,1,0)),0)+IF(AD48&lt;&gt;"FOUT",IF(AO58&gt;AM60,3,IF(AO58=AM60,1,0)),0)</f>
        <v>0</v>
      </c>
      <c r="AQ58" s="186">
        <f>SUM(AL58:AO58)</f>
        <v>0</v>
      </c>
      <c r="AR58" s="185">
        <f>SUM(AM57:AM60)</f>
        <v>0</v>
      </c>
      <c r="AS58" s="134">
        <f>IF($AP58=$AP57,AL58,0)</f>
        <v>0</v>
      </c>
      <c r="AT58" s="266">
        <v>0</v>
      </c>
      <c r="AU58" s="177">
        <f>IF($AP58=$AP59,AN58,0)</f>
        <v>0</v>
      </c>
      <c r="AV58" s="264">
        <f>IF($AP58=$AP60,AO58,0)</f>
        <v>0</v>
      </c>
      <c r="AW58" s="184">
        <f>IF(AS58&gt;AT57,3,IF(AS58=AT57,1,0))+IF(AU58&gt;AT59,3,IF(AU58=AT59,1,0))+IF(AV58&gt;AT60,3,IF(AV58=AT60,1,0))</f>
        <v>3</v>
      </c>
      <c r="AX58" s="186">
        <f>SUM(AS58:AV58)</f>
        <v>0</v>
      </c>
      <c r="AY58" s="185">
        <f>SUM(AT57:AT60)</f>
        <v>0</v>
      </c>
      <c r="AZ58" s="277">
        <f ca="1">AP58*10000000000000+AW58*100000000000+(500+AX58-AY58)*100000000+AX58*10000000+(500+AQ58-AR58)*1000+AQ58*10+AI58</f>
        <v>350000500004</v>
      </c>
      <c r="BA58" s="280">
        <f ca="1">RANK(AZ58,AZ57:AZ60)</f>
        <v>1</v>
      </c>
    </row>
    <row r="59" spans="1:53" ht="15" hidden="1" customHeight="1" x14ac:dyDescent="0.3">
      <c r="A59" s="707" t="str">
        <f t="shared" si="25"/>
        <v>H</v>
      </c>
      <c r="B59" s="79"/>
      <c r="C59" s="524"/>
      <c r="D59" s="14">
        <v>99</v>
      </c>
      <c r="E59" s="23">
        <f>DATE(2020,6,30)+TIME(24,0,0)</f>
        <v>44012</v>
      </c>
      <c r="F59" s="545">
        <f t="shared" si="26"/>
        <v>44012</v>
      </c>
      <c r="G59" s="548" t="str">
        <f ca="1">AJ69</f>
        <v>Land G4</v>
      </c>
      <c r="H59" s="549" t="s">
        <v>12</v>
      </c>
      <c r="I59" s="550" t="str">
        <f ca="1">AJ66</f>
        <v>Land G1</v>
      </c>
      <c r="J59" s="457"/>
      <c r="K59" s="66" t="s">
        <v>12</v>
      </c>
      <c r="L59" s="457"/>
      <c r="M59" s="547"/>
      <c r="N59" s="14">
        <v>99</v>
      </c>
      <c r="O59" s="23">
        <f>DATE(2020,6,30)+TIME(24,0,0)</f>
        <v>44012</v>
      </c>
      <c r="P59" s="545">
        <f t="shared" si="27"/>
        <v>44012</v>
      </c>
      <c r="Q59" s="548" t="str">
        <f ca="1">AJ78</f>
        <v>Land H4</v>
      </c>
      <c r="R59" s="549" t="s">
        <v>12</v>
      </c>
      <c r="S59" s="550" t="str">
        <f ca="1">AJ75</f>
        <v>Land H1</v>
      </c>
      <c r="T59" s="457"/>
      <c r="U59" s="66" t="s">
        <v>12</v>
      </c>
      <c r="V59" s="457"/>
      <c r="W59" s="525"/>
      <c r="X59" s="79"/>
      <c r="Y59" s="475" t="str">
        <f t="shared" si="30"/>
        <v/>
      </c>
      <c r="Z59" s="475" t="str">
        <f t="shared" si="31"/>
        <v/>
      </c>
      <c r="AA59" s="553" t="str">
        <f t="shared" si="28"/>
        <v>FOUT</v>
      </c>
      <c r="AB59" s="475" t="str">
        <f t="shared" si="32"/>
        <v/>
      </c>
      <c r="AC59" s="475" t="str">
        <f t="shared" si="33"/>
        <v/>
      </c>
      <c r="AD59" s="553" t="str">
        <f t="shared" si="29"/>
        <v>FOUT</v>
      </c>
      <c r="AE59" s="77"/>
      <c r="AF59" s="77"/>
      <c r="AG59" s="77"/>
      <c r="AH59" s="216" t="str">
        <f ca="1">RIGHT(AJ55,1)&amp;3</f>
        <v>F3</v>
      </c>
      <c r="AI59" s="332">
        <f ca="1">$AW$88</f>
        <v>2</v>
      </c>
      <c r="AJ59" s="566" t="str">
        <f ca="1">VLOOKUP(AH59,Voorblad!$X$67:$Z$98,2,FALSE)</f>
        <v>Frankrijk</v>
      </c>
      <c r="AK59" s="134" t="str">
        <f ca="1">VLOOKUP(AH59,Voorblad!$X$67:$Z$98,3,FALSE)</f>
        <v>FR</v>
      </c>
      <c r="AL59" s="271">
        <f>IF(ISNUMBER(V47),V47,0)</f>
        <v>0</v>
      </c>
      <c r="AM59" s="272">
        <f>IF(ISNUMBER(V49),V49,0)</f>
        <v>0</v>
      </c>
      <c r="AN59" s="266">
        <v>0</v>
      </c>
      <c r="AO59" s="272">
        <f>IF(ISNUMBER(T46),T46,0)</f>
        <v>0</v>
      </c>
      <c r="AP59" s="184">
        <f>IF(AD47&lt;&gt;"FOUT",IF(AL59&gt;AN57,3,IF(AL59=AN57,1,0)),0)+IF(AD49&lt;&gt;"FOUT",IF(AM59&gt;AN58,3,IF(AM59=AN58,1,0)),0)+IF(AD45&lt;&gt;"FOUT",IF(AO59&gt;AN60,3,IF(AO59=AN60,1,0)),0)</f>
        <v>0</v>
      </c>
      <c r="AQ59" s="186">
        <f>SUM(AL59:AO59)</f>
        <v>0</v>
      </c>
      <c r="AR59" s="185">
        <f>SUM(AN57:AN60)</f>
        <v>0</v>
      </c>
      <c r="AS59" s="134">
        <f>IF($AP59=$AP57,AL59,0)</f>
        <v>0</v>
      </c>
      <c r="AT59" s="177">
        <f>IF($AP59=$AP58,AM59,0)</f>
        <v>0</v>
      </c>
      <c r="AU59" s="266">
        <v>0</v>
      </c>
      <c r="AV59" s="264">
        <f>IF($AP59=$AP60,AO59,0)</f>
        <v>0</v>
      </c>
      <c r="AW59" s="184">
        <f>IF(AS59&gt;AU57,3,IF(AS59=AU57,1,0))+IF(AT59&gt;AU58,3,IF(AT59=AU58,1,0))+IF(AV59&gt;AU60,3,IF(AV59=AU60,1,0))</f>
        <v>3</v>
      </c>
      <c r="AX59" s="186">
        <f>SUM(AS59:AV59)</f>
        <v>0</v>
      </c>
      <c r="AY59" s="185">
        <f>SUM(AU57:AU60)</f>
        <v>0</v>
      </c>
      <c r="AZ59" s="277">
        <f ca="1">AP59*10000000000000+AW59*100000000000+(500+AX59-AY59)*100000000+AX59*10000000+(500+AQ59-AR59)*1000+AQ59*10+AI59</f>
        <v>350000500002</v>
      </c>
      <c r="BA59" s="280">
        <f ca="1">RANK(AZ59,AZ57:AZ60)</f>
        <v>3</v>
      </c>
    </row>
    <row r="60" spans="1:53" ht="15" hidden="1" customHeight="1" x14ac:dyDescent="0.3">
      <c r="A60" s="707" t="str">
        <f t="shared" si="25"/>
        <v>H</v>
      </c>
      <c r="B60" s="79"/>
      <c r="C60" s="524"/>
      <c r="D60" s="14">
        <v>99</v>
      </c>
      <c r="E60" s="544">
        <f>E59</f>
        <v>44012</v>
      </c>
      <c r="F60" s="545">
        <f t="shared" si="26"/>
        <v>44012</v>
      </c>
      <c r="G60" s="548" t="str">
        <f ca="1">AJ67</f>
        <v>Land G2</v>
      </c>
      <c r="H60" s="549" t="s">
        <v>12</v>
      </c>
      <c r="I60" s="550" t="str">
        <f ca="1">AJ68</f>
        <v>Land G3</v>
      </c>
      <c r="J60" s="457"/>
      <c r="K60" s="66" t="s">
        <v>12</v>
      </c>
      <c r="L60" s="457"/>
      <c r="M60" s="547"/>
      <c r="N60" s="14">
        <v>99</v>
      </c>
      <c r="O60" s="544">
        <f>O59</f>
        <v>44012</v>
      </c>
      <c r="P60" s="545">
        <f t="shared" si="27"/>
        <v>44012</v>
      </c>
      <c r="Q60" s="548" t="str">
        <f ca="1">AJ76</f>
        <v>Land H2</v>
      </c>
      <c r="R60" s="549" t="s">
        <v>12</v>
      </c>
      <c r="S60" s="550" t="str">
        <f ca="1">AJ77</f>
        <v>Land H3</v>
      </c>
      <c r="T60" s="457"/>
      <c r="U60" s="66" t="s">
        <v>12</v>
      </c>
      <c r="V60" s="457"/>
      <c r="W60" s="525"/>
      <c r="X60" s="79"/>
      <c r="Y60" s="475" t="str">
        <f t="shared" si="30"/>
        <v/>
      </c>
      <c r="Z60" s="475" t="str">
        <f t="shared" si="31"/>
        <v/>
      </c>
      <c r="AA60" s="553" t="str">
        <f t="shared" si="28"/>
        <v>FOUT</v>
      </c>
      <c r="AB60" s="475" t="str">
        <f t="shared" si="32"/>
        <v/>
      </c>
      <c r="AC60" s="475" t="str">
        <f t="shared" si="33"/>
        <v/>
      </c>
      <c r="AD60" s="553" t="str">
        <f t="shared" si="29"/>
        <v>FOUT</v>
      </c>
      <c r="AE60" s="77"/>
      <c r="AF60" s="52"/>
      <c r="AG60" s="52"/>
      <c r="AH60" s="216" t="str">
        <f ca="1">RIGHT(AJ55,1)&amp;4</f>
        <v>F4</v>
      </c>
      <c r="AI60" s="332">
        <f ca="1">$AX$88</f>
        <v>1</v>
      </c>
      <c r="AJ60" s="577" t="str">
        <f ca="1">VLOOKUP(AH60,Voorblad!$X$67:$Z$98,2,FALSE)</f>
        <v>Duitsland</v>
      </c>
      <c r="AK60" s="182" t="str">
        <f ca="1">VLOOKUP(AH60,Voorblad!$X$67:$Z$98,3,FALSE)</f>
        <v>DE</v>
      </c>
      <c r="AL60" s="273">
        <f>IF(ISNUMBER(T50),T50,0)</f>
        <v>0</v>
      </c>
      <c r="AM60" s="274">
        <f>IF(ISNUMBER(V48),V48,0)</f>
        <v>0</v>
      </c>
      <c r="AN60" s="274">
        <f>IF(ISNUMBER(V46),V46,0)</f>
        <v>0</v>
      </c>
      <c r="AO60" s="275">
        <v>0</v>
      </c>
      <c r="AP60" s="530">
        <f>IF(AD50&lt;&gt;"FOUT",IF(AL60&gt;AO57,3,IF(AL60=AO57,1,0)),0)+IF(AD48&lt;&gt;"FOUT",IF(AM60&gt;AO58,3,IF(AM60=AO58,1,0)),0)+IF(AD45&lt;&gt;"FOUT",IF(AN60&gt;AO59,3,IF(AN60=AO59,1,0)),0)</f>
        <v>0</v>
      </c>
      <c r="AQ60" s="181">
        <f>SUM(AL60:AO60)</f>
        <v>0</v>
      </c>
      <c r="AR60" s="180">
        <f>SUM(AO57:AO60)</f>
        <v>0</v>
      </c>
      <c r="AS60" s="182">
        <f>IF($AP60=$AP57,AL60,0)</f>
        <v>0</v>
      </c>
      <c r="AT60" s="179">
        <f>IF($AP60=$AP58,AM60,0)</f>
        <v>0</v>
      </c>
      <c r="AU60" s="179">
        <f>IF($AP60=$AP59,AN60,0)</f>
        <v>0</v>
      </c>
      <c r="AV60" s="265">
        <v>0</v>
      </c>
      <c r="AW60" s="178">
        <f>IF(AS60&gt;AV57,3,IF(AS60=AV57,1,0))+IF(AT60&gt;AV58,3,IF(AT60=AV58,1,0))+IF(AU60&gt;AV59,3,IF(AU60=AV59,1,0))</f>
        <v>3</v>
      </c>
      <c r="AX60" s="181">
        <f>SUM(AS60:AV60)</f>
        <v>0</v>
      </c>
      <c r="AY60" s="180">
        <f>SUM(AV57:AV60)</f>
        <v>0</v>
      </c>
      <c r="AZ60" s="278">
        <f ca="1">AP60*10000000000000+AW60*100000000000+(500+AX60-AY60)*100000000+AX60*10000000+(500+AQ60-AR60)*1000+AQ60*10+AI60</f>
        <v>350000500001</v>
      </c>
      <c r="BA60" s="281">
        <f ca="1">RANK(AZ60,AZ57:AZ60)</f>
        <v>4</v>
      </c>
    </row>
    <row r="61" spans="1:53" ht="20.100000000000001" customHeight="1" x14ac:dyDescent="0.3">
      <c r="A61" s="707" t="str">
        <f t="shared" ref="A61:A68" si="34">IF(A53="H","","H")</f>
        <v/>
      </c>
      <c r="B61" s="464"/>
      <c r="C61" s="524"/>
      <c r="D61" s="485"/>
      <c r="E61" s="486"/>
      <c r="F61" s="487"/>
      <c r="G61" s="488"/>
      <c r="H61" s="489"/>
      <c r="I61" s="490"/>
      <c r="J61" s="474"/>
      <c r="K61" s="474"/>
      <c r="L61" s="474"/>
      <c r="M61" s="484"/>
      <c r="N61" s="485"/>
      <c r="O61" s="486"/>
      <c r="P61" s="487"/>
      <c r="Q61" s="488"/>
      <c r="R61" s="489"/>
      <c r="S61" s="490"/>
      <c r="T61" s="474"/>
      <c r="U61" s="474"/>
      <c r="V61" s="474"/>
      <c r="W61" s="525"/>
      <c r="X61" s="464"/>
      <c r="Y61" s="6"/>
      <c r="Z61" s="6"/>
      <c r="AA61" s="201"/>
      <c r="AB61" s="6"/>
      <c r="AC61" s="6"/>
      <c r="AD61" s="201"/>
      <c r="AE61" s="77"/>
      <c r="AF61" s="52"/>
      <c r="AG61" s="52"/>
      <c r="AH61" s="197"/>
      <c r="AI61" s="197"/>
      <c r="AJ61" s="554" t="s">
        <v>232</v>
      </c>
      <c r="AK61" s="92" t="str">
        <f>IF(COUNTIF(AB45:AC50,"GOED")=12,"JA","NEE")</f>
        <v>NEE</v>
      </c>
      <c r="AL61" s="91"/>
      <c r="AM61" s="91"/>
      <c r="AN61" s="91"/>
      <c r="AO61" s="91"/>
      <c r="AP61" s="91"/>
      <c r="AQ61" s="91"/>
      <c r="AR61" s="91"/>
      <c r="AS61" s="238"/>
      <c r="AT61" s="238"/>
      <c r="AU61" s="238"/>
      <c r="AV61" s="238"/>
      <c r="AW61" s="238"/>
      <c r="AX61" s="238"/>
      <c r="AY61" s="238"/>
      <c r="AZ61" s="238"/>
      <c r="BA61" s="92"/>
    </row>
    <row r="62" spans="1:53" ht="15" customHeight="1" x14ac:dyDescent="0.3">
      <c r="A62" s="707" t="str">
        <f t="shared" si="34"/>
        <v/>
      </c>
      <c r="B62" s="464"/>
      <c r="C62" s="524"/>
      <c r="D62" s="485"/>
      <c r="E62" s="486"/>
      <c r="F62" s="487"/>
      <c r="G62" s="488"/>
      <c r="H62" s="489"/>
      <c r="I62" s="490"/>
      <c r="J62" s="474"/>
      <c r="K62" s="474"/>
      <c r="L62" s="474"/>
      <c r="M62" s="484"/>
      <c r="N62" s="485"/>
      <c r="O62" s="486"/>
      <c r="P62" s="487"/>
      <c r="Q62" s="488"/>
      <c r="R62" s="489"/>
      <c r="S62" s="490"/>
      <c r="T62" s="474"/>
      <c r="U62" s="474"/>
      <c r="V62" s="474"/>
      <c r="W62" s="525"/>
      <c r="X62" s="464"/>
      <c r="Y62" s="6"/>
      <c r="Z62" s="6"/>
      <c r="AA62" s="6"/>
      <c r="AB62" s="6"/>
      <c r="AC62" s="6"/>
      <c r="AD62" s="5"/>
      <c r="AE62" s="77"/>
      <c r="AF62" s="52"/>
      <c r="AG62" s="52"/>
      <c r="AH62" s="1147"/>
      <c r="AI62" s="1180"/>
      <c r="AJ62" s="604"/>
      <c r="AK62" s="1145" t="s">
        <v>177</v>
      </c>
      <c r="AL62" s="1145" t="str">
        <f ca="1">AJ66</f>
        <v>Land G1</v>
      </c>
      <c r="AM62" s="1145" t="str">
        <f ca="1">AJ67</f>
        <v>Land G2</v>
      </c>
      <c r="AN62" s="1145" t="str">
        <f ca="1">AJ68</f>
        <v>Land G3</v>
      </c>
      <c r="AO62" s="1145" t="str">
        <f ca="1">AJ69</f>
        <v>Land G4</v>
      </c>
      <c r="AP62" s="1145" t="s">
        <v>99</v>
      </c>
      <c r="AQ62" s="1145" t="s">
        <v>176</v>
      </c>
      <c r="AR62" s="1145" t="s">
        <v>175</v>
      </c>
      <c r="AS62" s="1145" t="str">
        <f ca="1">"Gelijk met "&amp;AH66</f>
        <v>Gelijk met G1</v>
      </c>
      <c r="AT62" s="1145" t="str">
        <f ca="1">"Gelijk met "&amp;AH67</f>
        <v>Gelijk met G2</v>
      </c>
      <c r="AU62" s="1145" t="str">
        <f ca="1">"Gelijk met "&amp;AH68</f>
        <v>Gelijk met G3</v>
      </c>
      <c r="AV62" s="1145" t="str">
        <f ca="1">"Gelijk met "&amp;AH69</f>
        <v>Gelijk met G4</v>
      </c>
      <c r="AW62" s="1145" t="s">
        <v>99</v>
      </c>
      <c r="AX62" s="1145" t="s">
        <v>176</v>
      </c>
      <c r="AY62" s="1145" t="s">
        <v>175</v>
      </c>
      <c r="AZ62" s="1145" t="s">
        <v>233</v>
      </c>
      <c r="BA62" s="1145" t="s">
        <v>71</v>
      </c>
    </row>
    <row r="63" spans="1:53" ht="15" customHeight="1" x14ac:dyDescent="0.3">
      <c r="A63" s="707" t="str">
        <f t="shared" si="34"/>
        <v/>
      </c>
      <c r="B63" s="464"/>
      <c r="C63" s="524"/>
      <c r="D63" s="485"/>
      <c r="E63" s="486"/>
      <c r="F63" s="487"/>
      <c r="G63" s="488"/>
      <c r="H63" s="489"/>
      <c r="I63" s="490"/>
      <c r="J63" s="474"/>
      <c r="K63" s="474"/>
      <c r="L63" s="474"/>
      <c r="M63" s="484"/>
      <c r="N63" s="485"/>
      <c r="O63" s="486"/>
      <c r="P63" s="487"/>
      <c r="Q63" s="488"/>
      <c r="R63" s="489"/>
      <c r="S63" s="490"/>
      <c r="T63" s="474"/>
      <c r="U63" s="474"/>
      <c r="V63" s="474"/>
      <c r="W63" s="525"/>
      <c r="X63" s="464"/>
      <c r="Y63" s="1177" t="s">
        <v>213</v>
      </c>
      <c r="Z63" s="1177"/>
      <c r="AA63" s="1177"/>
      <c r="AB63" s="1177"/>
      <c r="AC63" s="1177"/>
      <c r="AD63" s="1177"/>
      <c r="AE63" s="1177"/>
      <c r="AF63" s="1177"/>
      <c r="AG63" s="1177"/>
      <c r="AH63" s="1147"/>
      <c r="AI63" s="1180"/>
      <c r="AJ63" s="604"/>
      <c r="AK63" s="1145"/>
      <c r="AL63" s="1145"/>
      <c r="AM63" s="1145"/>
      <c r="AN63" s="1145"/>
      <c r="AO63" s="1145"/>
      <c r="AP63" s="1145"/>
      <c r="AQ63" s="1145"/>
      <c r="AR63" s="1145"/>
      <c r="AS63" s="1145"/>
      <c r="AT63" s="1145"/>
      <c r="AU63" s="1145"/>
      <c r="AV63" s="1145"/>
      <c r="AW63" s="1145"/>
      <c r="AX63" s="1145"/>
      <c r="AY63" s="1145"/>
      <c r="AZ63" s="1145"/>
      <c r="BA63" s="1145"/>
    </row>
    <row r="64" spans="1:53" ht="15" customHeight="1" x14ac:dyDescent="0.3">
      <c r="A64" s="707" t="str">
        <f t="shared" si="34"/>
        <v/>
      </c>
      <c r="B64" s="464"/>
      <c r="C64" s="524"/>
      <c r="D64" s="485"/>
      <c r="E64" s="486"/>
      <c r="F64" s="487"/>
      <c r="G64" s="488"/>
      <c r="H64" s="489"/>
      <c r="I64" s="490"/>
      <c r="J64" s="474"/>
      <c r="K64" s="474"/>
      <c r="L64" s="474"/>
      <c r="M64" s="484"/>
      <c r="N64" s="485"/>
      <c r="O64" s="486"/>
      <c r="P64" s="487"/>
      <c r="Q64" s="488"/>
      <c r="R64" s="489"/>
      <c r="S64" s="490"/>
      <c r="T64" s="474"/>
      <c r="U64" s="474"/>
      <c r="V64" s="474"/>
      <c r="W64" s="525"/>
      <c r="X64" s="464"/>
      <c r="Y64" s="1177"/>
      <c r="Z64" s="1177"/>
      <c r="AA64" s="1177"/>
      <c r="AB64" s="1177"/>
      <c r="AC64" s="1177"/>
      <c r="AD64" s="1177"/>
      <c r="AE64" s="1177"/>
      <c r="AF64" s="1177"/>
      <c r="AG64" s="1177"/>
      <c r="AH64" s="1147"/>
      <c r="AI64" s="1180"/>
      <c r="AJ64" s="555" t="str">
        <f ca="1">D53</f>
        <v>Groep G</v>
      </c>
      <c r="AK64" s="1145"/>
      <c r="AL64" s="1145"/>
      <c r="AM64" s="1145"/>
      <c r="AN64" s="1145"/>
      <c r="AO64" s="1145"/>
      <c r="AP64" s="1145"/>
      <c r="AQ64" s="1145"/>
      <c r="AR64" s="1145"/>
      <c r="AS64" s="1145"/>
      <c r="AT64" s="1145"/>
      <c r="AU64" s="1145"/>
      <c r="AV64" s="1145"/>
      <c r="AW64" s="1145"/>
      <c r="AX64" s="1145"/>
      <c r="AY64" s="1145"/>
      <c r="AZ64" s="1145"/>
      <c r="BA64" s="1145"/>
    </row>
    <row r="65" spans="1:53" ht="15" customHeight="1" x14ac:dyDescent="0.3">
      <c r="A65" s="707" t="str">
        <f t="shared" si="34"/>
        <v/>
      </c>
      <c r="B65" s="464"/>
      <c r="C65" s="524"/>
      <c r="D65" s="485"/>
      <c r="E65" s="486"/>
      <c r="F65" s="487"/>
      <c r="G65" s="488"/>
      <c r="H65" s="489"/>
      <c r="I65" s="490"/>
      <c r="J65" s="474"/>
      <c r="K65" s="474"/>
      <c r="L65" s="474"/>
      <c r="M65" s="484"/>
      <c r="N65" s="485"/>
      <c r="O65" s="486"/>
      <c r="P65" s="487"/>
      <c r="Q65" s="488"/>
      <c r="R65" s="489"/>
      <c r="S65" s="490"/>
      <c r="T65" s="474"/>
      <c r="U65" s="474"/>
      <c r="V65" s="474"/>
      <c r="W65" s="525"/>
      <c r="X65" s="464"/>
      <c r="Y65" s="1177"/>
      <c r="Z65" s="1177"/>
      <c r="AA65" s="1177"/>
      <c r="AB65" s="1177"/>
      <c r="AC65" s="1177"/>
      <c r="AD65" s="1177"/>
      <c r="AE65" s="1177"/>
      <c r="AF65" s="1177"/>
      <c r="AG65" s="1177"/>
      <c r="AH65" s="1147"/>
      <c r="AI65" s="1180"/>
      <c r="AJ65" s="554" t="s">
        <v>17</v>
      </c>
      <c r="AK65" s="1145"/>
      <c r="AL65" s="1145"/>
      <c r="AM65" s="1145"/>
      <c r="AN65" s="1145"/>
      <c r="AO65" s="1145"/>
      <c r="AP65" s="1145"/>
      <c r="AQ65" s="1145"/>
      <c r="AR65" s="1145"/>
      <c r="AS65" s="1145"/>
      <c r="AT65" s="1145"/>
      <c r="AU65" s="1145"/>
      <c r="AV65" s="1145"/>
      <c r="AW65" s="1145"/>
      <c r="AX65" s="1145"/>
      <c r="AY65" s="1145"/>
      <c r="AZ65" s="1145"/>
      <c r="BA65" s="1145"/>
    </row>
    <row r="66" spans="1:53" ht="15" customHeight="1" x14ac:dyDescent="0.3">
      <c r="A66" s="707" t="str">
        <f t="shared" si="34"/>
        <v/>
      </c>
      <c r="B66" s="464"/>
      <c r="C66" s="524"/>
      <c r="D66" s="485"/>
      <c r="E66" s="486"/>
      <c r="F66" s="487"/>
      <c r="G66" s="488"/>
      <c r="H66" s="489"/>
      <c r="I66" s="490"/>
      <c r="J66" s="474"/>
      <c r="K66" s="474"/>
      <c r="L66" s="474"/>
      <c r="M66" s="484"/>
      <c r="N66" s="485"/>
      <c r="O66" s="486"/>
      <c r="P66" s="487"/>
      <c r="Q66" s="488"/>
      <c r="R66" s="489"/>
      <c r="S66" s="490"/>
      <c r="T66" s="474"/>
      <c r="U66" s="474"/>
      <c r="V66" s="474"/>
      <c r="W66" s="525"/>
      <c r="X66" s="464"/>
      <c r="Y66" s="250"/>
      <c r="Z66" s="251" t="str">
        <f ca="1">D23</f>
        <v>Groep A</v>
      </c>
      <c r="AA66" s="251" t="str">
        <f ca="1">N23</f>
        <v>Groep B</v>
      </c>
      <c r="AB66" s="251" t="str">
        <f ca="1">D33</f>
        <v>Groep C</v>
      </c>
      <c r="AC66" s="251" t="str">
        <f ca="1">N33</f>
        <v>Groep D</v>
      </c>
      <c r="AD66" s="251" t="str">
        <f ca="1">D43</f>
        <v>Groep E</v>
      </c>
      <c r="AE66" s="251" t="str">
        <f ca="1">N43</f>
        <v>Groep F</v>
      </c>
      <c r="AF66" s="593" t="str">
        <f ca="1">D53</f>
        <v>Groep G</v>
      </c>
      <c r="AG66" s="593" t="str">
        <f ca="1">N53</f>
        <v>Groep H</v>
      </c>
      <c r="AH66" s="216" t="str">
        <f ca="1">RIGHT(AJ64,1)&amp;1</f>
        <v>G1</v>
      </c>
      <c r="AI66" s="332">
        <f ca="1">$AU$89</f>
        <v>1</v>
      </c>
      <c r="AJ66" s="556" t="str">
        <f ca="1">VLOOKUP(AH66,Voorblad!$X$67:$Z$98,2,FALSE)</f>
        <v>Land G1</v>
      </c>
      <c r="AK66" s="557" t="str">
        <f ca="1">VLOOKUP(AH66,Voorblad!$X$67:$Z$98,3,FALSE)</f>
        <v>XA</v>
      </c>
      <c r="AL66" s="267">
        <v>0</v>
      </c>
      <c r="AM66" s="558">
        <f>IF(ISNUMBER(J55),J55,0)</f>
        <v>0</v>
      </c>
      <c r="AN66" s="558">
        <f>IF(ISNUMBER(J57),J57,0)</f>
        <v>0</v>
      </c>
      <c r="AO66" s="558">
        <f>IF(ISNUMBER(L59),L59,0)</f>
        <v>0</v>
      </c>
      <c r="AP66" s="559">
        <f>IF(AA55&lt;&gt;"FOUT",IF(AM66&gt;AL67,3,IF(AM66=AL67,1,0)),0)+IF(AA57&lt;&gt;"FOUT",IF(AN66&gt;AL68,3,IF(AN66=AL68,1,0)),0)+IF(AA59&lt;&gt;"FOUT",IF(AO66&gt;AL69,3,IF(AO66=AL69,1,0)),0)</f>
        <v>0</v>
      </c>
      <c r="AQ66" s="560">
        <f>SUM(AL66:AO66)</f>
        <v>0</v>
      </c>
      <c r="AR66" s="561">
        <f>SUM(AL66:AL69)</f>
        <v>0</v>
      </c>
      <c r="AS66" s="267">
        <v>0</v>
      </c>
      <c r="AT66" s="562">
        <f>IF($AP66=$AP67,AM66,0)</f>
        <v>0</v>
      </c>
      <c r="AU66" s="562">
        <f>IF($AP66=$AP68,AN66,0)</f>
        <v>0</v>
      </c>
      <c r="AV66" s="563">
        <f>IF($AP66=$AP69,AO66,0)</f>
        <v>0</v>
      </c>
      <c r="AW66" s="559">
        <f>IF(AT66&gt;AS67,3,IF(AT66=AS67,1,0))+IF(AU66&gt;AS68,3,IF(AU66=AS68,1,0))+IF(AV66&gt;AS69,3,IF(AV66=AS69,1,0))</f>
        <v>3</v>
      </c>
      <c r="AX66" s="560">
        <f>SUM(AS66:AV66)</f>
        <v>0</v>
      </c>
      <c r="AY66" s="561">
        <f>SUM(AS66:AS69)</f>
        <v>0</v>
      </c>
      <c r="AZ66" s="564">
        <f ca="1">AP66*10000000000000+AW66*100000000000+(500+AX66-AY66)*100000000+AX66*10000000+(500+AQ66-AR66)*1000+AQ66*10+AI66</f>
        <v>350000500001</v>
      </c>
      <c r="BA66" s="565">
        <f ca="1">RANK(AZ66,AZ66:AZ69)</f>
        <v>4</v>
      </c>
    </row>
    <row r="67" spans="1:53" ht="15" customHeight="1" x14ac:dyDescent="0.3">
      <c r="A67" s="707" t="str">
        <f t="shared" si="34"/>
        <v/>
      </c>
      <c r="B67" s="464"/>
      <c r="C67" s="524"/>
      <c r="D67" s="485"/>
      <c r="E67" s="486"/>
      <c r="F67" s="487"/>
      <c r="G67" s="488"/>
      <c r="H67" s="489"/>
      <c r="I67" s="490"/>
      <c r="J67" s="474"/>
      <c r="K67" s="474"/>
      <c r="L67" s="474"/>
      <c r="M67" s="484"/>
      <c r="N67" s="485"/>
      <c r="O67" s="486"/>
      <c r="P67" s="487"/>
      <c r="Q67" s="488"/>
      <c r="R67" s="489"/>
      <c r="S67" s="490"/>
      <c r="T67" s="474"/>
      <c r="U67" s="474"/>
      <c r="V67" s="474"/>
      <c r="W67" s="525"/>
      <c r="X67" s="464"/>
      <c r="Y67" s="252" t="s">
        <v>182</v>
      </c>
      <c r="Z67" s="250">
        <f>IF(AK16="JA",6,0)</f>
        <v>0</v>
      </c>
      <c r="AA67" s="250">
        <f>IF(AK25="JA",6,0)</f>
        <v>0</v>
      </c>
      <c r="AB67" s="250">
        <f>IF(AK34="JA",6,0)</f>
        <v>0</v>
      </c>
      <c r="AC67" s="250">
        <f>IF(AK43="JA",6,0)</f>
        <v>0</v>
      </c>
      <c r="AD67" s="250">
        <f>IF(AK52="JA",6,0)</f>
        <v>0</v>
      </c>
      <c r="AE67" s="250">
        <f>IF(AK61="JA",6,0)</f>
        <v>0</v>
      </c>
      <c r="AF67" s="594">
        <f>IF(AK70="JA",6,0)</f>
        <v>0</v>
      </c>
      <c r="AG67" s="594">
        <f ca="1">IF(AK79="JA",6,0)</f>
        <v>0</v>
      </c>
      <c r="AH67" s="216" t="str">
        <f ca="1">RIGHT(AJ64,1)&amp;2</f>
        <v>G2</v>
      </c>
      <c r="AI67" s="332">
        <f ca="1">$AV$89</f>
        <v>2</v>
      </c>
      <c r="AJ67" s="566" t="str">
        <f ca="1">VLOOKUP(AH67,Voorblad!$X$67:$Z$98,2,FALSE)</f>
        <v>Land G2</v>
      </c>
      <c r="AK67" s="567" t="str">
        <f ca="1">VLOOKUP(AH67,Voorblad!$X$67:$Z$98,3,FALSE)</f>
        <v>XB</v>
      </c>
      <c r="AL67" s="568">
        <f>IF(ISNUMBER(L55),L55,0)</f>
        <v>0</v>
      </c>
      <c r="AM67" s="266">
        <v>0</v>
      </c>
      <c r="AN67" s="570">
        <f>IF(ISNUMBER(J60),J60,0)</f>
        <v>0</v>
      </c>
      <c r="AO67" s="570">
        <f>IF(ISNUMBER(J58),J58,0)</f>
        <v>0</v>
      </c>
      <c r="AP67" s="571">
        <f>IF(AA55&lt;&gt;"FOUT",IF(AL67&gt;AM66,3,IF(AL67=AM66,1,0)),0)+IF(AA60&lt;&gt;"FOUT",IF(AN67&gt;AM68,3,IF(AN67=AM68,1,0)),0)+IF(AA58&lt;&gt;"FOUT",IF(AO67&gt;AM69,3,IF(AO67=AM69,1,0)),0)</f>
        <v>0</v>
      </c>
      <c r="AQ67" s="572">
        <f>SUM(AL67:AO67)</f>
        <v>0</v>
      </c>
      <c r="AR67" s="573">
        <f>SUM(AM66:AM69)</f>
        <v>0</v>
      </c>
      <c r="AS67" s="567">
        <f>IF($AP67=$AP66,AL67,0)</f>
        <v>0</v>
      </c>
      <c r="AT67" s="266">
        <v>0</v>
      </c>
      <c r="AU67" s="569">
        <f>IF($AP67=$AP68,AN67,0)</f>
        <v>0</v>
      </c>
      <c r="AV67" s="574">
        <f>IF($AP67=$AP69,AO67,0)</f>
        <v>0</v>
      </c>
      <c r="AW67" s="571">
        <f>IF(AS67&gt;AT66,3,IF(AS67=AT66,1,0))+IF(AU67&gt;AT68,3,IF(AU67=AT68,1,0))+IF(AV67&gt;AT69,3,IF(AV67=AT69,1,0))</f>
        <v>3</v>
      </c>
      <c r="AX67" s="572">
        <f>SUM(AS67:AV67)</f>
        <v>0</v>
      </c>
      <c r="AY67" s="573">
        <f>SUM(AT66:AT69)</f>
        <v>0</v>
      </c>
      <c r="AZ67" s="575">
        <f ca="1">AP67*10000000000000+AW67*100000000000+(500+AX67-AY67)*100000000+AX67*10000000+(500+AQ67-AR67)*1000+AQ67*10+AI67</f>
        <v>350000500002</v>
      </c>
      <c r="BA67" s="576">
        <f ca="1">RANK(AZ67,AZ66:AZ69)</f>
        <v>3</v>
      </c>
    </row>
    <row r="68" spans="1:53" ht="15" customHeight="1" x14ac:dyDescent="0.3">
      <c r="A68" s="707" t="str">
        <f t="shared" si="34"/>
        <v/>
      </c>
      <c r="B68" s="464"/>
      <c r="C68" s="524"/>
      <c r="D68" s="485"/>
      <c r="E68" s="486"/>
      <c r="F68" s="487"/>
      <c r="G68" s="488"/>
      <c r="H68" s="489"/>
      <c r="I68" s="490"/>
      <c r="J68" s="474"/>
      <c r="K68" s="474"/>
      <c r="L68" s="474"/>
      <c r="M68" s="484"/>
      <c r="N68" s="485"/>
      <c r="O68" s="486"/>
      <c r="P68" s="487"/>
      <c r="Q68" s="488"/>
      <c r="R68" s="489"/>
      <c r="S68" s="490"/>
      <c r="T68" s="474"/>
      <c r="U68" s="474"/>
      <c r="V68" s="474"/>
      <c r="W68" s="525"/>
      <c r="X68" s="464"/>
      <c r="Y68" s="252" t="s">
        <v>204</v>
      </c>
      <c r="Z68" s="250">
        <f>LARGE($AP$12:$AP$15,1)</f>
        <v>0</v>
      </c>
      <c r="AA68" s="250">
        <f>LARGE($AP$21:$AP$24,1)</f>
        <v>0</v>
      </c>
      <c r="AB68" s="250">
        <f>LARGE($AP$30:$AP$33,1)</f>
        <v>0</v>
      </c>
      <c r="AC68" s="250">
        <f>LARGE($AP$39:$AP$42,1)</f>
        <v>0</v>
      </c>
      <c r="AD68" s="250">
        <f>LARGE($AP$48:$AP$51,1)</f>
        <v>0</v>
      </c>
      <c r="AE68" s="250">
        <f>LARGE($AP$57:$AP$60,1)</f>
        <v>0</v>
      </c>
      <c r="AF68" s="594">
        <f>LARGE($AP$66:$AP$69,1)</f>
        <v>0</v>
      </c>
      <c r="AG68" s="594">
        <f>LARGE($AP$75:$AP$78,1)</f>
        <v>0</v>
      </c>
      <c r="AH68" s="216" t="str">
        <f ca="1">RIGHT(AJ64,1)&amp;3</f>
        <v>G3</v>
      </c>
      <c r="AI68" s="332">
        <f ca="1">$AW$89</f>
        <v>3</v>
      </c>
      <c r="AJ68" s="566" t="str">
        <f ca="1">VLOOKUP(AH68,Voorblad!$X$67:$Z$98,2,FALSE)</f>
        <v>Land G3</v>
      </c>
      <c r="AK68" s="567" t="str">
        <f ca="1">VLOOKUP(AH68,Voorblad!$X$67:$Z$98,3,FALSE)</f>
        <v>XC</v>
      </c>
      <c r="AL68" s="568">
        <f>IF(ISNUMBER(L57),L57,0)</f>
        <v>0</v>
      </c>
      <c r="AM68" s="570">
        <f>IF(ISNUMBER(L60),L60,0)</f>
        <v>0</v>
      </c>
      <c r="AN68" s="266">
        <v>0</v>
      </c>
      <c r="AO68" s="570">
        <f>IF(ISNUMBER(J56),J56,0)</f>
        <v>0</v>
      </c>
      <c r="AP68" s="571">
        <f>IF(AA57&lt;&gt;"FOUT",IF(AL68&gt;AN66,3,IF(AL68=AN66,1,0)),0)+IF(AA60&lt;&gt;"FOUT",IF(AM68&gt;AN67,3,IF(AM68=AN67,1,0)),0)+IF(AA56&lt;&gt;"FOUT",IF(AO68&gt;AN69,3,IF(AO68=AN69,1,0)),0)</f>
        <v>0</v>
      </c>
      <c r="AQ68" s="572">
        <f>SUM(AL68:AO68)</f>
        <v>0</v>
      </c>
      <c r="AR68" s="573">
        <f>SUM(AN66:AN69)</f>
        <v>0</v>
      </c>
      <c r="AS68" s="567">
        <f>IF($AP68=$AP66,AL68,0)</f>
        <v>0</v>
      </c>
      <c r="AT68" s="569">
        <f>IF($AP68=$AP67,AM68,0)</f>
        <v>0</v>
      </c>
      <c r="AU68" s="266">
        <v>0</v>
      </c>
      <c r="AV68" s="574">
        <f>IF($AP68=$AP69,AO68,0)</f>
        <v>0</v>
      </c>
      <c r="AW68" s="571">
        <f>IF(AS68&gt;AU66,3,IF(AS68=AU66,1,0))+IF(AT68&gt;AU67,3,IF(AT68=AU67,1,0))+IF(AV68&gt;AU69,3,IF(AV68=AU69,1,0))</f>
        <v>3</v>
      </c>
      <c r="AX68" s="572">
        <f>SUM(AS68:AV68)</f>
        <v>0</v>
      </c>
      <c r="AY68" s="573">
        <f>SUM(AU66:AU69)</f>
        <v>0</v>
      </c>
      <c r="AZ68" s="575">
        <f ca="1">AP68*10000000000000+AW68*100000000000+(500+AX68-AY68)*100000000+AX68*10000000+(500+AQ68-AR68)*1000+AQ68*10+AI68</f>
        <v>350000500003</v>
      </c>
      <c r="BA68" s="576">
        <f ca="1">RANK(AZ68,AZ66:AZ69)</f>
        <v>2</v>
      </c>
    </row>
    <row r="69" spans="1:53" ht="15" customHeight="1" x14ac:dyDescent="0.3">
      <c r="B69" s="79"/>
      <c r="C69" s="524"/>
      <c r="D69" s="485"/>
      <c r="E69" s="486"/>
      <c r="F69" s="487"/>
      <c r="G69" s="488"/>
      <c r="H69" s="489"/>
      <c r="I69" s="490"/>
      <c r="J69" s="474"/>
      <c r="K69" s="474"/>
      <c r="L69" s="474"/>
      <c r="M69" s="484"/>
      <c r="N69" s="485"/>
      <c r="O69" s="486"/>
      <c r="P69" s="487"/>
      <c r="Q69" s="488"/>
      <c r="R69" s="489"/>
      <c r="S69" s="490"/>
      <c r="T69" s="474"/>
      <c r="U69" s="474"/>
      <c r="V69" s="474"/>
      <c r="W69" s="525"/>
      <c r="X69" s="79"/>
      <c r="Y69" s="252" t="s">
        <v>205</v>
      </c>
      <c r="Z69" s="250">
        <f>LARGE($AP$12:$AP$15,2)</f>
        <v>0</v>
      </c>
      <c r="AA69" s="250">
        <f>LARGE($AP$21:$AP$24,2)</f>
        <v>0</v>
      </c>
      <c r="AB69" s="250">
        <f>LARGE($AP$30:$AP$33,2)</f>
        <v>0</v>
      </c>
      <c r="AC69" s="250">
        <f>LARGE($AP$39:$AP$42,2)</f>
        <v>0</v>
      </c>
      <c r="AD69" s="250">
        <f>LARGE($AP$48:$AP$51,2)</f>
        <v>0</v>
      </c>
      <c r="AE69" s="250">
        <f>LARGE($AP$57:$AP$60,2)</f>
        <v>0</v>
      </c>
      <c r="AF69" s="594">
        <f>LARGE($AP$66:$AP$69,2)</f>
        <v>0</v>
      </c>
      <c r="AG69" s="594">
        <f>LARGE($AP$75:$AP$78,2)</f>
        <v>0</v>
      </c>
      <c r="AH69" s="216" t="str">
        <f ca="1">RIGHT(AJ64,1)&amp;4</f>
        <v>G4</v>
      </c>
      <c r="AI69" s="332">
        <f ca="1">$AX$89</f>
        <v>4</v>
      </c>
      <c r="AJ69" s="577" t="str">
        <f ca="1">VLOOKUP(AH69,Voorblad!$X$67:$Z$98,2,FALSE)</f>
        <v>Land G4</v>
      </c>
      <c r="AK69" s="578" t="str">
        <f ca="1">VLOOKUP(AH69,Voorblad!$X$67:$Z$98,3,FALSE)</f>
        <v>XD</v>
      </c>
      <c r="AL69" s="579">
        <f>IF(ISNUMBER(J59),J59,0)</f>
        <v>0</v>
      </c>
      <c r="AM69" s="580">
        <f>IF(ISNUMBER(L58),L58,0)</f>
        <v>0</v>
      </c>
      <c r="AN69" s="580">
        <f>IF(ISNUMBER(L56),L56,0)</f>
        <v>0</v>
      </c>
      <c r="AO69" s="275">
        <v>0</v>
      </c>
      <c r="AP69" s="530">
        <f>IF(AA59&lt;&gt;"FOUT",IF(AM69&gt;AO67,3,IF(AM69=AO67,1,0)),0)+IF(AA58&lt;&gt;"FOUT",IF(AN69&gt;AO68,3,IF(AN69=AO68,1,0)),0)+IF(AA56&lt;&gt;"FOUT",IF(AL69&gt;AO66,3,IF(AL69=AO66,1,0)),0)</f>
        <v>0</v>
      </c>
      <c r="AQ69" s="582">
        <f>SUM(AL69:AO69)</f>
        <v>0</v>
      </c>
      <c r="AR69" s="583">
        <f>SUM(AO66:AO69)</f>
        <v>0</v>
      </c>
      <c r="AS69" s="578">
        <f>IF($AP69=$AP66,AL69,0)</f>
        <v>0</v>
      </c>
      <c r="AT69" s="581">
        <f>IF($AP69=$AP67,AM69,0)</f>
        <v>0</v>
      </c>
      <c r="AU69" s="581">
        <f>IF($AP69=$AP68,AN69,0)</f>
        <v>0</v>
      </c>
      <c r="AV69" s="265">
        <v>0</v>
      </c>
      <c r="AW69" s="530">
        <f>IF(AS69&gt;AV66,3,IF(AS69=AV66,1,0))+IF(AT69&gt;AV67,3,IF(AT69=AV67,1,0))+IF(AU69&gt;AV68,3,IF(AU69=AV68,1,0))</f>
        <v>3</v>
      </c>
      <c r="AX69" s="582">
        <f>SUM(AS69:AV69)</f>
        <v>0</v>
      </c>
      <c r="AY69" s="583">
        <f>SUM(AV66:AV69)</f>
        <v>0</v>
      </c>
      <c r="AZ69" s="584">
        <f ca="1">AP69*10000000000000+AW69*100000000000+(500+AX69-AY69)*100000000+AX69*10000000+(500+AQ69-AR69)*1000+AQ69*10+AI69</f>
        <v>350000500004</v>
      </c>
      <c r="BA69" s="585">
        <f ca="1">RANK(AZ69,AZ66:AZ69)</f>
        <v>1</v>
      </c>
    </row>
    <row r="70" spans="1:53" ht="9.9" customHeight="1" x14ac:dyDescent="0.3">
      <c r="B70" s="79"/>
      <c r="C70" s="526"/>
      <c r="D70" s="527"/>
      <c r="E70" s="527"/>
      <c r="F70" s="527"/>
      <c r="G70" s="527"/>
      <c r="H70" s="527"/>
      <c r="I70" s="527"/>
      <c r="J70" s="527"/>
      <c r="K70" s="527"/>
      <c r="L70" s="527"/>
      <c r="M70" s="527"/>
      <c r="N70" s="527"/>
      <c r="O70" s="527"/>
      <c r="P70" s="527"/>
      <c r="Q70" s="527"/>
      <c r="R70" s="527"/>
      <c r="S70" s="527"/>
      <c r="T70" s="527"/>
      <c r="U70" s="527"/>
      <c r="V70" s="527"/>
      <c r="W70" s="528"/>
      <c r="X70" s="79"/>
      <c r="Y70" s="252" t="s">
        <v>206</v>
      </c>
      <c r="Z70" s="250">
        <f>LARGE($AP$12:$AP$15,3)</f>
        <v>0</v>
      </c>
      <c r="AA70" s="250">
        <f>LARGE($AP$21:$AP$24,3)</f>
        <v>0</v>
      </c>
      <c r="AB70" s="250">
        <f>LARGE($AP$30:$AP$33,3)</f>
        <v>0</v>
      </c>
      <c r="AC70" s="250">
        <f>LARGE($AP$39:$AP$42,3)</f>
        <v>0</v>
      </c>
      <c r="AD70" s="250">
        <f>LARGE($AP$48:$AP$51,3)</f>
        <v>0</v>
      </c>
      <c r="AE70" s="250">
        <f>LARGE($AP$57:$AP$60,3)</f>
        <v>0</v>
      </c>
      <c r="AF70" s="594">
        <f>LARGE($AP$66:$AP$69,3)</f>
        <v>0</v>
      </c>
      <c r="AG70" s="594">
        <f>LARGE($AP$75:$AP$78,3)</f>
        <v>0</v>
      </c>
      <c r="AH70" s="197"/>
      <c r="AI70" s="592"/>
      <c r="AJ70" s="554" t="s">
        <v>232</v>
      </c>
      <c r="AK70" s="554" t="str">
        <f>IF(COUNTIF(Y55:Z60,"GOED")=12,"JA","NEE")</f>
        <v>NEE</v>
      </c>
      <c r="AL70" s="586"/>
      <c r="AM70" s="586"/>
      <c r="AN70" s="586"/>
      <c r="AO70" s="586"/>
      <c r="AP70" s="91"/>
      <c r="AQ70" s="91"/>
      <c r="AR70" s="91"/>
      <c r="AS70" s="587"/>
      <c r="AT70" s="587"/>
      <c r="AU70" s="587"/>
      <c r="AV70" s="587"/>
      <c r="AW70" s="587"/>
      <c r="AX70" s="587"/>
      <c r="AY70" s="587"/>
      <c r="AZ70" s="587"/>
      <c r="BA70" s="554"/>
    </row>
    <row r="71" spans="1:53" ht="15" customHeight="1" x14ac:dyDescent="0.3">
      <c r="B71" s="79"/>
      <c r="C71" s="72"/>
      <c r="D71" s="72"/>
      <c r="E71" s="72"/>
      <c r="F71" s="72"/>
      <c r="G71" s="72"/>
      <c r="H71" s="72"/>
      <c r="I71" s="72"/>
      <c r="J71" s="72"/>
      <c r="K71" s="72"/>
      <c r="L71" s="72"/>
      <c r="M71" s="463"/>
      <c r="N71" s="463"/>
      <c r="O71" s="463"/>
      <c r="P71" s="463"/>
      <c r="Q71" s="463"/>
      <c r="R71" s="463"/>
      <c r="S71" s="463"/>
      <c r="T71" s="463"/>
      <c r="U71" s="463"/>
      <c r="V71" s="463"/>
      <c r="W71" s="463"/>
      <c r="X71" s="79"/>
      <c r="Y71" s="252" t="s">
        <v>207</v>
      </c>
      <c r="Z71" s="250">
        <f>LARGE($AP$12:$AP$15,4)</f>
        <v>0</v>
      </c>
      <c r="AA71" s="250">
        <f>LARGE($AP$21:$AP$24,4)</f>
        <v>0</v>
      </c>
      <c r="AB71" s="250">
        <f>LARGE($AP$30:$AP$33,4)</f>
        <v>0</v>
      </c>
      <c r="AC71" s="250">
        <f>LARGE($AP$39:$AP$42,4)</f>
        <v>0</v>
      </c>
      <c r="AD71" s="250">
        <f>LARGE($AP$48:$AP$51,4)</f>
        <v>0</v>
      </c>
      <c r="AE71" s="250">
        <f>LARGE($AP$57:$AP$60,4)</f>
        <v>0</v>
      </c>
      <c r="AF71" s="594">
        <f>LARGE($AP$66:$AP$69,4)</f>
        <v>0</v>
      </c>
      <c r="AG71" s="594">
        <f>LARGE($AP$75:$AP$78,4)</f>
        <v>0</v>
      </c>
      <c r="AH71" s="1147"/>
      <c r="AI71" s="1179"/>
      <c r="AJ71" s="604"/>
      <c r="AK71" s="1145" t="s">
        <v>177</v>
      </c>
      <c r="AL71" s="1145" t="str">
        <f ca="1">AJ75</f>
        <v>Land H1</v>
      </c>
      <c r="AM71" s="1145" t="str">
        <f ca="1">AJ76</f>
        <v>Land H2</v>
      </c>
      <c r="AN71" s="1145" t="str">
        <f ca="1">AJ77</f>
        <v>Land H3</v>
      </c>
      <c r="AO71" s="1145" t="str">
        <f ca="1">AJ78</f>
        <v>Land H4</v>
      </c>
      <c r="AP71" s="1145" t="s">
        <v>99</v>
      </c>
      <c r="AQ71" s="1145" t="s">
        <v>176</v>
      </c>
      <c r="AR71" s="1145" t="s">
        <v>175</v>
      </c>
      <c r="AS71" s="1145" t="str">
        <f ca="1">"Gelijk met "&amp;AH75</f>
        <v>Gelijk met H1</v>
      </c>
      <c r="AT71" s="1145" t="str">
        <f ca="1">"Gelijk met "&amp;AH76</f>
        <v>Gelijk met H2</v>
      </c>
      <c r="AU71" s="1145" t="str">
        <f ca="1">"Gelijk met "&amp;AH77</f>
        <v>Gelijk met H3</v>
      </c>
      <c r="AV71" s="1145" t="str">
        <f ca="1">"Gelijk met "&amp;AH78</f>
        <v>Gelijk met H4</v>
      </c>
      <c r="AW71" s="1145" t="s">
        <v>99</v>
      </c>
      <c r="AX71" s="1145" t="s">
        <v>176</v>
      </c>
      <c r="AY71" s="1145" t="s">
        <v>175</v>
      </c>
      <c r="AZ71" s="1145" t="s">
        <v>233</v>
      </c>
      <c r="BA71" s="1145" t="s">
        <v>71</v>
      </c>
    </row>
    <row r="72" spans="1:53" ht="15" customHeight="1" x14ac:dyDescent="0.3">
      <c r="B72" s="79"/>
      <c r="C72" s="1025"/>
      <c r="D72" s="1023" t="str">
        <f>IF(Reglement!D71="","",Reglement!D71)</f>
        <v>www.excel-pool.nl</v>
      </c>
      <c r="E72" s="1026"/>
      <c r="F72" s="1026"/>
      <c r="G72" s="1026"/>
      <c r="H72" s="1026"/>
      <c r="I72" s="1026"/>
      <c r="J72" s="1026"/>
      <c r="K72" s="1026"/>
      <c r="L72" s="1026"/>
      <c r="M72" s="1026"/>
      <c r="N72" s="1026"/>
      <c r="O72" s="1026"/>
      <c r="P72" s="1026"/>
      <c r="Q72" s="1026"/>
      <c r="R72" s="1026"/>
      <c r="S72" s="1026"/>
      <c r="T72" s="1026"/>
      <c r="U72" s="1026"/>
      <c r="V72" s="1024" t="str">
        <f>IF(Reglement!M71="","",Reglement!M71)</f>
        <v>©2021 Eric de Jong v20.00dj</v>
      </c>
      <c r="W72" s="1027"/>
      <c r="X72" s="79"/>
      <c r="Y72" s="252" t="s">
        <v>1055</v>
      </c>
      <c r="Z72" s="250" t="str">
        <f>IF(Z$67=6,IF(Z68=$AP$12,$AH$12,"")&amp;IF(Z68=$AP$13,$AH$13,"")&amp;IF(Z68=$AP$14,$AH$14,"")&amp;IF(Z68=$AP$15,$AH$15,""),"")</f>
        <v/>
      </c>
      <c r="AA72" s="250" t="str">
        <f>IF(AA$67=6,IF(AA68=$AP$21,$AH$21,"")&amp;IF(AA68=$AP$22,$AH$22,"")&amp;IF(AA68=$AP$23,$AH$23,"")&amp;IF(AA68=$AP$24,$AH$24,""),"")</f>
        <v/>
      </c>
      <c r="AB72" s="250" t="str">
        <f>IF(AB$67=6,IF(AB68=$AP$30,$AH$30,"")&amp;IF(AB68=$AP$31,$AH$31,"")&amp;IF(AB68=$AP$32,$AH$32,"")&amp;IF(AB68=$AP$33,$AH$33,""),"")</f>
        <v/>
      </c>
      <c r="AC72" s="250" t="str">
        <f>IF(AC$67=6,IF(AC68=$AP$39,$AH$39,"")&amp;IF(AC68=$AP$40,$AH$40,"")&amp;IF(AC68=$AP$41,$AH$41,"")&amp;IF(AC68=$AP$42,$AH$42,""),"")</f>
        <v/>
      </c>
      <c r="AD72" s="250" t="str">
        <f>IF(AD$67,IF(AD68=$AP$48,$AH$48,"")&amp;IF(AD68=$AP$49,$AH$49,"")&amp;IF(AD68=$AP$50,$AH$50,"")&amp;IF(AD68=$AP$51,$AH$51,""),"")</f>
        <v/>
      </c>
      <c r="AE72" s="250" t="str">
        <f>IF(AE$67=6,IF(AE68=$AP$57,$AH$57,"")&amp;IF(AE68=$AP$58,$AH$58,"")&amp;IF(AE68=$AP$59,$AH$59,"")&amp;IF(AE68=$AP$60,$AH$60,""),"")</f>
        <v/>
      </c>
      <c r="AF72" s="250" t="str">
        <f>IF(AF$67=6,IF(AF68=$AP$66,$AH$66,"")&amp;IF(AF68=$AP$67,$AH$67,"")&amp;IF(AF68=$AP$68,$AH$68,"")&amp;IF(AF68=$AP$69,$AH$69,""),"")</f>
        <v/>
      </c>
      <c r="AG72" s="250" t="str">
        <f ca="1">IF(AG$67=6,IF(AG68=$AP$75,$AH$75,"")&amp;IF(AG68=$AP$76,$AH$76,"")&amp;IF(AG68=$AP$77,$AH$77,"")&amp;IF(AG68=$AP$78,$AH$78,""),"")</f>
        <v/>
      </c>
      <c r="AH72" s="1147"/>
      <c r="AI72" s="1179"/>
      <c r="AJ72" s="604"/>
      <c r="AK72" s="1145"/>
      <c r="AL72" s="1145"/>
      <c r="AM72" s="1145"/>
      <c r="AN72" s="1145"/>
      <c r="AO72" s="1145"/>
      <c r="AP72" s="1145"/>
      <c r="AQ72" s="1145"/>
      <c r="AR72" s="1145"/>
      <c r="AS72" s="1145"/>
      <c r="AT72" s="1145"/>
      <c r="AU72" s="1145"/>
      <c r="AV72" s="1145"/>
      <c r="AW72" s="1145"/>
      <c r="AX72" s="1145"/>
      <c r="AY72" s="1145"/>
      <c r="AZ72" s="1145"/>
      <c r="BA72" s="1145"/>
    </row>
    <row r="73" spans="1:53" ht="15" customHeight="1" x14ac:dyDescent="0.3">
      <c r="B73" s="79"/>
      <c r="C73" s="72"/>
      <c r="D73" s="72"/>
      <c r="E73" s="72"/>
      <c r="F73" s="72"/>
      <c r="G73" s="72"/>
      <c r="H73" s="72"/>
      <c r="I73" s="72"/>
      <c r="J73" s="72"/>
      <c r="K73" s="72"/>
      <c r="L73" s="72"/>
      <c r="M73" s="72"/>
      <c r="N73" s="72"/>
      <c r="O73" s="72"/>
      <c r="P73" s="72"/>
      <c r="Q73" s="72"/>
      <c r="R73" s="72"/>
      <c r="S73" s="72"/>
      <c r="T73" s="72"/>
      <c r="U73" s="72"/>
      <c r="V73" s="72"/>
      <c r="W73" s="72"/>
      <c r="X73" s="79"/>
      <c r="Y73" s="252" t="s">
        <v>1056</v>
      </c>
      <c r="Z73" s="250" t="str">
        <f>IF(Z$67=6,IF(Z69=$AP$12,$AH$12,"")&amp;IF(Z69=$AP$13,$AH$13,"")&amp;IF(Z69=$AP$14,$AH$14,"")&amp;IF(Z69=$AP$15,$AH$15,""),"")</f>
        <v/>
      </c>
      <c r="AA73" s="250" t="str">
        <f>IF(AA$67=6,IF(AA69=$AP$21,$AH$21,"")&amp;IF(AA69=$AP$22,$AH$22,"")&amp;IF(AA69=$AP$23,$AH$23,"")&amp;IF(AA69=$AP$24,$AH$24,""),"")</f>
        <v/>
      </c>
      <c r="AB73" s="250" t="str">
        <f>IF(AB$67=6,IF(AB69=$AP$30,$AH$30,"")&amp;IF(AB69=$AP$31,$AH$31,"")&amp;IF(AB69=$AP$32,$AH$32,"")&amp;IF(AB69=$AP$33,$AH$33,""),"")</f>
        <v/>
      </c>
      <c r="AC73" s="250" t="str">
        <f>IF(AC$67=6,IF(AC69=$AP$39,$AH$39,"")&amp;IF(AC69=$AP$40,$AH$40,"")&amp;IF(AC69=$AP$41,$AH$41,"")&amp;IF(AC69=$AP$42,$AH$42,""),"")</f>
        <v/>
      </c>
      <c r="AD73" s="250" t="str">
        <f>IF(AD$67,IF(AD69=$AP$48,$AH$48,"")&amp;IF(AD69=$AP$49,$AH$49,"")&amp;IF(AD69=$AP$50,$AH$50,"")&amp;IF(AD69=$AP$51,$AH$51,""),"")</f>
        <v/>
      </c>
      <c r="AE73" s="250" t="str">
        <f>IF(AE$67=6,IF(AE69=$AP$57,$AH$57,"")&amp;IF(AE69=$AP$58,$AH$58,"")&amp;IF(AE69=$AP$59,$AH$59,"")&amp;IF(AE69=$AP$60,$AH$60,""),"")</f>
        <v/>
      </c>
      <c r="AF73" s="250" t="str">
        <f>IF(AF$67=6,IF(AF69=$AP$66,$AH$66,"")&amp;IF(AF69=$AP$67,$AH$67,"")&amp;IF(AF69=$AP$68,$AH$68,"")&amp;IF(AF69=$AP$69,$AH$69,""),"")</f>
        <v/>
      </c>
      <c r="AG73" s="250" t="str">
        <f ca="1">IF(AG$67=6,IF(AG69=$AP$75,$AH$75,"")&amp;IF(AG69=$AP$76,$AH$76,"")&amp;IF(AG69=$AP$77,$AH$77,"")&amp;IF(AG69=$AP$78,$AH$78,""),"")</f>
        <v/>
      </c>
      <c r="AH73" s="1147"/>
      <c r="AI73" s="1179"/>
      <c r="AJ73" s="555" t="str">
        <f ca="1">N53</f>
        <v>Groep H</v>
      </c>
      <c r="AK73" s="1145"/>
      <c r="AL73" s="1145"/>
      <c r="AM73" s="1145"/>
      <c r="AN73" s="1145"/>
      <c r="AO73" s="1145"/>
      <c r="AP73" s="1145"/>
      <c r="AQ73" s="1145"/>
      <c r="AR73" s="1145"/>
      <c r="AS73" s="1145"/>
      <c r="AT73" s="1145"/>
      <c r="AU73" s="1145"/>
      <c r="AV73" s="1145"/>
      <c r="AW73" s="1145"/>
      <c r="AX73" s="1145"/>
      <c r="AY73" s="1145"/>
      <c r="AZ73" s="1145"/>
      <c r="BA73" s="1145"/>
    </row>
    <row r="74" spans="1:53" ht="15" customHeight="1" x14ac:dyDescent="0.3">
      <c r="C74" s="209"/>
      <c r="D74" s="209"/>
      <c r="E74" s="209"/>
      <c r="F74" s="209"/>
      <c r="G74" s="209"/>
      <c r="H74" s="209"/>
      <c r="I74" s="209"/>
      <c r="J74" s="209"/>
      <c r="K74" s="209"/>
      <c r="L74" s="209"/>
      <c r="M74" s="209"/>
      <c r="N74" s="209"/>
      <c r="O74" s="209"/>
      <c r="P74" s="209"/>
      <c r="Q74" s="209"/>
      <c r="R74" s="209"/>
      <c r="S74" s="209"/>
      <c r="Y74" s="252" t="s">
        <v>1057</v>
      </c>
      <c r="Z74" s="250" t="str">
        <f>IF(Z$67=6,IF(Z70=$AP$12,$AH$12,"")&amp;IF(Z70=$AP$13,$AH$13,"")&amp;IF(Z70=$AP$14,$AH$14,"")&amp;IF(Z70=$AP$15,$AH$15,""),"")</f>
        <v/>
      </c>
      <c r="AA74" s="250" t="str">
        <f>IF(AA$67=6,IF(AA70=$AP$21,$AH$21,"")&amp;IF(AA70=$AP$22,$AH$22,"")&amp;IF(AA70=$AP$23,$AH$23,"")&amp;IF(AA70=$AP$24,$AH$24,""),"")</f>
        <v/>
      </c>
      <c r="AB74" s="250" t="str">
        <f>IF(AB$67=6,IF(AB70=$AP$30,$AH$30,"")&amp;IF(AB70=$AP$31,$AH$31,"")&amp;IF(AB70=$AP$32,$AH$32,"")&amp;IF(AB70=$AP$33,$AH$33,""),"")</f>
        <v/>
      </c>
      <c r="AC74" s="250" t="str">
        <f>IF(AC$67=6,IF(AC70=$AP$39,$AH$39,"")&amp;IF(AC70=$AP$40,$AH$40,"")&amp;IF(AC70=$AP$41,$AH$41,"")&amp;IF(AC70=$AP$42,$AH$42,""),"")</f>
        <v/>
      </c>
      <c r="AD74" s="250" t="str">
        <f>IF(AD$67,IF(AD70=$AP$48,$AH$48,"")&amp;IF(AD70=$AP$49,$AH$49,"")&amp;IF(AD70=$AP$50,$AH$50,"")&amp;IF(AD70=$AP$51,$AH$51,""),"")</f>
        <v/>
      </c>
      <c r="AE74" s="250" t="str">
        <f>IF(AE$67=6,IF(AE70=$AP$57,$AH$57,"")&amp;IF(AE70=$AP$58,$AH$58,"")&amp;IF(AE70=$AP$59,$AH$59,"")&amp;IF(AE70=$AP$60,$AH$60,""),"")</f>
        <v/>
      </c>
      <c r="AF74" s="250" t="str">
        <f>IF(AF$67=6,IF(AF70=$AP$66,$AH$66,"")&amp;IF(AF70=$AP$67,$AH$67,"")&amp;IF(AF70=$AP$68,$AH$68,"")&amp;IF(AF70=$AP$69,$AH$69,""),"")</f>
        <v/>
      </c>
      <c r="AG74" s="250" t="str">
        <f ca="1">IF(AG$67=6,IF(AG70=$AP$75,$AH$75,"")&amp;IF(AG70=$AP$76,$AH$76,"")&amp;IF(AG70=$AP$77,$AH$77,"")&amp;IF(AG70=$AP$78,$AH$78,""),"")</f>
        <v/>
      </c>
      <c r="AH74" s="1147"/>
      <c r="AI74" s="1179"/>
      <c r="AJ74" s="554" t="s">
        <v>17</v>
      </c>
      <c r="AK74" s="1178"/>
      <c r="AL74" s="1178"/>
      <c r="AM74" s="1178"/>
      <c r="AN74" s="1178"/>
      <c r="AO74" s="1178"/>
      <c r="AP74" s="1178"/>
      <c r="AQ74" s="1178"/>
      <c r="AR74" s="1178"/>
      <c r="AS74" s="1145"/>
      <c r="AT74" s="1145"/>
      <c r="AU74" s="1145"/>
      <c r="AV74" s="1145"/>
      <c r="AW74" s="1145"/>
      <c r="AX74" s="1145"/>
      <c r="AY74" s="1145"/>
      <c r="AZ74" s="1145"/>
      <c r="BA74" s="1145"/>
    </row>
    <row r="75" spans="1:53" ht="15" customHeight="1" x14ac:dyDescent="0.3">
      <c r="C75" s="209"/>
      <c r="D75" s="209"/>
      <c r="E75" s="209"/>
      <c r="F75" s="209"/>
      <c r="G75" s="209"/>
      <c r="H75" s="209"/>
      <c r="I75" s="209"/>
      <c r="J75" s="209"/>
      <c r="K75" s="209"/>
      <c r="L75" s="209"/>
      <c r="M75" s="209"/>
      <c r="N75" s="209"/>
      <c r="O75" s="209"/>
      <c r="P75" s="209"/>
      <c r="Q75" s="209"/>
      <c r="R75" s="209"/>
      <c r="S75" s="209"/>
      <c r="Y75" s="252" t="s">
        <v>1058</v>
      </c>
      <c r="Z75" s="250" t="str">
        <f>IF(Z$67=6,IF(Z71=$AP$12,$AH$12,"")&amp;IF(Z71=$AP$13,$AH$13,"")&amp;IF(Z71=$AP$14,$AH$14,"")&amp;IF(Z71=$AP$15,$AH$15,""),"")</f>
        <v/>
      </c>
      <c r="AA75" s="250" t="str">
        <f>IF(AA$67=6,IF(AA71=$AP$21,$AH$21,"")&amp;IF(AA71=$AP$22,$AH$22,"")&amp;IF(AA71=$AP$23,$AH$23,"")&amp;IF(AA71=$AP$24,$AH$24,""),"")</f>
        <v/>
      </c>
      <c r="AB75" s="250" t="str">
        <f>IF(AB$67=6,IF(AB71=$AP$30,$AH$30,"")&amp;IF(AB71=$AP$31,$AH$31,"")&amp;IF(AB71=$AP$32,$AH$32,"")&amp;IF(AB71=$AP$33,$AH$33,""),"")</f>
        <v/>
      </c>
      <c r="AC75" s="250" t="str">
        <f>IF(AC$67=6,IF(AC71=$AP$39,$AH$39,"")&amp;IF(AC71=$AP$40,$AH$40,"")&amp;IF(AC71=$AP$41,$AH$41,"")&amp;IF(AC71=$AP$42,$AH$42,""),"")</f>
        <v/>
      </c>
      <c r="AD75" s="250" t="str">
        <f>IF(AD$67,IF(AD71=$AP$48,$AH$48,"")&amp;IF(AD71=$AP$49,$AH$49,"")&amp;IF(AD71=$AP$50,$AH$50,"")&amp;IF(AD71=$AP$51,$AH$51,""),"")</f>
        <v/>
      </c>
      <c r="AE75" s="250" t="str">
        <f>IF(AE$67=6,IF(AE71=$AP$57,$AH$57,"")&amp;IF(AE71=$AP$58,$AH$58,"")&amp;IF(AE71=$AP$59,$AH$59,"")&amp;IF(AE71=$AP$60,$AH$60,""),"")</f>
        <v/>
      </c>
      <c r="AF75" s="250" t="str">
        <f>IF(AF$67=6,IF(AF71=$AP$66,$AH$66,"")&amp;IF(AF71=$AP$67,$AH$67,"")&amp;IF(AF71=$AP$68,$AH$68,"")&amp;IF(AF71=$AP$69,$AH$69,""),"")</f>
        <v/>
      </c>
      <c r="AG75" s="250" t="str">
        <f ca="1">IF(AG$67=6,IF(AG71=$AP$75,$AH$75,"")&amp;IF(AG71=$AP$76,$AH$76,"")&amp;IF(AG71=$AP$77,$AH$77,"")&amp;IF(AG71=$AP$78,$AH$78,""),"")</f>
        <v/>
      </c>
      <c r="AH75" s="216" t="str">
        <f ca="1">RIGHT(AJ73,1)&amp;1</f>
        <v>H1</v>
      </c>
      <c r="AI75" s="332">
        <f ca="1">$AU$90</f>
        <v>1</v>
      </c>
      <c r="AJ75" s="556" t="str">
        <f ca="1">VLOOKUP(AH75,Voorblad!$X$67:$Z$98,2,FALSE)</f>
        <v>Land H1</v>
      </c>
      <c r="AK75" s="557" t="str">
        <f ca="1">VLOOKUP(AH75,Voorblad!$X$67:$Z$98,3,FALSE)</f>
        <v>XE</v>
      </c>
      <c r="AL75" s="267">
        <v>0</v>
      </c>
      <c r="AM75" s="558">
        <f>IF(ISNUMBER(T55),T55,0)</f>
        <v>0</v>
      </c>
      <c r="AN75" s="558">
        <f>IF(ISNUMBER(T57),T57,0)</f>
        <v>0</v>
      </c>
      <c r="AO75" s="558">
        <f>IF(ISNUMBER(V59),V59,0)</f>
        <v>0</v>
      </c>
      <c r="AP75" s="559">
        <f>IF(AD56&lt;&gt;"FOUT",IF(AM75&gt;AL76,3,IF(AM75=AL76,1,0)),0)+IF(AD58&lt;&gt;"FOUT",IF(AN75&gt;AL77,3,IF(AN75=AL77,1,0)),0)+IF(AD59&lt;&gt;"FOUT",IF(AO75&gt;AL78,3,IF(AO75=AL78,1,0)),0)</f>
        <v>0</v>
      </c>
      <c r="AQ75" s="560">
        <f>SUM(AL75:AO75)</f>
        <v>0</v>
      </c>
      <c r="AR75" s="561">
        <f>SUM(AL75:AL78)</f>
        <v>0</v>
      </c>
      <c r="AS75" s="267">
        <v>0</v>
      </c>
      <c r="AT75" s="562">
        <f>IF($AP75=$AP76,AM75,0)</f>
        <v>0</v>
      </c>
      <c r="AU75" s="562">
        <f>IF($AP75=$AP77,AN75,0)</f>
        <v>0</v>
      </c>
      <c r="AV75" s="563">
        <f>IF($AP75=$AP78,AO75,0)</f>
        <v>0</v>
      </c>
      <c r="AW75" s="559">
        <f>IF(AT75&gt;AS76,3,IF(AT75=AS76,1,0))+IF(AU75&gt;AS77,3,IF(AU75=AS77,1,0))+IF(AV75&gt;AS78,3,IF(AV75=AS78,1,0))</f>
        <v>3</v>
      </c>
      <c r="AX75" s="560">
        <f>SUM(AS75:AV75)</f>
        <v>0</v>
      </c>
      <c r="AY75" s="561">
        <f>SUM(AS75:AS78)</f>
        <v>0</v>
      </c>
      <c r="AZ75" s="564">
        <f ca="1">AP75*10000000000000+AW75*100000000000+(500+AX75-AY75)*100000000+AX75*10000000+(500+AQ75-AR75)*1000+AQ75*10+AI75</f>
        <v>350000500001</v>
      </c>
      <c r="BA75" s="565">
        <f ca="1">RANK(AZ75,AZ75:AZ78)</f>
        <v>4</v>
      </c>
    </row>
    <row r="76" spans="1:53" ht="15" customHeight="1" x14ac:dyDescent="0.3">
      <c r="C76" s="209"/>
      <c r="D76" s="209"/>
      <c r="E76" s="209"/>
      <c r="F76" s="209"/>
      <c r="G76" s="209"/>
      <c r="H76" s="209"/>
      <c r="I76" s="209"/>
      <c r="J76" s="209"/>
      <c r="K76" s="209"/>
      <c r="L76" s="209"/>
      <c r="M76" s="209"/>
      <c r="N76" s="209"/>
      <c r="O76" s="209"/>
      <c r="P76" s="209"/>
      <c r="Q76" s="209"/>
      <c r="R76" s="209"/>
      <c r="S76" s="209"/>
      <c r="Y76" s="252" t="s">
        <v>209</v>
      </c>
      <c r="Z76" s="594" t="str">
        <f>IF(LEN(Z72)&gt;=2,VLOOKUP(LEFT(Z72,2),Voorblad!$X$67:$Y$98,2),"")&amp;IF(LEN(Z72)&gt;=4," / "&amp;VLOOKUP(RIGHT(LEFT(Z72,4),2),Voorblad!$X$67:$Y$98,2),"")&amp;IF(LEN(Z72)&gt;=6," / "&amp;VLOOKUP(RIGHT(LEFT(Z72,6),2),Voorblad!$X$67:$Y$98,2),"")&amp;IF(LEN(Z72)&gt;=8," / "&amp;VLOOKUP(RIGHT(LEFT(Z72,8),2),Voorblad!$X$67:$Y$98,2),"")</f>
        <v/>
      </c>
      <c r="AA76" s="594" t="str">
        <f>IF(LEN(AA72)&gt;=2,VLOOKUP(LEFT(AA72,2),Voorblad!$X$67:$Y$98,2),"")&amp;IF(LEN(AA72)&gt;=4," / "&amp;VLOOKUP(RIGHT(LEFT(AA72,4),2),Voorblad!$X$67:$Y$98,2),"")&amp;IF(LEN(AA72)&gt;=6," / "&amp;VLOOKUP(RIGHT(LEFT(AA72,6),2),Voorblad!$X$67:$Y$98,2),"")&amp;IF(LEN(AA72)&gt;=8," / "&amp;VLOOKUP(RIGHT(LEFT(AA72,8),2),Voorblad!$X$67:$Y$98,2),"")</f>
        <v/>
      </c>
      <c r="AB76" s="594" t="str">
        <f>IF(LEN(AB72)&gt;=2,VLOOKUP(LEFT(AB72,2),Voorblad!$X$67:$Y$98,2),"")&amp;IF(LEN(AB72)&gt;=4," / "&amp;VLOOKUP(RIGHT(LEFT(AB72,4),2),Voorblad!$X$67:$Y$98,2),"")&amp;IF(LEN(AB72)&gt;=6," / "&amp;VLOOKUP(RIGHT(LEFT(AB72,6),2),Voorblad!$X$67:$Y$98,2),"")&amp;IF(LEN(AB72)&gt;=8," / "&amp;VLOOKUP(RIGHT(LEFT(AB72,8),2),Voorblad!$X$67:$Y$98,2),"")</f>
        <v/>
      </c>
      <c r="AC76" s="594" t="str">
        <f>IF(LEN(AC72)&gt;=2,VLOOKUP(LEFT(AC72,2),Voorblad!$X$67:$Y$98,2),"")&amp;IF(LEN(AC72)&gt;=4," / "&amp;VLOOKUP(RIGHT(LEFT(AC72,4),2),Voorblad!$X$67:$Y$98,2),"")&amp;IF(LEN(AC72)&gt;=6," / "&amp;VLOOKUP(RIGHT(LEFT(AC72,6),2),Voorblad!$X$67:$Y$98,2),"")&amp;IF(LEN(AC72)&gt;=8," / "&amp;VLOOKUP(RIGHT(LEFT(AC72,8),2),Voorblad!$X$67:$Y$98,2),"")</f>
        <v/>
      </c>
      <c r="AD76" s="594" t="str">
        <f>IF(LEN(AD72)&gt;=2,VLOOKUP(LEFT(AD72,2),Voorblad!$X$67:$Y$98,2),"")&amp;IF(LEN(AD72)&gt;=4," / "&amp;VLOOKUP(RIGHT(LEFT(AD72,4),2),Voorblad!$X$67:$Y$98,2),"")&amp;IF(LEN(AD72)&gt;=6," / "&amp;VLOOKUP(RIGHT(LEFT(AD72,6),2),Voorblad!$X$67:$Y$98,2),"")&amp;IF(LEN(AD72)&gt;=8," / "&amp;VLOOKUP(RIGHT(LEFT(AD72,8),2),Voorblad!$X$67:$Y$98,2),"")</f>
        <v/>
      </c>
      <c r="AE76" s="594" t="str">
        <f>IF(LEN(AE72)&gt;=2,VLOOKUP(LEFT(AE72,2),Voorblad!$X$67:$Y$98,2),"")&amp;IF(LEN(AE72)&gt;=4," / "&amp;VLOOKUP(RIGHT(LEFT(AE72,4),2),Voorblad!$X$67:$Y$98,2),"")&amp;IF(LEN(AE72)&gt;=6," / "&amp;VLOOKUP(RIGHT(LEFT(AE72,6),2),Voorblad!$X$67:$Y$98,2),"")&amp;IF(LEN(AE72)&gt;=8," / "&amp;VLOOKUP(RIGHT(LEFT(AE72,8),2),Voorblad!$X$67:$Y$98,2),"")</f>
        <v/>
      </c>
      <c r="AF76" s="594" t="str">
        <f>IF(LEN(AF72)&gt;=2,VLOOKUP(LEFT(AF72,2),Voorblad!$X$67:$Y$98,2),"")&amp;IF(LEN(AF72)&gt;=4," / "&amp;VLOOKUP(RIGHT(LEFT(AF72,4),2),Voorblad!$X$67:$Y$98,2),"")&amp;IF(LEN(AF72)&gt;=6," / "&amp;VLOOKUP(RIGHT(LEFT(AF72,6),2),Voorblad!$X$67:$Y$98,2),"")&amp;IF(LEN(AF72)&gt;=8," / "&amp;VLOOKUP(RIGHT(LEFT(AF72,8),2),Voorblad!$X$67:$Y$98,2),"")</f>
        <v/>
      </c>
      <c r="AG76" s="594" t="str">
        <f ca="1">IF(LEN(AG72)&gt;=2,VLOOKUP(LEFT(AG72,2),Voorblad!$X$67:$Y$98,2),"")&amp;IF(LEN(AG72)&gt;=4," / "&amp;VLOOKUP(RIGHT(LEFT(AG72,4),2),Voorblad!$X$67:$Y$98,2),"")&amp;IF(LEN(AG72)&gt;=6," / "&amp;VLOOKUP(RIGHT(LEFT(AG72,6),2),Voorblad!$X$67:$Y$98,2),"")&amp;IF(LEN(AG72)&gt;=8," / "&amp;VLOOKUP(RIGHT(LEFT(AG72,8),2),Voorblad!$X$67:$Y$98,2),"")</f>
        <v/>
      </c>
      <c r="AH76" s="216" t="str">
        <f ca="1">RIGHT(AJ73,1)&amp;2</f>
        <v>H2</v>
      </c>
      <c r="AI76" s="332">
        <f ca="1">$AV$90</f>
        <v>2</v>
      </c>
      <c r="AJ76" s="566" t="str">
        <f ca="1">VLOOKUP(AH76,Voorblad!$X$67:$Z$98,2,FALSE)</f>
        <v>Land H2</v>
      </c>
      <c r="AK76" s="567" t="str">
        <f ca="1">VLOOKUP(AH76,Voorblad!$X$67:$Z$98,3,FALSE)</f>
        <v>XF</v>
      </c>
      <c r="AL76" s="568">
        <f>IF(ISNUMBER(V55),V55,0)</f>
        <v>0</v>
      </c>
      <c r="AM76" s="266">
        <v>0</v>
      </c>
      <c r="AN76" s="570">
        <f>IF(ISNUMBER(T60),T60,0)</f>
        <v>0</v>
      </c>
      <c r="AO76" s="570">
        <f>IF(ISNUMBER(T58),T58,0)</f>
        <v>0</v>
      </c>
      <c r="AP76" s="571">
        <f>IF(AD56&lt;&gt;"FOUT",IF(AL76&gt;AM75,3,IF(AL76=AM75,1,0)),0)+IF(AD60&lt;&gt;"FOUT",IF(AN76&gt;AM77,3,IF(AN76=AM77,1,0)),0)+IF(AD57&lt;&gt;"FOUT",IF(AO76&gt;AM78,3,IF(AO76=AM78,1,0)),0)</f>
        <v>0</v>
      </c>
      <c r="AQ76" s="572">
        <f>SUM(AL76:AO76)</f>
        <v>0</v>
      </c>
      <c r="AR76" s="573">
        <f>SUM(AM75:AM78)</f>
        <v>0</v>
      </c>
      <c r="AS76" s="567">
        <f>IF($AP76=$AP75,AL76,0)</f>
        <v>0</v>
      </c>
      <c r="AT76" s="266">
        <v>0</v>
      </c>
      <c r="AU76" s="569">
        <f>IF($AP76=$AP77,AN76,0)</f>
        <v>0</v>
      </c>
      <c r="AV76" s="574">
        <f>IF($AP76=$AP78,AO76,0)</f>
        <v>0</v>
      </c>
      <c r="AW76" s="571">
        <f>IF(AS76&gt;AT75,3,IF(AS76=AT75,1,0))+IF(AU76&gt;AT77,3,IF(AU76=AT77,1,0))+IF(AV76&gt;AT78,3,IF(AV76=AT78,1,0))</f>
        <v>3</v>
      </c>
      <c r="AX76" s="572">
        <f>SUM(AS76:AV76)</f>
        <v>0</v>
      </c>
      <c r="AY76" s="573">
        <f>SUM(AT75:AT78)</f>
        <v>0</v>
      </c>
      <c r="AZ76" s="575">
        <f ca="1">AP76*10000000000000+AW76*100000000000+(500+AX76-AY76)*100000000+AX76*10000000+(500+AQ76-AR76)*1000+AQ76*10+AI76</f>
        <v>350000500002</v>
      </c>
      <c r="BA76" s="576">
        <f ca="1">RANK(AZ76,AZ75:AZ78)</f>
        <v>3</v>
      </c>
    </row>
    <row r="77" spans="1:53" ht="15" customHeight="1" x14ac:dyDescent="0.3">
      <c r="C77" s="209"/>
      <c r="D77" s="209"/>
      <c r="E77" s="209"/>
      <c r="F77" s="209"/>
      <c r="G77" s="209"/>
      <c r="H77" s="209"/>
      <c r="I77" s="209"/>
      <c r="J77" s="209"/>
      <c r="K77" s="209"/>
      <c r="L77" s="209"/>
      <c r="M77" s="209"/>
      <c r="N77" s="209"/>
      <c r="O77" s="209"/>
      <c r="P77" s="209"/>
      <c r="Q77" s="209"/>
      <c r="R77" s="209"/>
      <c r="S77" s="209"/>
      <c r="Y77" s="252" t="s">
        <v>210</v>
      </c>
      <c r="Z77" s="594" t="str">
        <f>IF(LEN(Z73)&gt;=2,VLOOKUP(LEFT(Z73,2),Voorblad!$X$67:$Y$98,2),"")&amp;IF(LEN(Z73)&gt;=4," / "&amp;VLOOKUP(RIGHT(LEFT(Z73,4),2),Voorblad!$X$67:$Y$98,2),"")&amp;IF(LEN(Z73)&gt;=6," / "&amp;VLOOKUP(RIGHT(LEFT(Z73,6),2),Voorblad!$X$67:$Y$98,2),"")&amp;IF(LEN(Z73)&gt;=8," / "&amp;VLOOKUP(RIGHT(LEFT(Z73,8),2),Voorblad!$X$67:$Y$98,2),"")</f>
        <v/>
      </c>
      <c r="AA77" s="594" t="str">
        <f>IF(LEN(AA73)&gt;=2,VLOOKUP(LEFT(AA73,2),Voorblad!$X$67:$Y$98,2),"")&amp;IF(LEN(AA73)&gt;=4," / "&amp;VLOOKUP(RIGHT(LEFT(AA73,4),2),Voorblad!$X$67:$Y$98,2),"")&amp;IF(LEN(AA73)&gt;=6," / "&amp;VLOOKUP(RIGHT(LEFT(AA73,6),2),Voorblad!$X$67:$Y$98,2),"")&amp;IF(LEN(AA73)&gt;=8," / "&amp;VLOOKUP(RIGHT(LEFT(AA73,8),2),Voorblad!$X$67:$Y$98,2),"")</f>
        <v/>
      </c>
      <c r="AB77" s="594" t="str">
        <f>IF(LEN(AB73)&gt;=2,VLOOKUP(LEFT(AB73,2),Voorblad!$X$67:$Y$98,2),"")&amp;IF(LEN(AB73)&gt;=4," / "&amp;VLOOKUP(RIGHT(LEFT(AB73,4),2),Voorblad!$X$67:$Y$98,2),"")&amp;IF(LEN(AB73)&gt;=6," / "&amp;VLOOKUP(RIGHT(LEFT(AB73,6),2),Voorblad!$X$67:$Y$98,2),"")&amp;IF(LEN(AB73)&gt;=8," / "&amp;VLOOKUP(RIGHT(LEFT(AB73,8),2),Voorblad!$X$67:$Y$98,2),"")</f>
        <v/>
      </c>
      <c r="AC77" s="594" t="str">
        <f>IF(LEN(AC73)&gt;=2,VLOOKUP(LEFT(AC73,2),Voorblad!$X$67:$Y$98,2),"")&amp;IF(LEN(AC73)&gt;=4," / "&amp;VLOOKUP(RIGHT(LEFT(AC73,4),2),Voorblad!$X$67:$Y$98,2),"")&amp;IF(LEN(AC73)&gt;=6," / "&amp;VLOOKUP(RIGHT(LEFT(AC73,6),2),Voorblad!$X$67:$Y$98,2),"")&amp;IF(LEN(AC73)&gt;=8," / "&amp;VLOOKUP(RIGHT(LEFT(AC73,8),2),Voorblad!$X$67:$Y$98,2),"")</f>
        <v/>
      </c>
      <c r="AD77" s="594" t="str">
        <f>IF(LEN(AD73)&gt;=2,VLOOKUP(LEFT(AD73,2),Voorblad!$X$67:$Y$98,2),"")&amp;IF(LEN(AD73)&gt;=4," / "&amp;VLOOKUP(RIGHT(LEFT(AD73,4),2),Voorblad!$X$67:$Y$98,2),"")&amp;IF(LEN(AD73)&gt;=6," / "&amp;VLOOKUP(RIGHT(LEFT(AD73,6),2),Voorblad!$X$67:$Y$98,2),"")&amp;IF(LEN(AD73)&gt;=8," / "&amp;VLOOKUP(RIGHT(LEFT(AD73,8),2),Voorblad!$X$67:$Y$98,2),"")</f>
        <v/>
      </c>
      <c r="AE77" s="594" t="str">
        <f>IF(LEN(AE73)&gt;=2,VLOOKUP(LEFT(AE73,2),Voorblad!$X$67:$Y$98,2),"")&amp;IF(LEN(AE73)&gt;=4," / "&amp;VLOOKUP(RIGHT(LEFT(AE73,4),2),Voorblad!$X$67:$Y$98,2),"")&amp;IF(LEN(AE73)&gt;=6," / "&amp;VLOOKUP(RIGHT(LEFT(AE73,6),2),Voorblad!$X$67:$Y$98,2),"")&amp;IF(LEN(AE73)&gt;=8," / "&amp;VLOOKUP(RIGHT(LEFT(AE73,8),2),Voorblad!$X$67:$Y$98,2),"")</f>
        <v/>
      </c>
      <c r="AF77" s="594" t="str">
        <f>IF(LEN(AF73)&gt;=2,VLOOKUP(LEFT(AF73,2),Voorblad!$X$67:$Y$98,2),"")&amp;IF(LEN(AF73)&gt;=4," / "&amp;VLOOKUP(RIGHT(LEFT(AF73,4),2),Voorblad!$X$67:$Y$98,2),"")&amp;IF(LEN(AF73)&gt;=6," / "&amp;VLOOKUP(RIGHT(LEFT(AF73,6),2),Voorblad!$X$67:$Y$98,2),"")&amp;IF(LEN(AF73)&gt;=8," / "&amp;VLOOKUP(RIGHT(LEFT(AF73,8),2),Voorblad!$X$67:$Y$98,2),"")</f>
        <v/>
      </c>
      <c r="AG77" s="594" t="str">
        <f ca="1">IF(LEN(AG73)&gt;=2,VLOOKUP(LEFT(AG73,2),Voorblad!$X$67:$Y$98,2),"")&amp;IF(LEN(AG73)&gt;=4," / "&amp;VLOOKUP(RIGHT(LEFT(AG73,4),2),Voorblad!$X$67:$Y$98,2),"")&amp;IF(LEN(AG73)&gt;=6," / "&amp;VLOOKUP(RIGHT(LEFT(AG73,6),2),Voorblad!$X$67:$Y$98,2),"")&amp;IF(LEN(AG73)&gt;=8," / "&amp;VLOOKUP(RIGHT(LEFT(AG73,8),2),Voorblad!$X$67:$Y$98,2),"")</f>
        <v/>
      </c>
      <c r="AH77" s="216" t="str">
        <f ca="1">RIGHT(AJ73,1)&amp;3</f>
        <v>H3</v>
      </c>
      <c r="AI77" s="332">
        <f ca="1">$AW$90</f>
        <v>3</v>
      </c>
      <c r="AJ77" s="566" t="str">
        <f ca="1">VLOOKUP(AH77,Voorblad!$X$67:$Z$98,2,FALSE)</f>
        <v>Land H3</v>
      </c>
      <c r="AK77" s="567" t="str">
        <f ca="1">VLOOKUP(AH77,Voorblad!$X$67:$Z$98,3,FALSE)</f>
        <v>XG</v>
      </c>
      <c r="AL77" s="568">
        <f>IF(ISNUMBER(V57),V57,0)</f>
        <v>0</v>
      </c>
      <c r="AM77" s="570">
        <f>IF(ISNUMBER(V60),V60,0)</f>
        <v>0</v>
      </c>
      <c r="AN77" s="266">
        <v>0</v>
      </c>
      <c r="AO77" s="570">
        <f>IF(ISNUMBER(T56),T56,0)</f>
        <v>0</v>
      </c>
      <c r="AP77" s="571">
        <f>IF(AD58&lt;&gt;"FOUT",IF(AL77&gt;AN75,3,IF(AL77=AN75,1,0)),0)+IF(AD60&lt;&gt;"FOUT",IF(AM77&gt;AN76,3,IF(AM77=AN76,1,0)),0)+IF(AD55&lt;&gt;"FOUT",IF(AO77&gt;AN78,3,IF(AO77=AN78,1,0)),0)</f>
        <v>0</v>
      </c>
      <c r="AQ77" s="572">
        <f>SUM(AL77:AO77)</f>
        <v>0</v>
      </c>
      <c r="AR77" s="573">
        <f>SUM(AN75:AN78)</f>
        <v>0</v>
      </c>
      <c r="AS77" s="567">
        <f>IF($AP77=$AP75,AL77,0)</f>
        <v>0</v>
      </c>
      <c r="AT77" s="569">
        <f>IF($AP77=$AP76,AM77,0)</f>
        <v>0</v>
      </c>
      <c r="AU77" s="266">
        <v>0</v>
      </c>
      <c r="AV77" s="574">
        <f>IF($AP77=$AP78,AO77,0)</f>
        <v>0</v>
      </c>
      <c r="AW77" s="571">
        <f>IF(AS77&gt;AU75,3,IF(AS77=AU75,1,0))+IF(AT77&gt;AU76,3,IF(AT77=AU76,1,0))+IF(AV77&gt;AU78,3,IF(AV77=AU78,1,0))</f>
        <v>3</v>
      </c>
      <c r="AX77" s="572">
        <f>SUM(AS77:AV77)</f>
        <v>0</v>
      </c>
      <c r="AY77" s="573">
        <f>SUM(AU75:AU78)</f>
        <v>0</v>
      </c>
      <c r="AZ77" s="575">
        <f ca="1">AP77*10000000000000+AW77*100000000000+(500+AX77-AY77)*100000000+AX77*10000000+(500+AQ77-AR77)*1000+AQ77*10+AI77</f>
        <v>350000500003</v>
      </c>
      <c r="BA77" s="576">
        <f ca="1">RANK(AZ77,AZ75:AZ78)</f>
        <v>2</v>
      </c>
    </row>
    <row r="78" spans="1:53" ht="15" customHeight="1" x14ac:dyDescent="0.3">
      <c r="C78" s="209"/>
      <c r="D78" s="209"/>
      <c r="E78" s="209"/>
      <c r="F78" s="209"/>
      <c r="G78" s="209"/>
      <c r="H78" s="209"/>
      <c r="I78" s="209"/>
      <c r="J78" s="209"/>
      <c r="K78" s="209"/>
      <c r="L78" s="209"/>
      <c r="M78" s="209"/>
      <c r="N78" s="209"/>
      <c r="O78" s="209"/>
      <c r="P78" s="209"/>
      <c r="Q78" s="209"/>
      <c r="R78" s="209"/>
      <c r="S78" s="209"/>
      <c r="Y78" s="252" t="s">
        <v>211</v>
      </c>
      <c r="Z78" s="594" t="str">
        <f>IF(LEN(Z74)&gt;=2,VLOOKUP(LEFT(Z74,2),Voorblad!$X$67:$Y$98,2),"")&amp;IF(LEN(Z74)&gt;=4," / "&amp;VLOOKUP(RIGHT(LEFT(Z74,4),2),Voorblad!$X$67:$Y$98,2),"")&amp;IF(LEN(Z74)&gt;=6," / "&amp;VLOOKUP(RIGHT(LEFT(Z74,6),2),Voorblad!$X$67:$Y$98,2),"")&amp;IF(LEN(Z74)&gt;=8," / "&amp;VLOOKUP(RIGHT(LEFT(Z74,8),2),Voorblad!$X$67:$Y$98,2),"")</f>
        <v/>
      </c>
      <c r="AA78" s="594" t="str">
        <f>IF(LEN(AA74)&gt;=2,VLOOKUP(LEFT(AA74,2),Voorblad!$X$67:$Y$98,2),"")&amp;IF(LEN(AA74)&gt;=4," / "&amp;VLOOKUP(RIGHT(LEFT(AA74,4),2),Voorblad!$X$67:$Y$98,2),"")&amp;IF(LEN(AA74)&gt;=6," / "&amp;VLOOKUP(RIGHT(LEFT(AA74,6),2),Voorblad!$X$67:$Y$98,2),"")&amp;IF(LEN(AA74)&gt;=8," / "&amp;VLOOKUP(RIGHT(LEFT(AA74,8),2),Voorblad!$X$67:$Y$98,2),"")</f>
        <v/>
      </c>
      <c r="AB78" s="594" t="str">
        <f>IF(LEN(AB74)&gt;=2,VLOOKUP(LEFT(AB74,2),Voorblad!$X$67:$Y$98,2),"")&amp;IF(LEN(AB74)&gt;=4," / "&amp;VLOOKUP(RIGHT(LEFT(AB74,4),2),Voorblad!$X$67:$Y$98,2),"")&amp;IF(LEN(AB74)&gt;=6," / "&amp;VLOOKUP(RIGHT(LEFT(AB74,6),2),Voorblad!$X$67:$Y$98,2),"")&amp;IF(LEN(AB74)&gt;=8," / "&amp;VLOOKUP(RIGHT(LEFT(AB74,8),2),Voorblad!$X$67:$Y$98,2),"")</f>
        <v/>
      </c>
      <c r="AC78" s="594" t="str">
        <f>IF(LEN(AC74)&gt;=2,VLOOKUP(LEFT(AC74,2),Voorblad!$X$67:$Y$98,2),"")&amp;IF(LEN(AC74)&gt;=4," / "&amp;VLOOKUP(RIGHT(LEFT(AC74,4),2),Voorblad!$X$67:$Y$98,2),"")&amp;IF(LEN(AC74)&gt;=6," / "&amp;VLOOKUP(RIGHT(LEFT(AC74,6),2),Voorblad!$X$67:$Y$98,2),"")&amp;IF(LEN(AC74)&gt;=8," / "&amp;VLOOKUP(RIGHT(LEFT(AC74,8),2),Voorblad!$X$67:$Y$98,2),"")</f>
        <v/>
      </c>
      <c r="AD78" s="594" t="str">
        <f>IF(LEN(AD74)&gt;=2,VLOOKUP(LEFT(AD74,2),Voorblad!$X$67:$Y$98,2),"")&amp;IF(LEN(AD74)&gt;=4," / "&amp;VLOOKUP(RIGHT(LEFT(AD74,4),2),Voorblad!$X$67:$Y$98,2),"")&amp;IF(LEN(AD74)&gt;=6," / "&amp;VLOOKUP(RIGHT(LEFT(AD74,6),2),Voorblad!$X$67:$Y$98,2),"")&amp;IF(LEN(AD74)&gt;=8," / "&amp;VLOOKUP(RIGHT(LEFT(AD74,8),2),Voorblad!$X$67:$Y$98,2),"")</f>
        <v/>
      </c>
      <c r="AE78" s="594" t="str">
        <f>IF(LEN(AE74)&gt;=2,VLOOKUP(LEFT(AE74,2),Voorblad!$X$67:$Y$98,2),"")&amp;IF(LEN(AE74)&gt;=4," / "&amp;VLOOKUP(RIGHT(LEFT(AE74,4),2),Voorblad!$X$67:$Y$98,2),"")&amp;IF(LEN(AE74)&gt;=6," / "&amp;VLOOKUP(RIGHT(LEFT(AE74,6),2),Voorblad!$X$67:$Y$98,2),"")&amp;IF(LEN(AE74)&gt;=8," / "&amp;VLOOKUP(RIGHT(LEFT(AE74,8),2),Voorblad!$X$67:$Y$98,2),"")</f>
        <v/>
      </c>
      <c r="AF78" s="594" t="str">
        <f>IF(LEN(AF74)&gt;=2,VLOOKUP(LEFT(AF74,2),Voorblad!$X$67:$Y$98,2),"")&amp;IF(LEN(AF74)&gt;=4," / "&amp;VLOOKUP(RIGHT(LEFT(AF74,4),2),Voorblad!$X$67:$Y$98,2),"")&amp;IF(LEN(AF74)&gt;=6," / "&amp;VLOOKUP(RIGHT(LEFT(AF74,6),2),Voorblad!$X$67:$Y$98,2),"")&amp;IF(LEN(AF74)&gt;=8," / "&amp;VLOOKUP(RIGHT(LEFT(AF74,8),2),Voorblad!$X$67:$Y$98,2),"")</f>
        <v/>
      </c>
      <c r="AG78" s="594" t="str">
        <f ca="1">IF(LEN(AG74)&gt;=2,VLOOKUP(LEFT(AG74,2),Voorblad!$X$67:$Y$98,2),"")&amp;IF(LEN(AG74)&gt;=4," / "&amp;VLOOKUP(RIGHT(LEFT(AG74,4),2),Voorblad!$X$67:$Y$98,2),"")&amp;IF(LEN(AG74)&gt;=6," / "&amp;VLOOKUP(RIGHT(LEFT(AG74,6),2),Voorblad!$X$67:$Y$98,2),"")&amp;IF(LEN(AG74)&gt;=8," / "&amp;VLOOKUP(RIGHT(LEFT(AG74,8),2),Voorblad!$X$67:$Y$98,2),"")</f>
        <v/>
      </c>
      <c r="AH78" s="216" t="str">
        <f ca="1">RIGHT(AJ73,1)&amp;4</f>
        <v>H4</v>
      </c>
      <c r="AI78" s="332">
        <f ca="1">$AX$90</f>
        <v>4</v>
      </c>
      <c r="AJ78" s="577" t="str">
        <f ca="1">VLOOKUP(AH78,Voorblad!$X$67:$Z$98,2,FALSE)</f>
        <v>Land H4</v>
      </c>
      <c r="AK78" s="578" t="str">
        <f ca="1">VLOOKUP(AH78,Voorblad!$X$67:$Z$98,3,FALSE)</f>
        <v>XH</v>
      </c>
      <c r="AL78" s="579">
        <f>IF(ISNUMBER(T59),T59,0)</f>
        <v>0</v>
      </c>
      <c r="AM78" s="580">
        <f>IF(ISNUMBER(V58),V58,0)</f>
        <v>0</v>
      </c>
      <c r="AN78" s="580">
        <f>IF(ISNUMBER(V56),V56,0)</f>
        <v>0</v>
      </c>
      <c r="AO78" s="275">
        <v>0</v>
      </c>
      <c r="AP78" s="530">
        <f>IF(AD59&lt;&gt;"FOUT",IF(AM78&gt;AO76,3,IF(AM78=AO76,1,0)),0)+IF(AD57&lt;&gt;"FOUT",IF(AN78&gt;AO77,3,IF(AN78=AO77,1,0)),0)+IF(AD55&lt;&gt;"FOUT",IF(AL78&gt;AO75,3,IF(AL78=AO75,1,0)),0)</f>
        <v>0</v>
      </c>
      <c r="AQ78" s="582">
        <f>SUM(AL78:AO78)</f>
        <v>0</v>
      </c>
      <c r="AR78" s="583">
        <f>SUM(AO75:AO78)</f>
        <v>0</v>
      </c>
      <c r="AS78" s="578">
        <f>IF($AP78=$AP75,AL78,0)</f>
        <v>0</v>
      </c>
      <c r="AT78" s="581">
        <f>IF($AP78=$AP76,AM78,0)</f>
        <v>0</v>
      </c>
      <c r="AU78" s="581">
        <f>IF($AP78=$AP77,AN78,0)</f>
        <v>0</v>
      </c>
      <c r="AV78" s="265">
        <v>0</v>
      </c>
      <c r="AW78" s="530">
        <f>IF(AS78&gt;AV75,3,IF(AS78=AV75,1,0))+IF(AT78&gt;AV76,3,IF(AT78=AV76,1,0))+IF(AU78&gt;AV77,3,IF(AU78=AV77,1,0))</f>
        <v>3</v>
      </c>
      <c r="AX78" s="582">
        <f>SUM(AS78:AV78)</f>
        <v>0</v>
      </c>
      <c r="AY78" s="583">
        <f>SUM(AV75:AV78)</f>
        <v>0</v>
      </c>
      <c r="AZ78" s="584">
        <f ca="1">AP78*10000000000000+AW78*100000000000+(500+AX78-AY78)*100000000+AX78*10000000+(500+AQ78-AR78)*1000+AQ78*10+AI78</f>
        <v>350000500004</v>
      </c>
      <c r="BA78" s="585">
        <f ca="1">RANK(AZ78,AZ75:AZ78)</f>
        <v>1</v>
      </c>
    </row>
    <row r="79" spans="1:53" ht="15" customHeight="1" x14ac:dyDescent="0.3">
      <c r="C79" s="209"/>
      <c r="D79" s="209"/>
      <c r="E79" s="209"/>
      <c r="F79" s="209"/>
      <c r="G79" s="209"/>
      <c r="H79" s="209"/>
      <c r="I79" s="209"/>
      <c r="J79" s="209"/>
      <c r="K79" s="209"/>
      <c r="L79" s="209"/>
      <c r="M79" s="209"/>
      <c r="N79" s="209"/>
      <c r="O79" s="209"/>
      <c r="P79" s="209"/>
      <c r="Q79" s="209"/>
      <c r="R79" s="209"/>
      <c r="S79" s="209"/>
      <c r="Y79" s="252" t="s">
        <v>212</v>
      </c>
      <c r="Z79" s="594" t="str">
        <f>IF(LEN(Z75)&gt;=2,VLOOKUP(LEFT(Z75,2),Voorblad!$X$67:$Y$98,2),"")&amp;IF(LEN(Z75)&gt;=4," / "&amp;VLOOKUP(RIGHT(LEFT(Z75,4),2),Voorblad!$X$67:$Y$98,2),"")&amp;IF(LEN(Z75)&gt;=6," / "&amp;VLOOKUP(RIGHT(LEFT(Z75,6),2),Voorblad!$X$67:$Y$98,2),"")&amp;IF(LEN(Z75)&gt;=8," / "&amp;VLOOKUP(RIGHT(LEFT(Z75,8),2),Voorblad!$X$67:$Y$98,2),"")</f>
        <v/>
      </c>
      <c r="AA79" s="594" t="str">
        <f>IF(LEN(AA75)&gt;=2,VLOOKUP(LEFT(AA75,2),Voorblad!$X$67:$Y$98,2),"")&amp;IF(LEN(AA75)&gt;=4," / "&amp;VLOOKUP(RIGHT(LEFT(AA75,4),2),Voorblad!$X$67:$Y$98,2),"")&amp;IF(LEN(AA75)&gt;=6," / "&amp;VLOOKUP(RIGHT(LEFT(AA75,6),2),Voorblad!$X$67:$Y$98,2),"")&amp;IF(LEN(AA75)&gt;=8," / "&amp;VLOOKUP(RIGHT(LEFT(AA75,8),2),Voorblad!$X$67:$Y$98,2),"")</f>
        <v/>
      </c>
      <c r="AB79" s="594" t="str">
        <f>IF(LEN(AB75)&gt;=2,VLOOKUP(LEFT(AB75,2),Voorblad!$X$67:$Y$98,2),"")&amp;IF(LEN(AB75)&gt;=4," / "&amp;VLOOKUP(RIGHT(LEFT(AB75,4),2),Voorblad!$X$67:$Y$98,2),"")&amp;IF(LEN(AB75)&gt;=6," / "&amp;VLOOKUP(RIGHT(LEFT(AB75,6),2),Voorblad!$X$67:$Y$98,2),"")&amp;IF(LEN(AB75)&gt;=8," / "&amp;VLOOKUP(RIGHT(LEFT(AB75,8),2),Voorblad!$X$67:$Y$98,2),"")</f>
        <v/>
      </c>
      <c r="AC79" s="594" t="str">
        <f>IF(LEN(AC75)&gt;=2,VLOOKUP(LEFT(AC75,2),Voorblad!$X$67:$Y$98,2),"")&amp;IF(LEN(AC75)&gt;=4," / "&amp;VLOOKUP(RIGHT(LEFT(AC75,4),2),Voorblad!$X$67:$Y$98,2),"")&amp;IF(LEN(AC75)&gt;=6," / "&amp;VLOOKUP(RIGHT(LEFT(AC75,6),2),Voorblad!$X$67:$Y$98,2),"")&amp;IF(LEN(AC75)&gt;=8," / "&amp;VLOOKUP(RIGHT(LEFT(AC75,8),2),Voorblad!$X$67:$Y$98,2),"")</f>
        <v/>
      </c>
      <c r="AD79" s="594" t="str">
        <f>IF(LEN(AD75)&gt;=2,VLOOKUP(LEFT(AD75,2),Voorblad!$X$67:$Y$98,2),"")&amp;IF(LEN(AD75)&gt;=4," / "&amp;VLOOKUP(RIGHT(LEFT(AD75,4),2),Voorblad!$X$67:$Y$98,2),"")&amp;IF(LEN(AD75)&gt;=6," / "&amp;VLOOKUP(RIGHT(LEFT(AD75,6),2),Voorblad!$X$67:$Y$98,2),"")&amp;IF(LEN(AD75)&gt;=8," / "&amp;VLOOKUP(RIGHT(LEFT(AD75,8),2),Voorblad!$X$67:$Y$98,2),"")</f>
        <v/>
      </c>
      <c r="AE79" s="594" t="str">
        <f>IF(LEN(AE75)&gt;=2,VLOOKUP(LEFT(AE75,2),Voorblad!$X$67:$Y$98,2),"")&amp;IF(LEN(AE75)&gt;=4," / "&amp;VLOOKUP(RIGHT(LEFT(AE75,4),2),Voorblad!$X$67:$Y$98,2),"")&amp;IF(LEN(AE75)&gt;=6," / "&amp;VLOOKUP(RIGHT(LEFT(AE75,6),2),Voorblad!$X$67:$Y$98,2),"")&amp;IF(LEN(AE75)&gt;=8," / "&amp;VLOOKUP(RIGHT(LEFT(AE75,8),2),Voorblad!$X$67:$Y$98,2),"")</f>
        <v/>
      </c>
      <c r="AF79" s="594" t="str">
        <f>IF(LEN(AF75)&gt;=2,VLOOKUP(LEFT(AF75,2),Voorblad!$X$67:$Y$98,2),"")&amp;IF(LEN(AF75)&gt;=4," / "&amp;VLOOKUP(RIGHT(LEFT(AF75,4),2),Voorblad!$X$67:$Y$98,2),"")&amp;IF(LEN(AF75)&gt;=6," / "&amp;VLOOKUP(RIGHT(LEFT(AF75,6),2),Voorblad!$X$67:$Y$98,2),"")&amp;IF(LEN(AF75)&gt;=8," / "&amp;VLOOKUP(RIGHT(LEFT(AF75,8),2),Voorblad!$X$67:$Y$98,2),"")</f>
        <v/>
      </c>
      <c r="AG79" s="594" t="str">
        <f ca="1">IF(LEN(AG75)&gt;=2,VLOOKUP(LEFT(AG75,2),Voorblad!$X$67:$Y$98,2),"")&amp;IF(LEN(AG75)&gt;=4," / "&amp;VLOOKUP(RIGHT(LEFT(AG75,4),2),Voorblad!$X$67:$Y$98,2),"")&amp;IF(LEN(AG75)&gt;=6," / "&amp;VLOOKUP(RIGHT(LEFT(AG75,6),2),Voorblad!$X$67:$Y$98,2),"")&amp;IF(LEN(AG75)&gt;=8," / "&amp;VLOOKUP(RIGHT(LEFT(AG75,8),2),Voorblad!$X$67:$Y$98,2),"")</f>
        <v/>
      </c>
      <c r="AH79" s="238"/>
      <c r="AI79" s="238"/>
      <c r="AJ79" s="554" t="s">
        <v>232</v>
      </c>
      <c r="AK79" s="554" t="str">
        <f ca="1">IF(COUNTIF(AB52:AC60,"GOED")=12,"JA","NEE")</f>
        <v>NEE</v>
      </c>
      <c r="AL79" s="588"/>
      <c r="AM79" s="588"/>
      <c r="AN79" s="588"/>
      <c r="AO79" s="588"/>
      <c r="AP79" s="91"/>
      <c r="AQ79" s="91"/>
      <c r="AR79" s="91"/>
      <c r="AS79" s="587"/>
      <c r="AT79" s="587"/>
      <c r="AU79" s="587"/>
      <c r="AV79" s="587"/>
      <c r="AW79" s="587"/>
      <c r="AX79" s="590"/>
      <c r="AY79" s="587"/>
      <c r="AZ79" s="587"/>
      <c r="BA79" s="587"/>
    </row>
    <row r="80" spans="1:53" ht="15" customHeight="1" x14ac:dyDescent="0.3">
      <c r="C80" s="209"/>
      <c r="D80" s="209"/>
      <c r="E80" s="209"/>
      <c r="F80" s="209"/>
      <c r="G80" s="209"/>
      <c r="H80" s="209"/>
      <c r="I80" s="209"/>
      <c r="J80" s="209"/>
      <c r="K80" s="209"/>
      <c r="L80" s="209"/>
      <c r="M80" s="209"/>
      <c r="N80" s="209"/>
      <c r="O80" s="209"/>
      <c r="P80" s="209"/>
      <c r="Q80" s="209"/>
      <c r="R80" s="209"/>
      <c r="S80" s="209"/>
      <c r="Y80" s="249"/>
      <c r="Z80" s="249"/>
      <c r="AA80" s="249"/>
      <c r="AB80" s="249"/>
      <c r="AC80" s="249"/>
      <c r="AD80" s="249"/>
      <c r="AE80" s="250"/>
      <c r="AF80" s="250"/>
      <c r="AG80" s="250"/>
      <c r="AH80" s="238"/>
      <c r="AI80" s="238"/>
      <c r="AJ80" s="587"/>
      <c r="AK80" s="591"/>
      <c r="AL80" s="588"/>
      <c r="AM80" s="588"/>
      <c r="AN80" s="588"/>
      <c r="AO80" s="588"/>
      <c r="AP80" s="589"/>
      <c r="AQ80" s="589"/>
      <c r="AR80" s="589"/>
      <c r="AS80" s="590"/>
      <c r="AT80" s="590"/>
      <c r="AU80" s="590"/>
      <c r="AV80" s="590"/>
      <c r="AW80" s="590"/>
      <c r="AX80" s="590"/>
      <c r="AY80" s="587"/>
      <c r="AZ80" s="587"/>
      <c r="BA80" s="554"/>
    </row>
    <row r="81" spans="3:53" ht="15" customHeight="1" x14ac:dyDescent="0.3">
      <c r="C81" s="209"/>
      <c r="D81" s="209"/>
      <c r="E81" s="209"/>
      <c r="F81" s="209"/>
      <c r="G81" s="209"/>
      <c r="H81" s="209"/>
      <c r="I81" s="209"/>
      <c r="J81" s="209"/>
      <c r="K81" s="209"/>
      <c r="L81" s="209"/>
      <c r="M81" s="209"/>
      <c r="N81" s="209"/>
      <c r="O81" s="209"/>
      <c r="P81" s="209"/>
      <c r="Q81" s="209"/>
      <c r="R81" s="209"/>
      <c r="S81" s="209"/>
      <c r="Y81" s="1140" t="s">
        <v>504</v>
      </c>
      <c r="Z81" s="1140"/>
      <c r="AA81" s="96"/>
      <c r="AB81" s="96"/>
      <c r="AC81" s="96"/>
      <c r="AD81" s="96"/>
      <c r="AE81" s="112"/>
      <c r="AF81" s="112"/>
      <c r="AG81" s="112"/>
      <c r="AH81" s="1181" t="s">
        <v>963</v>
      </c>
      <c r="AI81" s="1181"/>
      <c r="AJ81" s="1181"/>
      <c r="AK81" s="1181"/>
      <c r="AL81" s="342"/>
      <c r="AM81" s="342"/>
      <c r="AN81" s="342"/>
      <c r="AO81" s="342"/>
      <c r="AP81" s="342"/>
      <c r="AQ81" s="342"/>
      <c r="AR81" s="342"/>
      <c r="AS81" s="749"/>
      <c r="AT81" s="749"/>
      <c r="AU81" s="749"/>
      <c r="AV81" s="749"/>
      <c r="AW81" s="749"/>
      <c r="AX81" s="749"/>
      <c r="AY81" s="749"/>
      <c r="AZ81" s="749"/>
      <c r="BA81" s="749"/>
    </row>
    <row r="82" spans="3:53" ht="15" customHeight="1" x14ac:dyDescent="0.3">
      <c r="Y82" s="1140"/>
      <c r="Z82" s="1140"/>
      <c r="AA82" s="96"/>
      <c r="AB82" s="96"/>
      <c r="AC82" s="96"/>
      <c r="AD82" s="96"/>
      <c r="AE82" s="112"/>
      <c r="AF82" s="112"/>
      <c r="AG82" s="112"/>
      <c r="AH82" s="1181"/>
      <c r="AI82" s="1181"/>
      <c r="AJ82" s="1181"/>
      <c r="AK82" s="1181"/>
      <c r="AL82" s="342"/>
      <c r="AM82" s="342"/>
      <c r="AN82" s="342"/>
      <c r="AO82" s="342"/>
      <c r="AP82" s="342"/>
      <c r="AQ82" s="342"/>
      <c r="AR82" s="342"/>
      <c r="AS82" s="749"/>
      <c r="AT82" s="749"/>
      <c r="AU82" s="749"/>
      <c r="AV82" s="749"/>
      <c r="AW82" s="749"/>
      <c r="AX82" s="749"/>
      <c r="AY82" s="749"/>
      <c r="AZ82" s="751" t="str">
        <f ca="1">Taal02!B48</f>
        <v>B3B1F4D1B2F3F1A2D2C1C4C2C3E3F2B4D3E4E1D4A1A3E2A4G1G2G3G4H1H2H3H4</v>
      </c>
      <c r="BA82" s="749"/>
    </row>
    <row r="83" spans="3:53" x14ac:dyDescent="0.3">
      <c r="Y83" s="96"/>
      <c r="Z83" s="261" t="s">
        <v>512</v>
      </c>
      <c r="AA83" s="636" t="str">
        <f>IF($AD$21=1,Reglement!$H$88,"NEE")</f>
        <v>JA</v>
      </c>
      <c r="AB83" s="96"/>
      <c r="AC83" s="96"/>
      <c r="AD83" s="96"/>
      <c r="AE83" s="631"/>
      <c r="AF83" s="631"/>
      <c r="AG83" s="631"/>
      <c r="AH83" s="342"/>
      <c r="AI83" s="342"/>
      <c r="AJ83" s="752" t="str">
        <f ca="1">AJ10</f>
        <v>Groep A</v>
      </c>
      <c r="AK83" s="750">
        <f t="shared" ref="AK83:AK90" ca="1" si="35">FIND(RIGHT($AJ83,1),$AZ$82)</f>
        <v>15</v>
      </c>
      <c r="AL83" s="750">
        <f t="shared" ref="AL83:AN90" ca="1" si="36">FIND(RIGHT($AJ83,1),$AZ$82,AK83+1)</f>
        <v>41</v>
      </c>
      <c r="AM83" s="750">
        <f t="shared" ca="1" si="36"/>
        <v>43</v>
      </c>
      <c r="AN83" s="750">
        <f t="shared" ca="1" si="36"/>
        <v>47</v>
      </c>
      <c r="AO83" s="342"/>
      <c r="AP83" s="498" t="str">
        <f ca="1">RIGHT(LEFT($AZ$82,AK83+1),2)</f>
        <v>A2</v>
      </c>
      <c r="AQ83" s="498" t="str">
        <f ca="1">RIGHT(LEFT($AZ$82,AL83+1),2)</f>
        <v>A1</v>
      </c>
      <c r="AR83" s="498" t="str">
        <f ca="1">RIGHT(LEFT($AZ$82,AM83+1),2)</f>
        <v>A3</v>
      </c>
      <c r="AS83" s="498" t="str">
        <f ca="1">RIGHT(LEFT($AZ$82,AN83+1),2)</f>
        <v>A4</v>
      </c>
      <c r="AT83" s="749"/>
      <c r="AU83" s="748">
        <f ca="1">IF($AP83=RIGHT($AJ83,1)&amp;"1",1,IF($AQ83=RIGHT($AJ83,1)&amp;"1",2,IF($AR83=RIGHT($AJ83,1)&amp;"1",3,IF($AS83=RIGHT($AJ83,1)&amp;"1",4,5))))</f>
        <v>2</v>
      </c>
      <c r="AV83" s="748">
        <f ca="1">IF($AP83=RIGHT($AJ83,1)&amp;"2",1,IF($AQ83=RIGHT($AJ83,1)&amp;"2",2,IF($AR83=RIGHT($AJ83,1)&amp;"2",3,IF($AS83=RIGHT($AJ83,1)&amp;"2",4,5))))</f>
        <v>1</v>
      </c>
      <c r="AW83" s="748">
        <f ca="1">IF($AP83=RIGHT($AJ83,1)&amp;"3",1,IF($AQ83=RIGHT($AJ83,1)&amp;"3",2,IF($AR83=RIGHT($AJ83,1)&amp;"3",3,IF($AS83=RIGHT($AJ83,1)&amp;"3",4,5))))</f>
        <v>3</v>
      </c>
      <c r="AX83" s="748">
        <f ca="1">IF($AP83=RIGHT($AJ83,1)&amp;"4",1,IF($AQ83=RIGHT($AJ83,1)&amp;"4",2,IF($AR83=RIGHT($AJ83,1)&amp;"4",3,IF($AS83=RIGHT($AJ83,1)&amp;"4",4,5))))</f>
        <v>4</v>
      </c>
      <c r="AY83" s="749"/>
      <c r="AZ83" s="749"/>
      <c r="BA83" s="749"/>
    </row>
    <row r="84" spans="3:53" x14ac:dyDescent="0.3">
      <c r="Y84" s="96"/>
      <c r="Z84" s="261" t="s">
        <v>511</v>
      </c>
      <c r="AA84" s="632" t="str">
        <f>TRIM(P6)</f>
        <v/>
      </c>
      <c r="AB84" s="633"/>
      <c r="AC84" s="633"/>
      <c r="AD84" s="633"/>
      <c r="AE84" s="633"/>
      <c r="AF84" s="633"/>
      <c r="AG84" s="633"/>
      <c r="AH84" s="342"/>
      <c r="AI84" s="342"/>
      <c r="AJ84" s="752" t="str">
        <f ca="1">AJ19</f>
        <v>Groep B</v>
      </c>
      <c r="AK84" s="750">
        <f t="shared" ca="1" si="35"/>
        <v>1</v>
      </c>
      <c r="AL84" s="750">
        <f t="shared" ca="1" si="36"/>
        <v>3</v>
      </c>
      <c r="AM84" s="750">
        <f t="shared" ca="1" si="36"/>
        <v>9</v>
      </c>
      <c r="AN84" s="750">
        <f t="shared" ca="1" si="36"/>
        <v>31</v>
      </c>
      <c r="AO84" s="342"/>
      <c r="AP84" s="498" t="str">
        <f t="shared" ref="AP84:AP90" ca="1" si="37">RIGHT(LEFT($AZ$82,AK84+1),2)</f>
        <v>B3</v>
      </c>
      <c r="AQ84" s="498" t="str">
        <f t="shared" ref="AQ84:AQ90" ca="1" si="38">RIGHT(LEFT($AZ$82,AL84+1),2)</f>
        <v>B1</v>
      </c>
      <c r="AR84" s="498" t="str">
        <f t="shared" ref="AR84:AR90" ca="1" si="39">RIGHT(LEFT($AZ$82,AM84+1),2)</f>
        <v>B2</v>
      </c>
      <c r="AS84" s="498" t="str">
        <f t="shared" ref="AS84:AS90" ca="1" si="40">RIGHT(LEFT($AZ$82,AN84+1),2)</f>
        <v>B4</v>
      </c>
      <c r="AT84" s="749"/>
      <c r="AU84" s="748">
        <f t="shared" ref="AU84:AU90" ca="1" si="41">IF($AP84=RIGHT($AJ84,1)&amp;"1",1,IF($AQ84=RIGHT($AJ84,1)&amp;"1",2,IF($AR84=RIGHT($AJ84,1)&amp;"1",3,IF($AS84=RIGHT($AJ84,1)&amp;"1",4,5))))</f>
        <v>2</v>
      </c>
      <c r="AV84" s="748">
        <f t="shared" ref="AV84:AV90" ca="1" si="42">IF($AP84=RIGHT($AJ84,1)&amp;"2",1,IF($AQ84=RIGHT($AJ84,1)&amp;"2",2,IF($AR84=RIGHT($AJ84,1)&amp;"2",3,IF($AS84=RIGHT($AJ84,1)&amp;"2",4,5))))</f>
        <v>3</v>
      </c>
      <c r="AW84" s="748">
        <f t="shared" ref="AW84:AW90" ca="1" si="43">IF($AP84=RIGHT($AJ84,1)&amp;"3",1,IF($AQ84=RIGHT($AJ84,1)&amp;"3",2,IF($AR84=RIGHT($AJ84,1)&amp;"3",3,IF($AS84=RIGHT($AJ84,1)&amp;"3",4,5))))</f>
        <v>1</v>
      </c>
      <c r="AX84" s="748">
        <f t="shared" ref="AX84:AX90" ca="1" si="44">IF($AP84=RIGHT($AJ84,1)&amp;"4",1,IF($AQ84=RIGHT($AJ84,1)&amp;"4",2,IF($AR84=RIGHT($AJ84,1)&amp;"4",3,IF($AS84=RIGHT($AJ84,1)&amp;"4",4,5))))</f>
        <v>4</v>
      </c>
      <c r="AY84" s="749"/>
      <c r="AZ84" s="749"/>
      <c r="BA84" s="749"/>
    </row>
    <row r="85" spans="3:53" x14ac:dyDescent="0.3">
      <c r="Y85" s="96"/>
      <c r="Z85" s="261" t="s">
        <v>513</v>
      </c>
      <c r="AA85" s="262" t="s">
        <v>195</v>
      </c>
      <c r="AB85" s="262" t="s">
        <v>505</v>
      </c>
      <c r="AC85" s="262" t="s">
        <v>506</v>
      </c>
      <c r="AD85" s="262" t="s">
        <v>507</v>
      </c>
      <c r="AE85" s="631"/>
      <c r="AF85" s="631"/>
      <c r="AG85" s="631"/>
      <c r="AH85" s="342"/>
      <c r="AI85" s="342"/>
      <c r="AJ85" s="752" t="str">
        <f ca="1">AJ28</f>
        <v>Groep C</v>
      </c>
      <c r="AK85" s="750">
        <f t="shared" ca="1" si="35"/>
        <v>19</v>
      </c>
      <c r="AL85" s="750">
        <f t="shared" ca="1" si="36"/>
        <v>21</v>
      </c>
      <c r="AM85" s="750">
        <f t="shared" ca="1" si="36"/>
        <v>23</v>
      </c>
      <c r="AN85" s="750">
        <f t="shared" ca="1" si="36"/>
        <v>25</v>
      </c>
      <c r="AO85" s="342"/>
      <c r="AP85" s="498" t="str">
        <f t="shared" ca="1" si="37"/>
        <v>C1</v>
      </c>
      <c r="AQ85" s="498" t="str">
        <f t="shared" ca="1" si="38"/>
        <v>C4</v>
      </c>
      <c r="AR85" s="498" t="str">
        <f t="shared" ca="1" si="39"/>
        <v>C2</v>
      </c>
      <c r="AS85" s="498" t="str">
        <f t="shared" ca="1" si="40"/>
        <v>C3</v>
      </c>
      <c r="AT85" s="749"/>
      <c r="AU85" s="748">
        <f t="shared" ca="1" si="41"/>
        <v>1</v>
      </c>
      <c r="AV85" s="748">
        <f t="shared" ca="1" si="42"/>
        <v>3</v>
      </c>
      <c r="AW85" s="748">
        <f t="shared" ca="1" si="43"/>
        <v>4</v>
      </c>
      <c r="AX85" s="748">
        <f t="shared" ca="1" si="44"/>
        <v>2</v>
      </c>
      <c r="AY85" s="749"/>
      <c r="AZ85" s="749"/>
      <c r="BA85" s="749"/>
    </row>
    <row r="86" spans="3:53" x14ac:dyDescent="0.3">
      <c r="Y86" s="96"/>
      <c r="Z86" s="261" t="s">
        <v>514</v>
      </c>
      <c r="AA86" s="634" t="str">
        <f>IF(ISBLANK($AA$84),"LEEG",IF(LEN($AA$84)&lt;=64,"GOED","FOUT"))</f>
        <v>GOED</v>
      </c>
      <c r="AB86" s="634" t="str">
        <f>IF(ISBLANK($AA$84),"LEEG",IF(LEN($AA$84)=LEN(SUBSTITUTE($AA$84," ","controle")),"GOED","FOUT"))</f>
        <v>GOED</v>
      </c>
      <c r="AC86" s="634" t="str">
        <f>IF(ISBLANK($AA$84),"LEEG",IF(AND(LEN($AA$84)&lt;&gt;LEN(SUBSTITUTE($AA$84,"@","controle")),LEN($AA$84)+7=LEN(SUBSTITUTE($AA$84,"@","controle"))),"GOED","FOUT"))</f>
        <v>FOUT</v>
      </c>
      <c r="AD86" s="634" t="str">
        <f>IF(ISBLANK($AA$84),"LEEG",IF($AC$87="nvt","nvt",IF(LEN($AD$87)&lt;&gt;LEN(SUBSTITUTE($AD$87,".","controle")),"GOED","FOUT")))</f>
        <v>nvt</v>
      </c>
      <c r="AE86" s="631" t="s">
        <v>324</v>
      </c>
      <c r="AF86" s="631"/>
      <c r="AG86" s="631"/>
      <c r="AH86" s="342"/>
      <c r="AI86" s="342"/>
      <c r="AJ86" s="752" t="str">
        <f ca="1">AJ37</f>
        <v>Groep D</v>
      </c>
      <c r="AK86" s="750">
        <f t="shared" ca="1" si="35"/>
        <v>7</v>
      </c>
      <c r="AL86" s="750">
        <f t="shared" ca="1" si="36"/>
        <v>17</v>
      </c>
      <c r="AM86" s="750">
        <f t="shared" ca="1" si="36"/>
        <v>33</v>
      </c>
      <c r="AN86" s="750">
        <f t="shared" ca="1" si="36"/>
        <v>39</v>
      </c>
      <c r="AO86" s="342"/>
      <c r="AP86" s="498" t="str">
        <f t="shared" ca="1" si="37"/>
        <v>D1</v>
      </c>
      <c r="AQ86" s="498" t="str">
        <f t="shared" ca="1" si="38"/>
        <v>D2</v>
      </c>
      <c r="AR86" s="498" t="str">
        <f t="shared" ca="1" si="39"/>
        <v>D3</v>
      </c>
      <c r="AS86" s="498" t="str">
        <f t="shared" ca="1" si="40"/>
        <v>D4</v>
      </c>
      <c r="AT86" s="749"/>
      <c r="AU86" s="748">
        <f t="shared" ca="1" si="41"/>
        <v>1</v>
      </c>
      <c r="AV86" s="748">
        <f t="shared" ca="1" si="42"/>
        <v>2</v>
      </c>
      <c r="AW86" s="748">
        <f t="shared" ca="1" si="43"/>
        <v>3</v>
      </c>
      <c r="AX86" s="748">
        <f t="shared" ca="1" si="44"/>
        <v>4</v>
      </c>
      <c r="AY86" s="749"/>
      <c r="AZ86" s="749"/>
      <c r="BA86" s="749"/>
    </row>
    <row r="87" spans="3:53" x14ac:dyDescent="0.3">
      <c r="Y87" s="96"/>
      <c r="Z87" s="261" t="s">
        <v>508</v>
      </c>
      <c r="AA87" s="262" t="str">
        <f>IF(LEN(AA84)&lt;10,LEN(AA84)&amp;"#",LEN(AA84))</f>
        <v>0#</v>
      </c>
      <c r="AB87" s="262"/>
      <c r="AC87" s="635" t="str">
        <f>IF(AC86="GOED",SEARCH("@",$AA$84),"nvt")</f>
        <v>nvt</v>
      </c>
      <c r="AD87" s="635" t="str">
        <f>IF(AC87="nvt","nvt",RIGHT(AA84,LEN(AA84)-AC87))</f>
        <v>nvt</v>
      </c>
      <c r="AE87" s="631" t="s">
        <v>324</v>
      </c>
      <c r="AF87" s="631"/>
      <c r="AG87" s="631"/>
      <c r="AH87" s="342"/>
      <c r="AI87" s="342"/>
      <c r="AJ87" s="752" t="str">
        <f ca="1">AJ46</f>
        <v>Groep E</v>
      </c>
      <c r="AK87" s="750">
        <f t="shared" ca="1" si="35"/>
        <v>27</v>
      </c>
      <c r="AL87" s="750">
        <f t="shared" ca="1" si="36"/>
        <v>35</v>
      </c>
      <c r="AM87" s="750">
        <f t="shared" ca="1" si="36"/>
        <v>37</v>
      </c>
      <c r="AN87" s="750">
        <f t="shared" ca="1" si="36"/>
        <v>45</v>
      </c>
      <c r="AO87" s="342"/>
      <c r="AP87" s="498" t="str">
        <f t="shared" ca="1" si="37"/>
        <v>E3</v>
      </c>
      <c r="AQ87" s="498" t="str">
        <f t="shared" ca="1" si="38"/>
        <v>E4</v>
      </c>
      <c r="AR87" s="498" t="str">
        <f t="shared" ca="1" si="39"/>
        <v>E1</v>
      </c>
      <c r="AS87" s="498" t="str">
        <f t="shared" ca="1" si="40"/>
        <v>E2</v>
      </c>
      <c r="AT87" s="749"/>
      <c r="AU87" s="748">
        <f t="shared" ca="1" si="41"/>
        <v>3</v>
      </c>
      <c r="AV87" s="748">
        <f t="shared" ca="1" si="42"/>
        <v>4</v>
      </c>
      <c r="AW87" s="748">
        <f t="shared" ca="1" si="43"/>
        <v>1</v>
      </c>
      <c r="AX87" s="748">
        <f t="shared" ca="1" si="44"/>
        <v>2</v>
      </c>
      <c r="AY87" s="749"/>
      <c r="AZ87" s="749"/>
      <c r="BA87" s="749"/>
    </row>
    <row r="88" spans="3:53" x14ac:dyDescent="0.3">
      <c r="Y88" s="631"/>
      <c r="Z88" s="261" t="s">
        <v>509</v>
      </c>
      <c r="AA88" s="1141" t="str">
        <f>"|"&amp;AA84&amp;AA87</f>
        <v>|0#</v>
      </c>
      <c r="AB88" s="1142"/>
      <c r="AC88" s="1142"/>
      <c r="AD88" s="1142"/>
      <c r="AE88" s="1143"/>
      <c r="AF88" s="631"/>
      <c r="AG88" s="631"/>
      <c r="AH88" s="342"/>
      <c r="AI88" s="342"/>
      <c r="AJ88" s="752" t="str">
        <f ca="1">AJ55</f>
        <v>Groep F</v>
      </c>
      <c r="AK88" s="750">
        <f t="shared" ca="1" si="35"/>
        <v>5</v>
      </c>
      <c r="AL88" s="750">
        <f t="shared" ca="1" si="36"/>
        <v>11</v>
      </c>
      <c r="AM88" s="750">
        <f t="shared" ca="1" si="36"/>
        <v>13</v>
      </c>
      <c r="AN88" s="750">
        <f t="shared" ca="1" si="36"/>
        <v>29</v>
      </c>
      <c r="AO88" s="342"/>
      <c r="AP88" s="498" t="str">
        <f t="shared" ca="1" si="37"/>
        <v>F4</v>
      </c>
      <c r="AQ88" s="498" t="str">
        <f t="shared" ca="1" si="38"/>
        <v>F3</v>
      </c>
      <c r="AR88" s="498" t="str">
        <f t="shared" ca="1" si="39"/>
        <v>F1</v>
      </c>
      <c r="AS88" s="498" t="str">
        <f t="shared" ca="1" si="40"/>
        <v>F2</v>
      </c>
      <c r="AT88" s="749"/>
      <c r="AU88" s="748">
        <f t="shared" ca="1" si="41"/>
        <v>3</v>
      </c>
      <c r="AV88" s="748">
        <f t="shared" ca="1" si="42"/>
        <v>4</v>
      </c>
      <c r="AW88" s="748">
        <f t="shared" ca="1" si="43"/>
        <v>2</v>
      </c>
      <c r="AX88" s="748">
        <f t="shared" ca="1" si="44"/>
        <v>1</v>
      </c>
      <c r="AY88" s="749"/>
      <c r="AZ88" s="749"/>
      <c r="BA88" s="749"/>
    </row>
    <row r="89" spans="3:53" x14ac:dyDescent="0.3">
      <c r="Y89" s="96"/>
      <c r="Z89" s="261" t="s">
        <v>510</v>
      </c>
      <c r="AA89" s="636" t="str">
        <f>IF(ISBLANK($P$6)=TRUE,IF(AA83="NEE","OPTIE","LEEG"),IF(AND(AA86="GOED",AB86="GOED",AC86="GOED",AD86="GOED"),"GOED","FOUT"))</f>
        <v>LEEG</v>
      </c>
      <c r="AB89" s="631"/>
      <c r="AC89" s="631"/>
      <c r="AD89" s="631"/>
      <c r="AE89" s="631"/>
      <c r="AF89" s="631"/>
      <c r="AG89" s="631"/>
      <c r="AH89" s="342"/>
      <c r="AI89" s="342"/>
      <c r="AJ89" s="752" t="str">
        <f ca="1">AJ64</f>
        <v>Groep G</v>
      </c>
      <c r="AK89" s="750">
        <f t="shared" ca="1" si="35"/>
        <v>49</v>
      </c>
      <c r="AL89" s="750">
        <f t="shared" ca="1" si="36"/>
        <v>51</v>
      </c>
      <c r="AM89" s="750">
        <f t="shared" ca="1" si="36"/>
        <v>53</v>
      </c>
      <c r="AN89" s="750">
        <f t="shared" ca="1" si="36"/>
        <v>55</v>
      </c>
      <c r="AO89" s="342"/>
      <c r="AP89" s="498" t="str">
        <f t="shared" ca="1" si="37"/>
        <v>G1</v>
      </c>
      <c r="AQ89" s="498" t="str">
        <f t="shared" ca="1" si="38"/>
        <v>G2</v>
      </c>
      <c r="AR89" s="498" t="str">
        <f t="shared" ca="1" si="39"/>
        <v>G3</v>
      </c>
      <c r="AS89" s="498" t="str">
        <f t="shared" ca="1" si="40"/>
        <v>G4</v>
      </c>
      <c r="AT89" s="749"/>
      <c r="AU89" s="748">
        <f t="shared" ca="1" si="41"/>
        <v>1</v>
      </c>
      <c r="AV89" s="748">
        <f t="shared" ca="1" si="42"/>
        <v>2</v>
      </c>
      <c r="AW89" s="748">
        <f t="shared" ca="1" si="43"/>
        <v>3</v>
      </c>
      <c r="AX89" s="748">
        <f t="shared" ca="1" si="44"/>
        <v>4</v>
      </c>
      <c r="AY89" s="749"/>
      <c r="AZ89" s="749"/>
      <c r="BA89" s="749"/>
    </row>
    <row r="90" spans="3:53" x14ac:dyDescent="0.3">
      <c r="Y90" s="96"/>
      <c r="Z90" s="261"/>
      <c r="AA90" s="96"/>
      <c r="AB90" s="96"/>
      <c r="AC90" s="96"/>
      <c r="AD90" s="96"/>
      <c r="AE90" s="631"/>
      <c r="AF90" s="631"/>
      <c r="AG90" s="631"/>
      <c r="AH90" s="342"/>
      <c r="AI90" s="342"/>
      <c r="AJ90" s="752" t="str">
        <f ca="1">AJ73</f>
        <v>Groep H</v>
      </c>
      <c r="AK90" s="750">
        <f t="shared" ca="1" si="35"/>
        <v>57</v>
      </c>
      <c r="AL90" s="750">
        <f t="shared" ca="1" si="36"/>
        <v>59</v>
      </c>
      <c r="AM90" s="750">
        <f t="shared" ca="1" si="36"/>
        <v>61</v>
      </c>
      <c r="AN90" s="750">
        <f t="shared" ca="1" si="36"/>
        <v>63</v>
      </c>
      <c r="AO90" s="342"/>
      <c r="AP90" s="498" t="str">
        <f t="shared" ca="1" si="37"/>
        <v>H1</v>
      </c>
      <c r="AQ90" s="498" t="str">
        <f t="shared" ca="1" si="38"/>
        <v>H2</v>
      </c>
      <c r="AR90" s="498" t="str">
        <f t="shared" ca="1" si="39"/>
        <v>H3</v>
      </c>
      <c r="AS90" s="498" t="str">
        <f t="shared" ca="1" si="40"/>
        <v>H4</v>
      </c>
      <c r="AT90" s="749"/>
      <c r="AU90" s="748">
        <f t="shared" ca="1" si="41"/>
        <v>1</v>
      </c>
      <c r="AV90" s="748">
        <f t="shared" ca="1" si="42"/>
        <v>2</v>
      </c>
      <c r="AW90" s="748">
        <f t="shared" ca="1" si="43"/>
        <v>3</v>
      </c>
      <c r="AX90" s="748">
        <f t="shared" ca="1" si="44"/>
        <v>4</v>
      </c>
      <c r="AY90" s="749"/>
      <c r="AZ90" s="749"/>
      <c r="BA90" s="749"/>
    </row>
  </sheetData>
  <sheetProtection algorithmName="SHA-512" hashValue="Cs100EPt1R0+oqFvSbfBEbpChDJ14k0j5Wwqp+YA6CPf+edMIOIdwXttbRIT7q7lazMOQAGqCqXcqFanECBi+A==" saltValue="cgGU1FOhB/oGlBTzE4v+Yg==" spinCount="100000" sheet="1" objects="1" scenarios="1" selectLockedCells="1"/>
  <dataConsolidate/>
  <mergeCells count="195">
    <mergeCell ref="AH81:AK82"/>
    <mergeCell ref="AZ62:AZ65"/>
    <mergeCell ref="BA62:BA65"/>
    <mergeCell ref="AS71:AS74"/>
    <mergeCell ref="AT71:AT74"/>
    <mergeCell ref="AU71:AU74"/>
    <mergeCell ref="AV71:AV74"/>
    <mergeCell ref="AW71:AW74"/>
    <mergeCell ref="AX71:AX74"/>
    <mergeCell ref="AY71:AY74"/>
    <mergeCell ref="AZ71:AZ74"/>
    <mergeCell ref="AS62:AS65"/>
    <mergeCell ref="AT62:AT65"/>
    <mergeCell ref="AU62:AU65"/>
    <mergeCell ref="AV62:AV65"/>
    <mergeCell ref="AW62:AW65"/>
    <mergeCell ref="AX62:AX65"/>
    <mergeCell ref="AY62:AY65"/>
    <mergeCell ref="BA71:BA74"/>
    <mergeCell ref="AN71:AN74"/>
    <mergeCell ref="AO71:AO74"/>
    <mergeCell ref="AK62:AK65"/>
    <mergeCell ref="AL62:AL65"/>
    <mergeCell ref="AM62:AM65"/>
    <mergeCell ref="AY44:AY47"/>
    <mergeCell ref="AX44:AX47"/>
    <mergeCell ref="AZ35:AZ38"/>
    <mergeCell ref="AY53:AY56"/>
    <mergeCell ref="AZ53:AZ56"/>
    <mergeCell ref="AZ44:AZ47"/>
    <mergeCell ref="BA44:BA47"/>
    <mergeCell ref="AU35:AU38"/>
    <mergeCell ref="AV35:AV38"/>
    <mergeCell ref="AW35:AW38"/>
    <mergeCell ref="AX35:AX38"/>
    <mergeCell ref="AY35:AY38"/>
    <mergeCell ref="BA35:BA38"/>
    <mergeCell ref="AV44:AV47"/>
    <mergeCell ref="AW44:AW47"/>
    <mergeCell ref="AS44:AS47"/>
    <mergeCell ref="AT44:AT47"/>
    <mergeCell ref="AU44:AU47"/>
    <mergeCell ref="AS35:AS38"/>
    <mergeCell ref="AT35:AT38"/>
    <mergeCell ref="BA53:BA56"/>
    <mergeCell ref="BA17:BA20"/>
    <mergeCell ref="AS26:AS29"/>
    <mergeCell ref="AT26:AT29"/>
    <mergeCell ref="AU26:AU29"/>
    <mergeCell ref="AV26:AV29"/>
    <mergeCell ref="AW26:AW29"/>
    <mergeCell ref="AX26:AX29"/>
    <mergeCell ref="AY26:AY29"/>
    <mergeCell ref="AZ26:AZ29"/>
    <mergeCell ref="BA26:BA29"/>
    <mergeCell ref="AS53:AS56"/>
    <mergeCell ref="AT53:AT56"/>
    <mergeCell ref="AU53:AU56"/>
    <mergeCell ref="AV53:AV56"/>
    <mergeCell ref="AW53:AW56"/>
    <mergeCell ref="AX53:AX56"/>
    <mergeCell ref="AS17:AS20"/>
    <mergeCell ref="AT17:AT20"/>
    <mergeCell ref="AO53:AO56"/>
    <mergeCell ref="AI43:AI47"/>
    <mergeCell ref="Y63:AG65"/>
    <mergeCell ref="AP71:AP74"/>
    <mergeCell ref="AQ71:AQ74"/>
    <mergeCell ref="AR71:AR74"/>
    <mergeCell ref="AN62:AN65"/>
    <mergeCell ref="AO62:AO65"/>
    <mergeCell ref="AP62:AP65"/>
    <mergeCell ref="AQ62:AQ65"/>
    <mergeCell ref="AR62:AR65"/>
    <mergeCell ref="AP53:AP56"/>
    <mergeCell ref="AQ53:AQ56"/>
    <mergeCell ref="AR53:AR56"/>
    <mergeCell ref="AN53:AN56"/>
    <mergeCell ref="AQ44:AQ47"/>
    <mergeCell ref="AR44:AR47"/>
    <mergeCell ref="AH71:AH74"/>
    <mergeCell ref="AI71:AI74"/>
    <mergeCell ref="AK71:AK74"/>
    <mergeCell ref="AL71:AL74"/>
    <mergeCell ref="AM71:AM74"/>
    <mergeCell ref="AH62:AH65"/>
    <mergeCell ref="AI62:AI65"/>
    <mergeCell ref="G54:I54"/>
    <mergeCell ref="J54:L54"/>
    <mergeCell ref="Q54:S54"/>
    <mergeCell ref="T54:V54"/>
    <mergeCell ref="AH53:AH56"/>
    <mergeCell ref="AI53:AI56"/>
    <mergeCell ref="AK53:AK56"/>
    <mergeCell ref="AL53:AL56"/>
    <mergeCell ref="AM53:AM56"/>
    <mergeCell ref="Y53:AA53"/>
    <mergeCell ref="AB53:AD53"/>
    <mergeCell ref="AP44:AP47"/>
    <mergeCell ref="AM44:AM47"/>
    <mergeCell ref="AN44:AN47"/>
    <mergeCell ref="AO44:AO47"/>
    <mergeCell ref="AH43:AH47"/>
    <mergeCell ref="AP35:AP38"/>
    <mergeCell ref="AQ35:AQ38"/>
    <mergeCell ref="AR35:AR38"/>
    <mergeCell ref="G34:I34"/>
    <mergeCell ref="J34:L34"/>
    <mergeCell ref="Q34:S34"/>
    <mergeCell ref="T34:V34"/>
    <mergeCell ref="AH35:AH38"/>
    <mergeCell ref="AI35:AI38"/>
    <mergeCell ref="AK35:AK38"/>
    <mergeCell ref="AL35:AL38"/>
    <mergeCell ref="AM35:AM38"/>
    <mergeCell ref="AN35:AN38"/>
    <mergeCell ref="Y43:AA43"/>
    <mergeCell ref="AB43:AD43"/>
    <mergeCell ref="AK44:AK47"/>
    <mergeCell ref="AL44:AL47"/>
    <mergeCell ref="AO35:AO38"/>
    <mergeCell ref="G44:I44"/>
    <mergeCell ref="J44:L44"/>
    <mergeCell ref="Q44:S44"/>
    <mergeCell ref="T44:V44"/>
    <mergeCell ref="G24:I24"/>
    <mergeCell ref="J24:L24"/>
    <mergeCell ref="Q24:S24"/>
    <mergeCell ref="T24:V24"/>
    <mergeCell ref="Y33:AA33"/>
    <mergeCell ref="AB33:AD33"/>
    <mergeCell ref="AN26:AN29"/>
    <mergeCell ref="BA8:BA11"/>
    <mergeCell ref="AO26:AO29"/>
    <mergeCell ref="AL26:AL29"/>
    <mergeCell ref="AU17:AU20"/>
    <mergeCell ref="AV17:AV20"/>
    <mergeCell ref="AW17:AW20"/>
    <mergeCell ref="AX17:AX20"/>
    <mergeCell ref="AY17:AY20"/>
    <mergeCell ref="AZ17:AZ20"/>
    <mergeCell ref="AU8:AU11"/>
    <mergeCell ref="AV8:AV11"/>
    <mergeCell ref="AW8:AW11"/>
    <mergeCell ref="AX8:AX11"/>
    <mergeCell ref="AY8:AY11"/>
    <mergeCell ref="AZ8:AZ11"/>
    <mergeCell ref="AK26:AK29"/>
    <mergeCell ref="AJ3:AY4"/>
    <mergeCell ref="D14:O16"/>
    <mergeCell ref="S15:V15"/>
    <mergeCell ref="S16:V16"/>
    <mergeCell ref="Y9:AD10"/>
    <mergeCell ref="AF9:AG9"/>
    <mergeCell ref="AF10:AG10"/>
    <mergeCell ref="AO8:AO11"/>
    <mergeCell ref="AK8:AK11"/>
    <mergeCell ref="AL8:AL11"/>
    <mergeCell ref="AM8:AM11"/>
    <mergeCell ref="Y2:Z3"/>
    <mergeCell ref="AA6:AE6"/>
    <mergeCell ref="D11:V12"/>
    <mergeCell ref="Y11:AD13"/>
    <mergeCell ref="AP8:AP11"/>
    <mergeCell ref="AQ8:AQ11"/>
    <mergeCell ref="AR8:AR11"/>
    <mergeCell ref="D6:E6"/>
    <mergeCell ref="F6:L6"/>
    <mergeCell ref="N6:O6"/>
    <mergeCell ref="P6:V6"/>
    <mergeCell ref="AM26:AM29"/>
    <mergeCell ref="BC2:BG4"/>
    <mergeCell ref="Y81:Z82"/>
    <mergeCell ref="AA88:AE88"/>
    <mergeCell ref="Y17:AD17"/>
    <mergeCell ref="AS8:AS11"/>
    <mergeCell ref="AT8:AT11"/>
    <mergeCell ref="AN8:AN11"/>
    <mergeCell ref="AP17:AP20"/>
    <mergeCell ref="AQ17:AQ20"/>
    <mergeCell ref="AR17:AR20"/>
    <mergeCell ref="AH17:AH20"/>
    <mergeCell ref="AI17:AI20"/>
    <mergeCell ref="AK17:AK20"/>
    <mergeCell ref="AL17:AL20"/>
    <mergeCell ref="AM17:AM20"/>
    <mergeCell ref="AN17:AN20"/>
    <mergeCell ref="AO17:AO20"/>
    <mergeCell ref="AP26:AP29"/>
    <mergeCell ref="AQ26:AQ29"/>
    <mergeCell ref="AR26:AR29"/>
    <mergeCell ref="Y23:AA23"/>
    <mergeCell ref="AB23:AD23"/>
    <mergeCell ref="AH26:AH29"/>
    <mergeCell ref="AI26:AI29"/>
  </mergeCells>
  <conditionalFormatting sqref="D3 V3 D9 D19 D72 V72">
    <cfRule type="expression" dxfId="266" priority="1">
      <formula>$A$1="wit"</formula>
    </cfRule>
    <cfRule type="expression" dxfId="265" priority="2">
      <formula>$A$1="zwart"</formula>
    </cfRule>
  </conditionalFormatting>
  <conditionalFormatting sqref="D21">
    <cfRule type="expression" dxfId="264" priority="3">
      <formula>$AD$21=1</formula>
    </cfRule>
  </conditionalFormatting>
  <conditionalFormatting sqref="J25:J30 J35:J40 J45:J50 J55:J60">
    <cfRule type="expression" dxfId="263" priority="11">
      <formula>OR($Y25="HOOG",$Y25="ONGELDIG")</formula>
    </cfRule>
    <cfRule type="expression" dxfId="262" priority="12">
      <formula>$Y25="LEEG"</formula>
    </cfRule>
    <cfRule type="expression" dxfId="261" priority="13">
      <formula>$Y25="GOED"</formula>
    </cfRule>
  </conditionalFormatting>
  <conditionalFormatting sqref="L25:L30 L35:L40 L45:L50 L55:L60">
    <cfRule type="expression" dxfId="260" priority="14">
      <formula>OR($Z25="HOOG",$Z25="ONGELDIG")</formula>
    </cfRule>
    <cfRule type="expression" dxfId="259" priority="15">
      <formula>$Z25="LEEG"</formula>
    </cfRule>
    <cfRule type="expression" dxfId="258" priority="16">
      <formula>$Z25="GOED"</formula>
    </cfRule>
  </conditionalFormatting>
  <conditionalFormatting sqref="T25:T30 T35:T40 T45:T50 T55:T60">
    <cfRule type="expression" dxfId="257" priority="17">
      <formula>OR($AB25="HOOG",$AB25="ONGELDIG")</formula>
    </cfRule>
    <cfRule type="expression" dxfId="256" priority="18">
      <formula>$AB25="LEEG"</formula>
    </cfRule>
    <cfRule type="expression" dxfId="255" priority="19">
      <formula>$AB25="GOED"</formula>
    </cfRule>
  </conditionalFormatting>
  <conditionalFormatting sqref="V25:V30 V35:V40 V45:V50 V55:V60">
    <cfRule type="expression" dxfId="254" priority="43">
      <formula>OR($AC25="HOOG",$AC25="ONGELDIG")</formula>
    </cfRule>
    <cfRule type="expression" dxfId="253" priority="44">
      <formula>$AC25="LEEG"</formula>
    </cfRule>
    <cfRule type="expression" dxfId="252" priority="45">
      <formula>$AC25="GOED"</formula>
    </cfRule>
  </conditionalFormatting>
  <conditionalFormatting sqref="D6:L6">
    <cfRule type="expression" dxfId="251" priority="4">
      <formula>$AA$7="LANG"</formula>
    </cfRule>
    <cfRule type="expression" dxfId="250" priority="5">
      <formula>$AA$7="LEEG"</formula>
    </cfRule>
    <cfRule type="expression" dxfId="249" priority="6">
      <formula>$AA$7="GOED"</formula>
    </cfRule>
  </conditionalFormatting>
  <conditionalFormatting sqref="N6:V6">
    <cfRule type="expression" dxfId="248" priority="7">
      <formula>$AA$89="FOUT"</formula>
    </cfRule>
    <cfRule type="expression" dxfId="247" priority="8">
      <formula>$AA$89="LEEG"</formula>
    </cfRule>
    <cfRule type="expression" dxfId="246" priority="9">
      <formula>$AA$89="OPTIE"</formula>
    </cfRule>
    <cfRule type="expression" dxfId="245" priority="10">
      <formula>$AA$89="GOED"</formula>
    </cfRule>
  </conditionalFormatting>
  <printOptions horizontalCentered="1"/>
  <pageMargins left="0.19685039370078741" right="0.19685039370078741" top="0.39370078740157483" bottom="0.3937007874015748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3">
    <tabColor rgb="FF0084A4"/>
  </sheetPr>
  <dimension ref="A1:AQ75"/>
  <sheetViews>
    <sheetView showRowColHeaders="0" topLeftCell="A15" workbookViewId="0"/>
  </sheetViews>
  <sheetFormatPr defaultColWidth="9.109375" defaultRowHeight="14.4" x14ac:dyDescent="0.3"/>
  <cols>
    <col min="1" max="4" width="2.6640625" style="70" customWidth="1"/>
    <col min="5" max="5" width="25.6640625" style="70" customWidth="1"/>
    <col min="6" max="6" width="2.6640625" style="70" customWidth="1"/>
    <col min="7" max="8" width="4.6640625" style="70" customWidth="1"/>
    <col min="9" max="9" width="9.33203125" style="70" customWidth="1"/>
    <col min="10" max="11" width="2.6640625" style="70" customWidth="1"/>
    <col min="12" max="12" width="25.6640625" style="70" customWidth="1"/>
    <col min="13" max="13" width="2.6640625" style="70" customWidth="1"/>
    <col min="14" max="15" width="4.6640625" style="70" customWidth="1"/>
    <col min="16" max="16" width="9.33203125" style="70" customWidth="1"/>
    <col min="17" max="18" width="2.6640625" style="70" customWidth="1"/>
    <col min="19" max="19" width="3.6640625" style="70" hidden="1" customWidth="1"/>
    <col min="20" max="20" width="18.6640625" style="70" hidden="1" customWidth="1"/>
    <col min="21" max="22" width="4.6640625" style="70" hidden="1" customWidth="1"/>
    <col min="23" max="23" width="4.6640625" style="462" hidden="1" customWidth="1"/>
    <col min="24" max="24" width="20.6640625" style="70" hidden="1" customWidth="1"/>
    <col min="25" max="25" width="12.6640625" style="70" hidden="1" customWidth="1"/>
    <col min="26" max="26" width="12.6640625" style="234" hidden="1" customWidth="1"/>
    <col min="27" max="27" width="4.6640625" style="234" hidden="1" customWidth="1"/>
    <col min="28" max="28" width="20.6640625" style="234" hidden="1" customWidth="1"/>
    <col min="29" max="29" width="20.6640625" style="329" hidden="1" customWidth="1"/>
    <col min="30" max="30" width="2.6640625" style="70" hidden="1" customWidth="1"/>
    <col min="31" max="31" width="14.6640625" style="234" hidden="1" customWidth="1"/>
    <col min="32" max="34" width="3.6640625" style="234" hidden="1" customWidth="1"/>
    <col min="35" max="35" width="18.6640625" style="282" hidden="1" customWidth="1"/>
    <col min="36" max="36" width="18.6640625" style="234" hidden="1" customWidth="1"/>
    <col min="37" max="37" width="4.6640625" style="70" customWidth="1"/>
    <col min="38" max="39" width="4.6640625" style="421" customWidth="1"/>
    <col min="40" max="40" width="18.6640625" style="421" customWidth="1"/>
    <col min="41" max="43" width="4.6640625" style="421" customWidth="1"/>
    <col min="44" max="16384" width="9.109375" style="70"/>
  </cols>
  <sheetData>
    <row r="1" spans="1:43" ht="15" customHeight="1" x14ac:dyDescent="0.3">
      <c r="A1" s="116" t="str">
        <f>Voorblad!A1</f>
        <v>wit</v>
      </c>
      <c r="B1" s="116">
        <f>Voorblad!B1</f>
        <v>246</v>
      </c>
      <c r="C1" s="116">
        <f>Voorblad!C1</f>
        <v>255</v>
      </c>
      <c r="D1" s="116">
        <f>Voorblad!D1</f>
        <v>0</v>
      </c>
    </row>
    <row r="2" spans="1:43" ht="15" customHeight="1" x14ac:dyDescent="0.5">
      <c r="B2" s="79"/>
      <c r="C2" s="79"/>
      <c r="D2" s="79"/>
      <c r="E2" s="79"/>
      <c r="F2" s="79"/>
      <c r="G2" s="79"/>
      <c r="H2" s="79"/>
      <c r="I2" s="79"/>
      <c r="J2" s="79"/>
      <c r="K2" s="79"/>
      <c r="L2" s="79"/>
      <c r="M2" s="79"/>
      <c r="N2" s="79"/>
      <c r="O2" s="79"/>
      <c r="P2" s="79"/>
      <c r="Q2" s="79"/>
      <c r="R2" s="79"/>
      <c r="S2" s="422"/>
      <c r="T2" s="422"/>
      <c r="U2" s="422"/>
      <c r="V2" s="422"/>
      <c r="W2" s="422"/>
      <c r="X2" s="422"/>
      <c r="Y2" s="422"/>
      <c r="Z2" s="422"/>
      <c r="AA2" s="1195" t="s">
        <v>278</v>
      </c>
      <c r="AB2" s="1195"/>
      <c r="AC2" s="1195"/>
      <c r="AD2" s="1196" t="s">
        <v>279</v>
      </c>
      <c r="AE2" s="1196"/>
      <c r="AF2" s="1196"/>
      <c r="AG2" s="1196"/>
      <c r="AH2" s="1196"/>
      <c r="AI2" s="1196"/>
      <c r="AJ2" s="1194" t="s">
        <v>280</v>
      </c>
      <c r="AL2" s="1065" t="str">
        <f ca="1">Taal01!$B$40</f>
        <v>Eindstand Groep</v>
      </c>
      <c r="AM2" s="1065"/>
      <c r="AN2" s="1065"/>
      <c r="AO2" s="1065"/>
      <c r="AP2" s="1065"/>
    </row>
    <row r="3" spans="1:43" ht="15" customHeight="1" x14ac:dyDescent="0.5">
      <c r="B3" s="79"/>
      <c r="C3" s="1017"/>
      <c r="D3" s="1021" t="str">
        <f ca="1">Taal04!B7&amp;" - "&amp;Taal04!B9</f>
        <v>Excel Deelname Formulier - Eindstand Groep</v>
      </c>
      <c r="E3" s="1018"/>
      <c r="F3" s="1018"/>
      <c r="G3" s="1018"/>
      <c r="H3" s="1018"/>
      <c r="I3" s="1018"/>
      <c r="J3" s="1018"/>
      <c r="K3" s="1018"/>
      <c r="L3" s="1018"/>
      <c r="M3" s="1018"/>
      <c r="N3" s="1018"/>
      <c r="O3" s="1018"/>
      <c r="P3" s="1019" t="str">
        <f ca="1">IF(Reglement!M3="","",Reglement!M3)</f>
        <v>EK2020: SV Marum jeugd JO7 t/m JO11</v>
      </c>
      <c r="Q3" s="1020"/>
      <c r="R3" s="79"/>
      <c r="S3" s="419"/>
      <c r="T3" s="419" t="s">
        <v>301</v>
      </c>
      <c r="U3" s="422"/>
      <c r="V3" s="422"/>
      <c r="W3" s="422"/>
      <c r="X3" s="422"/>
      <c r="Y3" s="420">
        <f>Reglement!Q81</f>
        <v>1</v>
      </c>
      <c r="Z3" s="422"/>
      <c r="AA3" s="1195"/>
      <c r="AB3" s="1195"/>
      <c r="AC3" s="1195"/>
      <c r="AD3" s="1196"/>
      <c r="AE3" s="1196"/>
      <c r="AF3" s="1196"/>
      <c r="AG3" s="1196"/>
      <c r="AH3" s="1196"/>
      <c r="AI3" s="1196"/>
      <c r="AJ3" s="1194"/>
      <c r="AL3" s="1065"/>
      <c r="AM3" s="1065"/>
      <c r="AN3" s="1065"/>
      <c r="AO3" s="1065"/>
      <c r="AP3" s="1065"/>
    </row>
    <row r="4" spans="1:43" ht="15" customHeight="1" x14ac:dyDescent="0.3">
      <c r="B4" s="79"/>
      <c r="C4" s="79"/>
      <c r="D4" s="79"/>
      <c r="E4" s="79"/>
      <c r="F4" s="79"/>
      <c r="G4" s="79"/>
      <c r="H4" s="79"/>
      <c r="I4" s="79"/>
      <c r="J4" s="79"/>
      <c r="K4" s="79"/>
      <c r="L4" s="79"/>
      <c r="M4" s="79"/>
      <c r="N4" s="79"/>
      <c r="O4" s="79"/>
      <c r="P4" s="79"/>
      <c r="Q4" s="79"/>
      <c r="R4" s="79"/>
      <c r="S4" s="1222" t="s">
        <v>229</v>
      </c>
      <c r="T4" s="1222"/>
      <c r="U4" s="1222"/>
      <c r="V4" s="1222"/>
      <c r="W4" s="716"/>
      <c r="X4" s="112"/>
      <c r="Y4" s="112"/>
      <c r="Z4" s="112"/>
      <c r="AA4" s="337"/>
      <c r="AB4" s="337"/>
      <c r="AC4" s="337"/>
      <c r="AD4" s="175"/>
      <c r="AE4" s="175"/>
      <c r="AF4" s="175"/>
      <c r="AG4" s="175"/>
      <c r="AH4" s="175"/>
      <c r="AI4" s="175"/>
      <c r="AJ4" s="1194"/>
      <c r="AL4" s="1065"/>
      <c r="AM4" s="1065"/>
      <c r="AN4" s="1065"/>
      <c r="AO4" s="1065"/>
      <c r="AP4" s="1065"/>
    </row>
    <row r="5" spans="1:43" ht="15" customHeight="1" x14ac:dyDescent="0.3">
      <c r="B5" s="79"/>
      <c r="C5" s="1017"/>
      <c r="D5" s="1028" t="str">
        <f ca="1">Taal04!B53</f>
        <v>Eindstand Groep A t/m F</v>
      </c>
      <c r="E5" s="1018"/>
      <c r="F5" s="1018"/>
      <c r="G5" s="1018"/>
      <c r="H5" s="1018"/>
      <c r="I5" s="1018"/>
      <c r="J5" s="1018"/>
      <c r="K5" s="1018"/>
      <c r="L5" s="1018"/>
      <c r="M5" s="1018"/>
      <c r="N5" s="1018"/>
      <c r="O5" s="1018"/>
      <c r="P5" s="1018"/>
      <c r="Q5" s="1020"/>
      <c r="R5" s="79"/>
      <c r="S5" s="1222"/>
      <c r="T5" s="1222"/>
      <c r="U5" s="1222"/>
      <c r="V5" s="1222"/>
      <c r="W5" s="716"/>
      <c r="X5" s="260" t="s">
        <v>1040</v>
      </c>
      <c r="Y5" s="112" t="str">
        <f>IF(AND(Y18&lt;&gt;1,Y19="GOED"),LOOKUP(Y18,S16:S19,V16:V19),"")</f>
        <v/>
      </c>
      <c r="Z5" s="112" t="str">
        <f>IF(AND(Z18&lt;&gt;1,Z19="GOED"),LOOKUP(Z18,S21:S24,V21:V24),"")</f>
        <v/>
      </c>
      <c r="AA5" s="337" t="s">
        <v>324</v>
      </c>
      <c r="AB5" s="340"/>
      <c r="AC5" s="337"/>
      <c r="AD5" s="1199" t="s">
        <v>383</v>
      </c>
      <c r="AE5" s="1199"/>
      <c r="AF5" s="1199"/>
      <c r="AG5" s="1199"/>
      <c r="AH5" s="1199"/>
      <c r="AI5" s="1199"/>
      <c r="AJ5" s="1194"/>
    </row>
    <row r="6" spans="1:43" s="411" customFormat="1" ht="15" customHeight="1" x14ac:dyDescent="0.3">
      <c r="B6" s="410"/>
      <c r="C6" s="412"/>
      <c r="D6" s="413"/>
      <c r="E6" s="413"/>
      <c r="F6" s="413"/>
      <c r="G6" s="413"/>
      <c r="H6" s="413"/>
      <c r="I6" s="413"/>
      <c r="J6" s="413"/>
      <c r="K6" s="413"/>
      <c r="L6" s="413"/>
      <c r="M6" s="413"/>
      <c r="N6" s="413"/>
      <c r="O6" s="413"/>
      <c r="P6" s="413"/>
      <c r="Q6" s="414"/>
      <c r="R6" s="410"/>
      <c r="S6" s="1222"/>
      <c r="T6" s="1222"/>
      <c r="U6" s="1222"/>
      <c r="V6" s="1222"/>
      <c r="W6" s="716"/>
      <c r="X6" s="260" t="str">
        <f>"wedstrijd "&amp;RIGHT(X5,2)*1-1</f>
        <v>wedstrijd 37</v>
      </c>
      <c r="Y6" s="112" t="str">
        <f>IF(AND(Y16&lt;&gt;1,Y17="GOED"),LOOKUP(Y16,S16:S19,V16:V19),"")</f>
        <v/>
      </c>
      <c r="Z6" s="112" t="str">
        <f>IF(AND(Y28&lt;&gt;1,Y29="GOED"),LOOKUP(Y28,S26:S29,V26:V29),"")</f>
        <v/>
      </c>
      <c r="AA6" s="408"/>
      <c r="AB6" s="340" t="s">
        <v>276</v>
      </c>
      <c r="AC6" s="408"/>
      <c r="AD6" s="175"/>
      <c r="AE6" s="175" t="s">
        <v>9</v>
      </c>
      <c r="AF6" s="175" t="str">
        <f>IF($AC$7=1,IF(COUNTIF(Groepswedstrijden!$Y$25:$Z$30,"GOED")=12,"JA","NEE"),IF($AC$11=1,IF(COUNTIF(#REF!,"GOED")=6,"JA","NEE"),"n.v.t."))</f>
        <v>NEE</v>
      </c>
      <c r="AG6" s="175"/>
      <c r="AH6" s="175" t="str">
        <f>IF($AC$7=1,IF(COUNTIF(Groepswedstrijden!$AB$25:$AC$30,"GOED")=12,"JA","NEE"),IF($AC$11=1,IF(COUNTIF(#REF!,"GOED")=6,"JA","NEE"),"n.v.t."))</f>
        <v>NEE</v>
      </c>
      <c r="AI6" s="175" t="s">
        <v>14</v>
      </c>
      <c r="AJ6" s="407"/>
      <c r="AL6" s="421"/>
      <c r="AM6" s="421"/>
      <c r="AN6" s="421"/>
      <c r="AO6" s="421"/>
      <c r="AP6" s="421"/>
      <c r="AQ6" s="421"/>
    </row>
    <row r="7" spans="1:43" s="411" customFormat="1" ht="15" customHeight="1" x14ac:dyDescent="0.3">
      <c r="B7" s="410"/>
      <c r="C7" s="415"/>
      <c r="D7" s="423" t="str">
        <f ca="1">IF($Y$3=1,Taal04!B54,Voorblad!C15)</f>
        <v>Voorspel de eindstand van de verschillende groepen en vul deze in op dit blad.</v>
      </c>
      <c r="E7" s="417"/>
      <c r="F7" s="417"/>
      <c r="G7" s="417"/>
      <c r="H7" s="417"/>
      <c r="I7" s="417"/>
      <c r="J7" s="417"/>
      <c r="K7" s="417"/>
      <c r="L7" s="417"/>
      <c r="M7" s="417"/>
      <c r="N7" s="417"/>
      <c r="O7" s="417"/>
      <c r="P7" s="417"/>
      <c r="Q7" s="416"/>
      <c r="R7" s="410"/>
      <c r="S7" s="1222"/>
      <c r="T7" s="1222"/>
      <c r="U7" s="1222"/>
      <c r="V7" s="1222"/>
      <c r="W7" s="716"/>
      <c r="X7" s="260" t="str">
        <f>"wedstrijd "&amp;RIGHT(X6,2)*1+3</f>
        <v>wedstrijd 40</v>
      </c>
      <c r="Y7" s="112" t="str">
        <f>IF(AND(Y26&lt;&gt;1,Y27="GOED"),LOOKUP(Y26,S26:S29,V26:V29),"")</f>
        <v/>
      </c>
      <c r="Z7" s="112" t="str">
        <f>IF(AND(Z30&lt;&gt;1,Z31="GOED"),LOOKUP(Z30,S31:S34,V31:V34),"")&amp;IF(AND(Y40&lt;&gt;1,Y41="GOED"),LOOKUP(Y40,S36:S39,V36:V39),"")&amp;IF(AND(Z40&lt;&gt;1,Z41="GOED"),LOOKUP(Z40,S41:S44,V41:V44),"")</f>
        <v/>
      </c>
      <c r="AA7" s="408"/>
      <c r="AB7" s="339" t="str">
        <f>Groepswedstrijden!V72</f>
        <v>©2021 Eric de Jong v20.00dj</v>
      </c>
      <c r="AC7" s="337">
        <f>IF(TYPE(AB7)=2,1,0)</f>
        <v>1</v>
      </c>
      <c r="AD7" s="175"/>
      <c r="AE7" s="175" t="s">
        <v>22</v>
      </c>
      <c r="AF7" s="175" t="str">
        <f>IF($AC$7=1,IF(COUNTIF(Groepswedstrijden!$Y$35:$Z$40,"GOED")=12,"JA","NEE"),IF($AC$11=1,IF(COUNTIF(#REF!,"GOED")=6,"JA","NEE"),"n.v.t."))</f>
        <v>NEE</v>
      </c>
      <c r="AG7" s="175"/>
      <c r="AH7" s="175" t="str">
        <f>IF($AC$7=1,IF(COUNTIF(Groepswedstrijden!$AB$35:$AC$40,"GOED")=12,"JA","NEE"),IF($AC$11=1,IF(COUNTIF(#REF!,"GOED")=6,"JA","NEE"),"n.v.t."))</f>
        <v>NEE</v>
      </c>
      <c r="AI7" s="175" t="s">
        <v>23</v>
      </c>
      <c r="AJ7" s="407"/>
      <c r="AL7" s="421"/>
      <c r="AM7" s="421"/>
      <c r="AN7" s="421"/>
      <c r="AO7" s="421"/>
      <c r="AP7" s="421"/>
      <c r="AQ7" s="421"/>
    </row>
    <row r="8" spans="1:43" ht="15" customHeight="1" x14ac:dyDescent="0.3">
      <c r="B8" s="79"/>
      <c r="C8" s="415"/>
      <c r="D8" s="417"/>
      <c r="E8" s="417"/>
      <c r="F8" s="417"/>
      <c r="G8" s="417"/>
      <c r="H8" s="417"/>
      <c r="I8" s="417"/>
      <c r="J8" s="417"/>
      <c r="K8" s="417"/>
      <c r="L8" s="417"/>
      <c r="M8" s="417"/>
      <c r="N8" s="417"/>
      <c r="O8" s="417"/>
      <c r="P8" s="417"/>
      <c r="Q8" s="416"/>
      <c r="R8" s="79"/>
      <c r="S8" s="1222"/>
      <c r="T8" s="1222"/>
      <c r="U8" s="1222"/>
      <c r="V8" s="1222"/>
      <c r="W8" s="716"/>
      <c r="X8" s="260" t="str">
        <f>"wedstrijd "&amp;RIGHT(X7,2)*1-1</f>
        <v>wedstrijd 39</v>
      </c>
      <c r="Y8" s="112" t="str">
        <f>IF(AND(Z16&lt;&gt;1,Z17="GOED"),LOOKUP(Z16,S21:S24,V21:V24),"")</f>
        <v/>
      </c>
      <c r="Z8" s="112" t="str">
        <f>IF(AND(Y20&lt;&gt;1,Y21="GOED"),LOOKUP(Y20,S16:S19,V16:V19),"")&amp;IF(AND(Z30&lt;&gt;1,Z31="GOED"),LOOKUP(Z30,S31:S34,V31:V34),"")&amp;IF(AND(Y40&lt;&gt;1,Y41="GOED"),LOOKUP(Y40,S36:S39,V36:V39),"")&amp;IF(AND(Z40&lt;&gt;1,Z41="GOED"),LOOKUP(Z40,S41:S44,V41:V44),"")</f>
        <v/>
      </c>
      <c r="AA8" s="337"/>
      <c r="AB8" s="408"/>
      <c r="AC8" s="408"/>
      <c r="AD8" s="175"/>
      <c r="AE8" s="175" t="s">
        <v>106</v>
      </c>
      <c r="AF8" s="175" t="str">
        <f>IF($AC$7=1,IF(COUNTIF(Groepswedstrijden!$Y$45:$Z$50,"GOED")=12,"JA","NEE"),IF($AC$11=1,IF(COUNTIF(#REF!,"GOED")=6,"JA","NEE"),"n.v.t."))</f>
        <v>NEE</v>
      </c>
      <c r="AG8" s="175"/>
      <c r="AH8" s="175" t="str">
        <f>IF($AC$7=1,IF(COUNTIF(Groepswedstrijden!$AB$45:$AC$50,"GOED")=12,"JA","NEE"),IF($AC$11=1,IF(COUNTIF(#REF!,"GOED")=6,"JA","NEE"),"n.v.t."))</f>
        <v>NEE</v>
      </c>
      <c r="AI8" s="175" t="s">
        <v>107</v>
      </c>
      <c r="AJ8" s="288"/>
    </row>
    <row r="9" spans="1:43" ht="15" customHeight="1" x14ac:dyDescent="0.3">
      <c r="B9" s="49"/>
      <c r="C9" s="210"/>
      <c r="D9" s="1182"/>
      <c r="E9" s="1183"/>
      <c r="F9" s="901" t="s">
        <v>896</v>
      </c>
      <c r="G9" s="1184" t="str">
        <f ca="1">Taal04!B57</f>
        <v>Om u op weg te helpen kan op basis van voorgaande voorspellingen, mits volledig ingevuld, u een suggestie gegeven worden. U bent niet verplicht deze suggestie op te volgen.</v>
      </c>
      <c r="H9" s="1184"/>
      <c r="I9" s="1184"/>
      <c r="J9" s="1184"/>
      <c r="K9" s="1184"/>
      <c r="L9" s="1184"/>
      <c r="M9" s="1184"/>
      <c r="N9" s="1184"/>
      <c r="O9" s="1184"/>
      <c r="P9" s="714"/>
      <c r="Q9" s="11"/>
      <c r="R9" s="49"/>
      <c r="S9" s="200">
        <v>1</v>
      </c>
      <c r="T9" s="96" t="str">
        <f ca="1">Taal04!B34</f>
        <v>suggesties altijd weergeven</v>
      </c>
      <c r="U9" s="96"/>
      <c r="V9" s="96"/>
      <c r="W9" s="96"/>
      <c r="X9" s="260" t="str">
        <f>"wedstrijd "&amp;RIGHT(X8,2)*1+3</f>
        <v>wedstrijd 42</v>
      </c>
      <c r="Y9" s="112" t="str">
        <f>IF(AND(Z28&lt;&gt;1,Z29="GOED"),LOOKUP(Z28,S31:S34,V31:V34),"")</f>
        <v/>
      </c>
      <c r="Z9" s="112" t="str">
        <f>IF(AND(Y38&lt;&gt;1,Y39="GOED"),LOOKUP(Y38,S36:S39,V36:V39),"")</f>
        <v/>
      </c>
      <c r="AA9" s="337"/>
      <c r="AB9" s="337"/>
      <c r="AC9" s="337"/>
      <c r="AD9" s="175"/>
      <c r="AE9" s="596" t="s">
        <v>108</v>
      </c>
      <c r="AF9" s="596" t="str">
        <f>IF($AC$7=1,IF(COUNTIF(Groepswedstrijden!$Y$55:$Z$60,"GOED")=12,"JA","NEE"),IF($AC$11=1,IF(COUNTIF(#REF!,"GOED")=6,"JA","NEE"),"n.v.t."))</f>
        <v>NEE</v>
      </c>
      <c r="AG9" s="596"/>
      <c r="AH9" s="596" t="str">
        <f ca="1">IF($AC$7=1,IF(COUNTIF(Groepswedstrijden!$AB$52:$AC$60,"GOED")=12,"JA","NEE"),IF($AC$11=1,IF(COUNTIF(#REF!,"GOED")=6,"JA","NEE"),"n.v.t."))</f>
        <v>NEE</v>
      </c>
      <c r="AI9" s="596" t="s">
        <v>109</v>
      </c>
      <c r="AJ9" s="288"/>
      <c r="AL9" s="1200" t="str">
        <f ca="1">UPPER(Taal04!B58)</f>
        <v>EINDSTAND IN DE GROEP OP BASIS VAN EERDERE VOORSPELLINGEN</v>
      </c>
      <c r="AM9" s="1201"/>
      <c r="AN9" s="1202"/>
      <c r="AO9" s="1186" t="str">
        <f ca="1">Taal04!$B$59</f>
        <v>Punten</v>
      </c>
      <c r="AP9" s="1186" t="str">
        <f ca="1">Taal04!$B$60</f>
        <v>Doelpunten voor</v>
      </c>
      <c r="AQ9" s="1186" t="str">
        <f ca="1">Taal04!$B$61</f>
        <v>Doelpunten tegen</v>
      </c>
    </row>
    <row r="10" spans="1:43" ht="15" customHeight="1" x14ac:dyDescent="0.3">
      <c r="B10" s="49"/>
      <c r="C10" s="210"/>
      <c r="D10" s="464"/>
      <c r="E10" s="464"/>
      <c r="F10" s="72"/>
      <c r="G10" s="1184"/>
      <c r="H10" s="1184"/>
      <c r="I10" s="1184"/>
      <c r="J10" s="1184"/>
      <c r="K10" s="1184"/>
      <c r="L10" s="1184"/>
      <c r="M10" s="1184"/>
      <c r="N10" s="1184"/>
      <c r="O10" s="1184"/>
      <c r="P10" s="714"/>
      <c r="Q10" s="11"/>
      <c r="R10" s="49"/>
      <c r="S10" s="200">
        <v>2</v>
      </c>
      <c r="T10" s="96" t="str">
        <f ca="1">Taal04!B35</f>
        <v>suggesties verbergen na keuze</v>
      </c>
      <c r="U10" s="96"/>
      <c r="V10" s="96"/>
      <c r="W10" s="96"/>
      <c r="X10" s="260" t="str">
        <f>"wedstrijd "&amp;RIGHT(X9,2)*1-1</f>
        <v>wedstrijd 41</v>
      </c>
      <c r="Y10" s="112" t="str">
        <f>IF(AND(Z36&lt;&gt;1,Z37="GOED"),LOOKUP(Z36,S41:S44,V41:V44),"")</f>
        <v/>
      </c>
      <c r="Z10" s="112" t="str">
        <f>IF(AND(Y20&lt;&gt;1,Y21="GOED"),LOOKUP(Y20,S16:S19,V16:V19),"")&amp;IF(AND(Z20&lt;&gt;1,Z21="GOED"),LOOKUP(Z20,S21:S24,V21:V24),"")&amp;IF(AND(Y30&lt;&gt;1,Y31="GOED"),LOOKUP(Y30,S26:S29,V26:V29),"")</f>
        <v/>
      </c>
      <c r="AA10" s="337"/>
      <c r="AB10" s="340" t="s">
        <v>277</v>
      </c>
      <c r="AC10" s="337"/>
      <c r="AD10" s="175"/>
      <c r="AE10" s="175"/>
      <c r="AF10" s="175"/>
      <c r="AG10" s="175"/>
      <c r="AH10" s="175"/>
      <c r="AI10" s="175"/>
      <c r="AJ10" s="288"/>
      <c r="AL10" s="1203"/>
      <c r="AM10" s="1204"/>
      <c r="AN10" s="1205"/>
      <c r="AO10" s="1187"/>
      <c r="AP10" s="1187"/>
      <c r="AQ10" s="1187"/>
    </row>
    <row r="11" spans="1:43" ht="15" customHeight="1" x14ac:dyDescent="0.3">
      <c r="B11" s="49"/>
      <c r="C11" s="210"/>
      <c r="D11" s="72"/>
      <c r="E11" s="72"/>
      <c r="F11" s="72"/>
      <c r="G11" s="1184"/>
      <c r="H11" s="1184"/>
      <c r="I11" s="1184"/>
      <c r="J11" s="1184"/>
      <c r="K11" s="1184"/>
      <c r="L11" s="1184"/>
      <c r="M11" s="1184"/>
      <c r="N11" s="1184"/>
      <c r="O11" s="1184"/>
      <c r="P11" s="714"/>
      <c r="Q11" s="11"/>
      <c r="R11" s="49"/>
      <c r="S11" s="200">
        <v>3</v>
      </c>
      <c r="T11" s="96" t="str">
        <f ca="1">Taal04!B36</f>
        <v>suggesties niet weergeven</v>
      </c>
      <c r="U11" s="96"/>
      <c r="V11" s="96"/>
      <c r="W11" s="96"/>
      <c r="X11" s="260" t="str">
        <f>"wedstrijd "&amp;RIGHT(X10,2)*1+3</f>
        <v>wedstrijd 44</v>
      </c>
      <c r="Y11" s="112" t="str">
        <f>IF(AND(Z26&lt;&gt;1,Z27="GOED"),LOOKUP(Z26,S31:S34,V31:V34),"")</f>
        <v/>
      </c>
      <c r="Z11" s="112" t="str">
        <f>IF(AND(Z38&lt;&gt;1,Z39="GOED"),LOOKUP(Z38,S41:S44,V41:V44),"")</f>
        <v/>
      </c>
      <c r="AA11" s="337"/>
      <c r="AB11" s="339" t="e">
        <f>#REF!</f>
        <v>#REF!</v>
      </c>
      <c r="AC11" s="337">
        <f>IF(TYPE(AB11)=2,1,0)</f>
        <v>0</v>
      </c>
      <c r="AD11" s="1198" t="s">
        <v>71</v>
      </c>
      <c r="AE11" s="435"/>
      <c r="AF11" s="1198" t="s">
        <v>99</v>
      </c>
      <c r="AG11" s="1198" t="s">
        <v>230</v>
      </c>
      <c r="AH11" s="1198" t="s">
        <v>231</v>
      </c>
      <c r="AI11" s="1198" t="s">
        <v>233</v>
      </c>
      <c r="AJ11" s="1197" t="s">
        <v>234</v>
      </c>
      <c r="AL11" s="1203"/>
      <c r="AM11" s="1204"/>
      <c r="AN11" s="1205"/>
      <c r="AO11" s="1187"/>
      <c r="AP11" s="1187"/>
      <c r="AQ11" s="1187"/>
    </row>
    <row r="12" spans="1:43" ht="15" customHeight="1" x14ac:dyDescent="0.3">
      <c r="B12" s="49"/>
      <c r="C12" s="210"/>
      <c r="D12" s="72"/>
      <c r="E12" s="72"/>
      <c r="F12" s="72"/>
      <c r="G12" s="245"/>
      <c r="H12" s="245"/>
      <c r="I12" s="245"/>
      <c r="J12" s="245"/>
      <c r="K12" s="245"/>
      <c r="L12" s="245"/>
      <c r="M12" s="245"/>
      <c r="N12" s="245"/>
      <c r="O12" s="245"/>
      <c r="P12" s="245"/>
      <c r="Q12" s="11"/>
      <c r="R12" s="49"/>
      <c r="S12" s="724">
        <f ca="1">IF(COUNTIF(Taal04!34:34,D9)&gt;0,1,IF(COUNTIF(Taal04!35:35,D9)&gt;0,2,3))</f>
        <v>3</v>
      </c>
      <c r="T12" s="96" t="s">
        <v>179</v>
      </c>
      <c r="U12" s="96"/>
      <c r="V12" s="96"/>
      <c r="W12" s="96"/>
      <c r="X12" s="260" t="str">
        <f>"wedstrijd "&amp;RIGHT(X11,2)*1-1</f>
        <v>wedstrijd 43</v>
      </c>
      <c r="Y12" s="112" t="str">
        <f>IF(AND(Y36&lt;&gt;1,Y37="GOED"),LOOKUP(Y36,S36:S39,V36:V39),"")</f>
        <v/>
      </c>
      <c r="Z12" s="112" t="str">
        <f>IF(AND(Y20&lt;&gt;1,Y21="GOED"),LOOKUP(Y20,S16:S19,V16:V19),"")&amp;IF(AND(Z20&lt;&gt;1,Z21="GOED"),LOOKUP(Z20,S21:S24,V21:V24),"")&amp;IF(AND(Y30&lt;&gt;1,Y31="GOED"),LOOKUP(Y30,S26:S29,V26:V29),"")&amp;IF(AND(Z30&lt;&gt;1,Z31="GOED"),LOOKUP(Z30,S31:S34,V31:V34),"")</f>
        <v/>
      </c>
      <c r="AA12" s="337"/>
      <c r="AB12" s="337"/>
      <c r="AC12" s="337"/>
      <c r="AD12" s="1198"/>
      <c r="AE12" s="435"/>
      <c r="AF12" s="1198"/>
      <c r="AG12" s="1198"/>
      <c r="AH12" s="1198"/>
      <c r="AI12" s="1198"/>
      <c r="AJ12" s="1197"/>
      <c r="AL12" s="1203"/>
      <c r="AM12" s="1204"/>
      <c r="AN12" s="1205"/>
      <c r="AO12" s="1187"/>
      <c r="AP12" s="1187"/>
      <c r="AQ12" s="1187"/>
    </row>
    <row r="13" spans="1:43" ht="15" customHeight="1" x14ac:dyDescent="0.3">
      <c r="B13" s="49"/>
      <c r="C13" s="210"/>
      <c r="D13" s="246" t="str">
        <f ca="1">Taal04!B55</f>
        <v>Elk land mag maar één keer ingevuld worden bij het voorspellen van de eindstand in de groep.</v>
      </c>
      <c r="E13" s="72"/>
      <c r="F13" s="72"/>
      <c r="G13" s="245"/>
      <c r="H13" s="245"/>
      <c r="I13" s="245"/>
      <c r="J13" s="245"/>
      <c r="K13" s="245"/>
      <c r="L13" s="245"/>
      <c r="M13" s="245"/>
      <c r="N13" s="245"/>
      <c r="O13" s="245"/>
      <c r="P13" s="245"/>
      <c r="Q13" s="11"/>
      <c r="R13" s="49"/>
      <c r="S13" s="112"/>
      <c r="T13" s="112"/>
      <c r="U13" s="112"/>
      <c r="V13" s="112"/>
      <c r="W13" s="112"/>
      <c r="X13" s="112"/>
      <c r="Y13" s="112"/>
      <c r="Z13" s="112"/>
      <c r="AA13" s="337"/>
      <c r="AB13" s="337"/>
      <c r="AC13" s="337"/>
      <c r="AD13" s="1198"/>
      <c r="AE13" s="435"/>
      <c r="AF13" s="1198"/>
      <c r="AG13" s="1198"/>
      <c r="AH13" s="1198"/>
      <c r="AI13" s="1198"/>
      <c r="AJ13" s="1197"/>
      <c r="AL13" s="1203"/>
      <c r="AM13" s="1204"/>
      <c r="AN13" s="1205"/>
      <c r="AO13" s="1187"/>
      <c r="AP13" s="1187"/>
      <c r="AQ13" s="1187"/>
    </row>
    <row r="14" spans="1:43" ht="15" customHeight="1" x14ac:dyDescent="0.3">
      <c r="B14" s="49"/>
      <c r="C14" s="210"/>
      <c r="D14" s="1189" t="str">
        <f ca="1">Taal04!$B$26&amp;" A"</f>
        <v>Groep A</v>
      </c>
      <c r="E14" s="1189"/>
      <c r="F14" s="72"/>
      <c r="G14" s="239"/>
      <c r="H14" s="239"/>
      <c r="I14" s="239"/>
      <c r="J14" s="239"/>
      <c r="K14" s="1189" t="str">
        <f ca="1">Taal04!$B$26&amp;" B"</f>
        <v>Groep B</v>
      </c>
      <c r="L14" s="1189"/>
      <c r="M14" s="239"/>
      <c r="N14" s="239"/>
      <c r="O14" s="239"/>
      <c r="P14" s="239"/>
      <c r="Q14" s="11"/>
      <c r="R14" s="49"/>
      <c r="S14" s="176"/>
      <c r="T14" s="176"/>
      <c r="U14" s="176"/>
      <c r="V14" s="176"/>
      <c r="W14" s="176"/>
      <c r="X14" s="176"/>
      <c r="Y14" s="257"/>
      <c r="Z14" s="257"/>
      <c r="AA14" s="333"/>
      <c r="AB14" s="335" t="s">
        <v>275</v>
      </c>
      <c r="AC14" s="334" t="s">
        <v>235</v>
      </c>
      <c r="AD14" s="1198"/>
      <c r="AE14" s="435"/>
      <c r="AF14" s="1198"/>
      <c r="AG14" s="1198"/>
      <c r="AH14" s="1198"/>
      <c r="AI14" s="1198"/>
      <c r="AJ14" s="1197"/>
      <c r="AL14" s="1206"/>
      <c r="AM14" s="1207"/>
      <c r="AN14" s="1208"/>
      <c r="AO14" s="1188"/>
      <c r="AP14" s="1188"/>
      <c r="AQ14" s="1188"/>
    </row>
    <row r="15" spans="1:43" ht="15" customHeight="1" x14ac:dyDescent="0.3">
      <c r="B15" s="49"/>
      <c r="C15" s="210"/>
      <c r="D15" s="1190"/>
      <c r="E15" s="1190"/>
      <c r="F15" s="72"/>
      <c r="G15" s="72"/>
      <c r="H15" s="72"/>
      <c r="I15" s="72"/>
      <c r="J15" s="72"/>
      <c r="K15" s="1190"/>
      <c r="L15" s="1190"/>
      <c r="M15" s="72"/>
      <c r="N15" s="72"/>
      <c r="O15" s="72"/>
      <c r="P15" s="72"/>
      <c r="Q15" s="11"/>
      <c r="R15" s="49"/>
      <c r="S15" s="135">
        <v>1</v>
      </c>
      <c r="T15" s="162"/>
      <c r="U15" s="164"/>
      <c r="V15" s="366" t="str">
        <f ca="1">RIGHT(D14,1)</f>
        <v>A</v>
      </c>
      <c r="W15" s="719"/>
      <c r="X15" s="259" t="str">
        <f ca="1">"Deelnamecode "&amp;V15&amp;"/"&amp;V20</f>
        <v>Deelnamecode A/B</v>
      </c>
      <c r="Y15" s="196" t="str">
        <f>IF(AND(TYPE(Y16)=1,TYPE(Y18)=1,TYPE(Y20)=1,TYPE(Y22)=1),IF(AND(Y17="GOED",Y19="GOED",Y21="GOED",Y23="GOED"),LOOKUP(Y16,S16:S19,U16:U19)&amp;"."&amp;LOOKUP(Y18,S16:S19,U16:U19)&amp;"."&amp;LOOKUP(Y20,S16:S19,U16:U19)&amp;"."&amp;LOOKUP(Y22,S16:S19,U16:U19)&amp;"|","FOUT"),"ONGELDIG")</f>
        <v>FOUT</v>
      </c>
      <c r="Z15" s="196" t="str">
        <f>IF(AND(TYPE(Z16)=1,TYPE(Z18)=1,TYPE(Z20)=1,TYPE(Z22)=1),IF(AND(Z17="GOED",Z19="GOED",Z21="GOED",Z23="GOED"),LOOKUP(Z16,S21:S24,U21:U24)&amp;"."&amp;LOOKUP(Z18,S21:S24,U21:U24)&amp;"."&amp;LOOKUP(Z20,S21:S24,U21:U24)&amp;"."&amp;LOOKUP(Z22,S21:S24,U21:U24)&amp;"|","FOUT"),"ONGELDIG")</f>
        <v>FOUT</v>
      </c>
      <c r="AA15" s="333"/>
      <c r="AB15" s="335" t="str">
        <f ca="1">UPPER(Taal04!$B$26)&amp;" "&amp;V15</f>
        <v>GROEP A</v>
      </c>
      <c r="AC15" s="334" t="str">
        <f ca="1">AB15</f>
        <v>GROEP A</v>
      </c>
      <c r="AD15" s="175"/>
      <c r="AE15" s="248" t="str">
        <f ca="1">AB15</f>
        <v>GROEP A</v>
      </c>
      <c r="AF15" s="175"/>
      <c r="AG15" s="175"/>
      <c r="AH15" s="175"/>
      <c r="AI15" s="283"/>
      <c r="AJ15" s="288"/>
      <c r="AM15" s="734"/>
    </row>
    <row r="16" spans="1:43" s="209" customFormat="1" ht="15" customHeight="1" x14ac:dyDescent="0.3">
      <c r="B16" s="79"/>
      <c r="C16" s="9"/>
      <c r="D16" s="425" t="s">
        <v>214</v>
      </c>
      <c r="E16" s="1013"/>
      <c r="F16" s="718" t="str">
        <f>IF(Y17="LEEG","▼","")</f>
        <v>▼</v>
      </c>
      <c r="G16" s="72"/>
      <c r="H16" s="231"/>
      <c r="I16" s="231"/>
      <c r="J16" s="72"/>
      <c r="K16" s="425" t="s">
        <v>214</v>
      </c>
      <c r="L16" s="1014"/>
      <c r="M16" s="718" t="str">
        <f>IF(Z17="LEEG","▼","")</f>
        <v>▼</v>
      </c>
      <c r="N16" s="72"/>
      <c r="O16" s="231"/>
      <c r="P16" s="231"/>
      <c r="Q16" s="11"/>
      <c r="R16" s="79"/>
      <c r="S16" s="135">
        <f>S15+1</f>
        <v>2</v>
      </c>
      <c r="T16" s="109" t="str">
        <f ca="1">VLOOKUP(V16,Voorblad!$X$67:$Z$98,2,FALSE)</f>
        <v>Turkije</v>
      </c>
      <c r="U16" s="18" t="str">
        <f ca="1">VLOOKUP(V16,Voorblad!$X$67:$Z$98,3,FALSE)</f>
        <v>TR</v>
      </c>
      <c r="V16" s="370" t="str">
        <f ca="1">V15&amp;1</f>
        <v>A1</v>
      </c>
      <c r="W16" s="720" t="str">
        <f>"|"&amp;Taal02!C7&amp;"|"&amp;Taal02!D7&amp;"|"&amp;Taal02!E7&amp;"|"&amp;Taal02!F7&amp;"|"&amp;Taal02!G7&amp;"|"&amp;Taal02!H7&amp;"|"&amp;Taal02!I7&amp;"|"&amp;Taal02!J7&amp;"|"</f>
        <v>|Turkije|Turkey|||||||</v>
      </c>
      <c r="X16" s="259" t="s">
        <v>218</v>
      </c>
      <c r="Y16" s="176">
        <f>IF(ISBLANK(E16),1,IF(SUBSTITUTE(W16,E16,"#")&lt;&gt;W16,2,IF(SUBSTITUTE(W17,E16,"#")&lt;&gt;W17,3,IF(SUBSTITUTE(W18,E16,"#")&lt;&gt;W18,4,IF(SUBSTITUTE(W19,E16,"#")&lt;&gt;W19,5,6)))))</f>
        <v>1</v>
      </c>
      <c r="Z16" s="176">
        <f>IF(ISBLANK(L16),1,IF(SUBSTITUTE(W21,L16,"#")&lt;&gt;W21,2,IF(SUBSTITUTE(W22,L16,"#")&lt;&gt;W22,3,IF(SUBSTITUTE(W23,L16,"#")&lt;&gt;W23,4,IF(SUBSTITUTE(W24,L16,"#")&lt;&gt;W24,5,6)))))</f>
        <v>1</v>
      </c>
      <c r="AA16" s="334" t="str">
        <f ca="1">RIGHT(V16,1)</f>
        <v>1</v>
      </c>
      <c r="AB16" s="336" t="str">
        <f>Groepswedstrijden!Z76</f>
        <v/>
      </c>
      <c r="AC16" s="333" t="e">
        <f>#REF!</f>
        <v>#REF!</v>
      </c>
      <c r="AD16" s="175">
        <f ca="1">IF($AC$7=1,VLOOKUP($V16,Groepswedstrijden!$AH$12:$BA$78,20,FALSE),IF($AC$11=1,VLOOKUP($V16,#REF!,20,FALSE),""))</f>
        <v>3</v>
      </c>
      <c r="AE16" s="247" t="str">
        <f ca="1">IF($AC$7=1,VLOOKUP($V16,Groepswedstrijden!$AH$12:$BA$78,3,FALSE),IF($AC$11=1,VLOOKUP($V16,#REF!,3,FALSE),""))</f>
        <v>Turkije</v>
      </c>
      <c r="AF16" s="175">
        <f ca="1">IF($AC$7=1,VLOOKUP($V16,Groepswedstrijden!$AH$12:$BA$78,9,FALSE),IF($AC$11=1,VLOOKUP($V16,#REF!,9,FALSE),""))</f>
        <v>0</v>
      </c>
      <c r="AG16" s="175">
        <f ca="1">IF($AC$7=1,VLOOKUP($V16,Groepswedstrijden!$AH$12:$BA$78,10,FALSE),IF($AC$11=1,VLOOKUP($V16,#REF!,10,FALSE),""))</f>
        <v>0</v>
      </c>
      <c r="AH16" s="175">
        <f ca="1">IF($AC$7=1,VLOOKUP($V16,Groepswedstrijden!$AH$12:$BA$78,11,FALSE),IF($AC$11=1,VLOOKUP($V16,#REF!,11,FALSE),""))</f>
        <v>0</v>
      </c>
      <c r="AI16" s="284">
        <f ca="1">IF($AC$7=1,VLOOKUP($V16,Groepswedstrijden!$AH$12:$BA$78,19,FALSE),IF($AC$11=1,VLOOKUP($V16,#REF!,19,FALSE),""))</f>
        <v>350000500002</v>
      </c>
      <c r="AJ16" s="289">
        <f ca="1">FLOOR(IF($AD16=1,AI16,IF($AD17=1,AI17,IF($AD18=1,AI18,AI19)))/10,1)</f>
        <v>35000050000</v>
      </c>
      <c r="AL16" s="1191" t="str">
        <f ca="1">AE15</f>
        <v>GROEP A</v>
      </c>
      <c r="AM16" s="426" t="s">
        <v>65</v>
      </c>
      <c r="AN16" s="427" t="str">
        <f ca="1">IF($AD16=1,AE16,IF($AD17=1,AE17,IF($AD18=1,AE18,AE19)))</f>
        <v>Zwitserland</v>
      </c>
      <c r="AO16" s="428">
        <f ca="1">IF($AD16=1,AF16,IF($AD17=1,AF17,IF($AD18=1,AF18,AF19)))</f>
        <v>0</v>
      </c>
      <c r="AP16" s="428">
        <f ca="1">IF($AD16=1,AG16,IF($AD17=1,AG17,IF($AD18=1,AG18,AG19)))</f>
        <v>0</v>
      </c>
      <c r="AQ16" s="428">
        <f ca="1">IF($AD16=1,AH16,IF($AD17=1,AH17,IF($AD18=1,AH18,AH19)))</f>
        <v>0</v>
      </c>
    </row>
    <row r="17" spans="2:43" s="209" customFormat="1" ht="20.100000000000001" customHeight="1" x14ac:dyDescent="0.3">
      <c r="B17" s="79"/>
      <c r="C17" s="9"/>
      <c r="D17" s="1185" t="str">
        <f ca="1">IF($S$12=1,IF($AC$7=1,AB16,IF($AC$11=1,AC16,"")),IF(AND($S$12=2,OR($Y$17="LEEG",$Y$17="ONGELDIG")),IF($AC$7=1,AB16,IF($AC$11=1,AC16,"")),""))</f>
        <v/>
      </c>
      <c r="E17" s="1185"/>
      <c r="F17" s="1185"/>
      <c r="G17" s="1185"/>
      <c r="H17" s="1185"/>
      <c r="I17" s="1185"/>
      <c r="J17" s="72"/>
      <c r="K17" s="1185" t="str">
        <f ca="1">IF($S$12=1,IF($AC$7=1,AB21,IF($AC$11=1,AC21,"")),IF(AND($S$12=2,OR($Z$17="LEEG",$Z$17="ONGELDIG")),IF($AC$7=1,AB21,IF($AC$11=1,AC21,"")),""))</f>
        <v/>
      </c>
      <c r="L17" s="1185"/>
      <c r="M17" s="1185"/>
      <c r="N17" s="1185"/>
      <c r="O17" s="1185"/>
      <c r="P17" s="1185"/>
      <c r="Q17" s="11"/>
      <c r="R17" s="79"/>
      <c r="S17" s="135">
        <f>S16+1</f>
        <v>3</v>
      </c>
      <c r="T17" s="109" t="str">
        <f ca="1">VLOOKUP(V17,Voorblad!$X$67:$Z$98,2,FALSE)</f>
        <v>Italië</v>
      </c>
      <c r="U17" s="18" t="str">
        <f ca="1">VLOOKUP(V17,Voorblad!$X$67:$Z$98,3,FALSE)</f>
        <v>IT</v>
      </c>
      <c r="V17" s="370" t="str">
        <f ca="1">V15&amp;2</f>
        <v>A2</v>
      </c>
      <c r="W17" s="720" t="str">
        <f>"|"&amp;Taal02!C8&amp;"|"&amp;Taal02!D8&amp;"|"&amp;Taal02!E8&amp;"|"&amp;Taal02!F8&amp;"|"&amp;Taal02!G8&amp;"|"&amp;Taal02!H8&amp;"|"&amp;Taal02!I8&amp;"|"&amp;Taal02!J8&amp;"|"</f>
        <v>|Italië|Italy|||||||</v>
      </c>
      <c r="X17" s="259" t="s">
        <v>219</v>
      </c>
      <c r="Y17" s="176" t="str">
        <f>IF(Y16=1, "LEEG",IF(AND(Y16&gt;1,Y16&lt;6,TYPE(Y16+Y18+Y20+Y22)=1),IF(OR(Y16=Y18,Y16=Y20,Y16=Y22),"DUBBEL","GOED"),"ONGELDIG"))</f>
        <v>LEEG</v>
      </c>
      <c r="Z17" s="176" t="str">
        <f>IF(Z16=1, "LEEG",IF(AND(Z16&gt;1,Z16&lt;6,TYPE(Z16+Z18+Z20+Z22)=1),IF(OR(Z16=Z18,Z16=Z20,Z16=Z22),"DUBBEL","GOED"),"ONGELDIG"))</f>
        <v>LEEG</v>
      </c>
      <c r="AA17" s="334" t="str">
        <f ca="1">RIGHT(V17,1)</f>
        <v>2</v>
      </c>
      <c r="AB17" s="336" t="str">
        <f>Groepswedstrijden!Z77</f>
        <v/>
      </c>
      <c r="AC17" s="333" t="e">
        <f>#REF!</f>
        <v>#REF!</v>
      </c>
      <c r="AD17" s="175">
        <f ca="1">IF($AC$7=1,VLOOKUP($V17,Groepswedstrijden!$AH$12:$BA$78,20,FALSE),IF($AC$11=1,VLOOKUP($V17,#REF!,20,FALSE),""))</f>
        <v>4</v>
      </c>
      <c r="AE17" s="247" t="str">
        <f ca="1">IF($AC$7=1,VLOOKUP($V17,Groepswedstrijden!$AH$12:$BA$78,3,FALSE),IF($AC$11=1,VLOOKUP($V17,#REF!,3,FALSE),""))</f>
        <v>Italië</v>
      </c>
      <c r="AF17" s="175">
        <f ca="1">IF($AC$7=1,VLOOKUP($V17,Groepswedstrijden!$AH$12:$BA$78,9,FALSE),IF($AC$11=1,VLOOKUP($V17,#REF!,9,FALSE),""))</f>
        <v>0</v>
      </c>
      <c r="AG17" s="175">
        <f ca="1">IF($AC$7=1,VLOOKUP($V17,Groepswedstrijden!$AH$12:$BA$78,10,FALSE),IF($AC$11=1,VLOOKUP($V17,#REF!,10,FALSE),""))</f>
        <v>0</v>
      </c>
      <c r="AH17" s="175">
        <f ca="1">IF($AC$7=1,VLOOKUP($V17,Groepswedstrijden!$AH$12:$BA$78,11,FALSE),IF($AC$11=1,VLOOKUP($V17,#REF!,11,FALSE),""))</f>
        <v>0</v>
      </c>
      <c r="AI17" s="284">
        <f ca="1">IF($AC$7=1,VLOOKUP($V17,Groepswedstrijden!$AH$12:$BA$78,19,FALSE),IF($AC$11=1,VLOOKUP($V17,#REF!,19,FALSE),""))</f>
        <v>350000500001</v>
      </c>
      <c r="AJ17" s="289">
        <f ca="1">FLOOR(IF($AD16=2,AI16,IF($AD17=2,AI17,IF($AD18=2,AI18,AI19)))/10,1)</f>
        <v>35000050000</v>
      </c>
      <c r="AL17" s="1192"/>
      <c r="AM17" s="429" t="str">
        <f ca="1">IF(AJ17=AJ16,"","2.")</f>
        <v/>
      </c>
      <c r="AN17" s="430" t="str">
        <f ca="1">IF($AD16=2,AE16,IF($AD17=2,AE17,IF($AD18=2,AE18,AE19)))</f>
        <v>Wales</v>
      </c>
      <c r="AO17" s="431">
        <f ca="1">IF($AD16=2,AF16,IF($AD17=2,AF17,IF($AD18=2,AF18,AF19)))</f>
        <v>0</v>
      </c>
      <c r="AP17" s="431">
        <f ca="1">IF($AD16=2,AG16,IF($AD17=2,AG17,IF($AD18=2,AG18,AG19)))</f>
        <v>0</v>
      </c>
      <c r="AQ17" s="431">
        <f ca="1">IF($AD16=2,AH16,IF($AD17=2,AH17,IF($AD18=2,AH18,AH19)))</f>
        <v>0</v>
      </c>
    </row>
    <row r="18" spans="2:43" s="209" customFormat="1" ht="15" customHeight="1" x14ac:dyDescent="0.3">
      <c r="B18" s="79"/>
      <c r="C18" s="9"/>
      <c r="D18" s="425" t="s">
        <v>215</v>
      </c>
      <c r="E18" s="1013"/>
      <c r="F18" s="718" t="str">
        <f>IF(Y19="LEEG","▼","")</f>
        <v>▼</v>
      </c>
      <c r="G18" s="72"/>
      <c r="H18" s="72"/>
      <c r="I18" s="72"/>
      <c r="J18" s="72"/>
      <c r="K18" s="425" t="s">
        <v>215</v>
      </c>
      <c r="L18" s="1014"/>
      <c r="M18" s="718" t="str">
        <f>IF(Z19="LEEG","▼","")</f>
        <v>▼</v>
      </c>
      <c r="N18" s="72"/>
      <c r="O18" s="72"/>
      <c r="P18" s="72"/>
      <c r="Q18" s="11"/>
      <c r="R18" s="79"/>
      <c r="S18" s="135">
        <f>S17+1</f>
        <v>4</v>
      </c>
      <c r="T18" s="109" t="str">
        <f ca="1">VLOOKUP(V18,Voorblad!$X$67:$Z$98,2,FALSE)</f>
        <v>Wales</v>
      </c>
      <c r="U18" s="18" t="str">
        <f ca="1">VLOOKUP(V18,Voorblad!$X$67:$Z$98,3,FALSE)</f>
        <v>WA</v>
      </c>
      <c r="V18" s="370" t="str">
        <f ca="1">V15&amp;3</f>
        <v>A3</v>
      </c>
      <c r="W18" s="720" t="str">
        <f>"|"&amp;Taal02!C9&amp;"|"&amp;Taal02!D9&amp;"|"&amp;Taal02!E9&amp;"|"&amp;Taal02!F9&amp;"|"&amp;Taal02!G9&amp;"|"&amp;Taal02!H9&amp;"|"&amp;Taal02!I9&amp;"|"&amp;Taal02!J9&amp;"|"</f>
        <v>|Wales|Wales|||||||</v>
      </c>
      <c r="X18" s="259" t="s">
        <v>220</v>
      </c>
      <c r="Y18" s="176">
        <f>IF(ISBLANK(E18),1,IF(SUBSTITUTE(W16,E18,"#")&lt;&gt;W16,2,IF(SUBSTITUTE(W17,E18,"#")&lt;&gt;W17,3,IF(SUBSTITUTE(W18,E18,"#")&lt;&gt;W18,4,IF(SUBSTITUTE(W19,E18,"#")&lt;&gt;W19,5,6)))))</f>
        <v>1</v>
      </c>
      <c r="Z18" s="176">
        <f>IF(ISBLANK(L18),1,IF(SUBSTITUTE(W21,L18,"#")&lt;&gt;W21,2,IF(SUBSTITUTE(W22,L18,"#")&lt;&gt;W22,3,IF(SUBSTITUTE(W23,L18,"#")&lt;&gt;W23,4,IF(SUBSTITUTE(W24,L18,"#")&lt;&gt;W24,5,6)))))</f>
        <v>1</v>
      </c>
      <c r="AA18" s="334" t="str">
        <f ca="1">RIGHT(V18,1)</f>
        <v>3</v>
      </c>
      <c r="AB18" s="336" t="str">
        <f>Groepswedstrijden!Z78</f>
        <v/>
      </c>
      <c r="AC18" s="333" t="e">
        <f>#REF!</f>
        <v>#REF!</v>
      </c>
      <c r="AD18" s="175">
        <f ca="1">IF($AC$7=1,VLOOKUP($V18,Groepswedstrijden!$AH$12:$BA$78,20,FALSE),IF($AC$11=1,VLOOKUP($V18,#REF!,20,FALSE),""))</f>
        <v>2</v>
      </c>
      <c r="AE18" s="247" t="str">
        <f ca="1">IF($AC$7=1,VLOOKUP($V18,Groepswedstrijden!$AH$12:$BA$78,3,FALSE),IF($AC$11=1,VLOOKUP($V18,#REF!,3,FALSE),""))</f>
        <v>Wales</v>
      </c>
      <c r="AF18" s="175">
        <f ca="1">IF($AC$7=1,VLOOKUP($V18,Groepswedstrijden!$AH$12:$BA$78,9,FALSE),IF($AC$11=1,VLOOKUP($V18,#REF!,9,FALSE),""))</f>
        <v>0</v>
      </c>
      <c r="AG18" s="175">
        <f ca="1">IF($AC$7=1,VLOOKUP($V18,Groepswedstrijden!$AH$12:$BA$78,10,FALSE),IF($AC$11=1,VLOOKUP($V18,#REF!,10,FALSE),""))</f>
        <v>0</v>
      </c>
      <c r="AH18" s="175">
        <f ca="1">IF($AC$7=1,VLOOKUP($V18,Groepswedstrijden!$AH$12:$BA$78,11,FALSE),IF($AC$11=1,VLOOKUP($V18,#REF!,11,FALSE),""))</f>
        <v>0</v>
      </c>
      <c r="AI18" s="284">
        <f ca="1">IF($AC$7=1,VLOOKUP($V18,Groepswedstrijden!$AH$12:$BA$78,19,FALSE),IF($AC$11=1,VLOOKUP($V18,#REF!,19,FALSE),""))</f>
        <v>350000500003</v>
      </c>
      <c r="AJ18" s="289">
        <f ca="1">FLOOR(IF($AD16=3,AI16,IF($AD17=3,AI17,IF($AD18=3,AI18,AI19)))/10,1)</f>
        <v>35000050000</v>
      </c>
      <c r="AL18" s="1192"/>
      <c r="AM18" s="429" t="str">
        <f ca="1">IF(AJ18=AJ17,"","3.")</f>
        <v/>
      </c>
      <c r="AN18" s="430" t="str">
        <f ca="1">IF($AD16=3,AE16,IF($AD17=3,AE17,IF($AD18=3,AE18,AE19)))</f>
        <v>Turkije</v>
      </c>
      <c r="AO18" s="431">
        <f ca="1">IF($AD16=3,AF16,IF($AD17=3,AF17,IF($AD18=3,AF18,AF19)))</f>
        <v>0</v>
      </c>
      <c r="AP18" s="431">
        <f ca="1">IF($AD16=3,AG16,IF($AD17=3,AG17,IF($AD18=3,AG18,AG19)))</f>
        <v>0</v>
      </c>
      <c r="AQ18" s="431">
        <f ca="1">IF($AD16=3,AH16,IF($AD17=3,AH17,IF($AD18=3,AH18,AH19)))</f>
        <v>0</v>
      </c>
    </row>
    <row r="19" spans="2:43" s="209" customFormat="1" ht="20.100000000000001" customHeight="1" x14ac:dyDescent="0.3">
      <c r="B19" s="79"/>
      <c r="C19" s="9"/>
      <c r="D19" s="1185" t="str">
        <f ca="1">IF($S$12=1,IF($AC$7=1,AB17,IF($AC$11=1,AC17,"")),IF(AND($S$12=2,OR($Y$19="LEEG",$Y$19="ONGELDIG")),IF($AC$7=1,AB17,IF($AC$11=1,AC17,"")),""))</f>
        <v/>
      </c>
      <c r="E19" s="1185"/>
      <c r="F19" s="1185"/>
      <c r="G19" s="1185"/>
      <c r="H19" s="1185"/>
      <c r="I19" s="1185"/>
      <c r="J19" s="72"/>
      <c r="K19" s="1185" t="str">
        <f ca="1">IF($S$12=1,IF($AC$7=1,AB22,IF($AC$11=1,AC22,"")),IF(AND($S$12=2,OR($Z$19="LEEG",$Z$19="ONGELDIG")),IF($AC$7=1,AB22,IF($AC$11=1,AC22,"")),""))</f>
        <v/>
      </c>
      <c r="L19" s="1185"/>
      <c r="M19" s="1185"/>
      <c r="N19" s="1185"/>
      <c r="O19" s="1185"/>
      <c r="P19" s="1185"/>
      <c r="Q19" s="11"/>
      <c r="R19" s="79"/>
      <c r="S19" s="135">
        <f>S18+1</f>
        <v>5</v>
      </c>
      <c r="T19" s="163" t="str">
        <f ca="1">VLOOKUP(V19,Voorblad!$X$67:$Z$98,2,FALSE)</f>
        <v>Zwitserland</v>
      </c>
      <c r="U19" s="65" t="str">
        <f ca="1">VLOOKUP(V19,Voorblad!$X$67:$Z$98,3,FALSE)</f>
        <v>CH</v>
      </c>
      <c r="V19" s="373" t="str">
        <f ca="1">V15&amp;4</f>
        <v>A4</v>
      </c>
      <c r="W19" s="720" t="str">
        <f>"|"&amp;Taal02!C10&amp;"|"&amp;Taal02!D10&amp;"|"&amp;Taal02!E10&amp;"|"&amp;Taal02!F10&amp;"|"&amp;Taal02!G10&amp;"|"&amp;Taal02!H10&amp;"|"&amp;Taal02!I10&amp;"|"&amp;Taal02!J10&amp;"|"</f>
        <v>|Zwitserland|Switzerland|||||||</v>
      </c>
      <c r="X19" s="259" t="s">
        <v>221</v>
      </c>
      <c r="Y19" s="176" t="str">
        <f>IF(Y18=1, "LEEG",IF(AND(Y18&gt;1,Y18&lt;6,TYPE(Y16+Y18+Y20+Y22)=1),IF(OR(Y18=Y16,Y18=Y20,Y18=Y22),"DUBBEL","GOED"),"ONGELDIG"))</f>
        <v>LEEG</v>
      </c>
      <c r="Z19" s="176" t="str">
        <f>IF(Z18=1, "LEEG",IF(AND(Z18&gt;1,Z18&lt;6,TYPE(Z16+Z18+Z20+Z22)=1),IF(OR(Z18=Z16,Z18=Z20,Z18=Z22),"DUBBEL","GOED"),"ONGELDIG"))</f>
        <v>LEEG</v>
      </c>
      <c r="AA19" s="334" t="str">
        <f ca="1">RIGHT(V19,1)</f>
        <v>4</v>
      </c>
      <c r="AB19" s="336" t="str">
        <f>Groepswedstrijden!Z79</f>
        <v/>
      </c>
      <c r="AC19" s="333" t="e">
        <f>#REF!</f>
        <v>#REF!</v>
      </c>
      <c r="AD19" s="175">
        <f ca="1">IF($AC$7=1,VLOOKUP($V19,Groepswedstrijden!$AH$12:$BA$78,20,FALSE),IF($AC$11=1,VLOOKUP($V19,#REF!,20,FALSE),""))</f>
        <v>1</v>
      </c>
      <c r="AE19" s="247" t="str">
        <f ca="1">IF($AC$7=1,VLOOKUP($V19,Groepswedstrijden!$AH$12:$BA$78,3,FALSE),IF($AC$11=1,VLOOKUP($V19,#REF!,3,FALSE),""))</f>
        <v>Zwitserland</v>
      </c>
      <c r="AF19" s="175">
        <f ca="1">IF($AC$7=1,VLOOKUP($V19,Groepswedstrijden!$AH$12:$BA$78,9,FALSE),IF($AC$11=1,VLOOKUP($V19,#REF!,9,FALSE),""))</f>
        <v>0</v>
      </c>
      <c r="AG19" s="175">
        <f ca="1">IF($AC$7=1,VLOOKUP($V19,Groepswedstrijden!$AH$12:$BA$78,10,FALSE),IF($AC$11=1,VLOOKUP($V19,#REF!,10,FALSE),""))</f>
        <v>0</v>
      </c>
      <c r="AH19" s="175">
        <f ca="1">IF($AC$7=1,VLOOKUP($V19,Groepswedstrijden!$AH$12:$BA$78,11,FALSE),IF($AC$11=1,VLOOKUP($V19,#REF!,11,FALSE),""))</f>
        <v>0</v>
      </c>
      <c r="AI19" s="284">
        <f ca="1">IF($AC$7=1,VLOOKUP($V19,Groepswedstrijden!$AH$12:$BA$78,19,FALSE),IF($AC$11=1,VLOOKUP($V19,#REF!,19,FALSE),""))</f>
        <v>350000500004</v>
      </c>
      <c r="AJ19" s="289">
        <f ca="1">FLOOR(IF($AD16=4,AI16,IF($AD17=4,AI17,IF($AD18=4,AI18,AI19)))/10,1)</f>
        <v>35000050000</v>
      </c>
      <c r="AL19" s="1193"/>
      <c r="AM19" s="432" t="str">
        <f ca="1">IF(AJ19=AJ18,"","4.")</f>
        <v/>
      </c>
      <c r="AN19" s="433" t="str">
        <f ca="1">IF($AD16=4,AE16,IF($AD17=4,AE17,IF($AD18=4,AE18,AE19)))</f>
        <v>Italië</v>
      </c>
      <c r="AO19" s="434">
        <f ca="1">IF($AD16=4,AF16,IF($AD17=4,AF17,IF($AD18=4,AF18,AF19)))</f>
        <v>0</v>
      </c>
      <c r="AP19" s="434">
        <f ca="1">IF($AD16=4,AG16,IF($AD17=4,AG17,IF($AD18=4,AG18,AG19)))</f>
        <v>0</v>
      </c>
      <c r="AQ19" s="434">
        <f ca="1">IF($AD16=4,AH16,IF($AD17=4,AH17,IF($AD18=4,AH18,AH19)))</f>
        <v>0</v>
      </c>
    </row>
    <row r="20" spans="2:43" ht="15" customHeight="1" x14ac:dyDescent="0.3">
      <c r="B20" s="79"/>
      <c r="C20" s="9"/>
      <c r="D20" s="425" t="s">
        <v>216</v>
      </c>
      <c r="E20" s="1013"/>
      <c r="F20" s="718" t="str">
        <f>IF(Y21="LEEG","▼","")</f>
        <v>▼</v>
      </c>
      <c r="G20" s="72"/>
      <c r="H20" s="72"/>
      <c r="I20" s="72"/>
      <c r="J20" s="72"/>
      <c r="K20" s="425" t="s">
        <v>216</v>
      </c>
      <c r="L20" s="1014"/>
      <c r="M20" s="718" t="str">
        <f>IF(Z21="LEEG","▼","")</f>
        <v>▼</v>
      </c>
      <c r="N20" s="72"/>
      <c r="O20" s="72"/>
      <c r="P20" s="72"/>
      <c r="Q20" s="11"/>
      <c r="R20" s="79"/>
      <c r="S20" s="135">
        <v>1</v>
      </c>
      <c r="T20" s="162"/>
      <c r="U20" s="62"/>
      <c r="V20" s="366" t="str">
        <f ca="1">RIGHT(K14,1)</f>
        <v>B</v>
      </c>
      <c r="W20" s="719"/>
      <c r="X20" s="259" t="s">
        <v>222</v>
      </c>
      <c r="Y20" s="176">
        <f>IF(ISBLANK(E20),1,IF(SUBSTITUTE(W16,E20,"#")&lt;&gt;W16,2,IF(SUBSTITUTE(W17,E20,"#")&lt;&gt;W17,3,IF(SUBSTITUTE(W18,E20,"#")&lt;&gt;W18,4,IF(SUBSTITUTE(W19,E20,"#")&lt;&gt;W19,5,6)))))</f>
        <v>1</v>
      </c>
      <c r="Z20" s="176">
        <f>IF(ISBLANK(L20),1,IF(SUBSTITUTE(W21,L20,"#")&lt;&gt;W21,2,IF(SUBSTITUTE(W22,L20,"#")&lt;&gt;W22,3,IF(SUBSTITUTE(W23,L20,"#")&lt;&gt;W23,4,IF(SUBSTITUTE(W24,L20,"#")&lt;&gt;W24,5,6)))))</f>
        <v>1</v>
      </c>
      <c r="AA20" s="333"/>
      <c r="AB20" s="335" t="str">
        <f ca="1">UPPER(Taal04!$B$26)&amp;" "&amp;V20</f>
        <v>GROEP B</v>
      </c>
      <c r="AC20" s="334" t="str">
        <f ca="1">AB20</f>
        <v>GROEP B</v>
      </c>
      <c r="AD20" s="175"/>
      <c r="AE20" s="248" t="str">
        <f ca="1">AB20</f>
        <v>GROEP B</v>
      </c>
      <c r="AF20" s="175"/>
      <c r="AG20" s="175"/>
      <c r="AH20" s="175"/>
      <c r="AI20" s="284"/>
      <c r="AJ20" s="288"/>
      <c r="AL20" s="735" t="str">
        <f ca="1">IF(AF6="JA","","└ "&amp;SUBSTITUTE(Taal04!B62,"#",RIGHT(AL16,1)))</f>
        <v>└ LET OP: niet alle wedstrijden in groep A zijn ingevuld.</v>
      </c>
      <c r="AM20" s="734"/>
      <c r="AP20" s="736"/>
      <c r="AQ20" s="736"/>
    </row>
    <row r="21" spans="2:43" ht="20.100000000000001" customHeight="1" x14ac:dyDescent="0.3">
      <c r="B21" s="79"/>
      <c r="C21" s="9"/>
      <c r="D21" s="1185" t="str">
        <f ca="1">IF($S$12=1,IF($AC$7=1,AB18,IF($AC$11=1,AC18,"")),IF(AND($S$12=2,OR($Y$21="LEEG",$Y$21="ONGELDIG")),IF($AC$7=1,AB18,IF($AC$11=1,AC18,"")),""))</f>
        <v/>
      </c>
      <c r="E21" s="1185"/>
      <c r="F21" s="1185"/>
      <c r="G21" s="1185"/>
      <c r="H21" s="1185"/>
      <c r="I21" s="1185"/>
      <c r="J21" s="72"/>
      <c r="K21" s="1185" t="str">
        <f ca="1">IF($S$12=1,IF($AC$7=1,AB23,IF($AC$11=1,AC23,"")),IF(AND($S$12=2,OR($Z$21="LEEG",$Z$21="ONGELDIG")),IF($AC$7=1,AB23,IF($AC$11=1,AC23,"")),""))</f>
        <v/>
      </c>
      <c r="L21" s="1185"/>
      <c r="M21" s="1185"/>
      <c r="N21" s="1185"/>
      <c r="O21" s="1185"/>
      <c r="P21" s="1185"/>
      <c r="Q21" s="11"/>
      <c r="R21" s="79"/>
      <c r="S21" s="135">
        <f>S20+1</f>
        <v>2</v>
      </c>
      <c r="T21" s="109" t="str">
        <f ca="1">VLOOKUP(V21,Voorblad!$X$67:$Z$98,2,FALSE)</f>
        <v>Denemarken</v>
      </c>
      <c r="U21" s="18" t="str">
        <f ca="1">VLOOKUP(V21,Voorblad!$X$67:$Z$98,3,FALSE)</f>
        <v>DK</v>
      </c>
      <c r="V21" s="370" t="str">
        <f ca="1">V20&amp;1</f>
        <v>B1</v>
      </c>
      <c r="W21" s="720" t="str">
        <f>"|"&amp;Taal02!C12&amp;"|"&amp;Taal02!D12&amp;"|"&amp;Taal02!E12&amp;"|"&amp;Taal02!F12&amp;"|"&amp;Taal02!G12&amp;"|"&amp;Taal02!H12&amp;"|"&amp;Taal02!I12&amp;"|"&amp;Taal02!J12&amp;"|"</f>
        <v>|Denemarken|Denmark|||||||</v>
      </c>
      <c r="X21" s="259" t="s">
        <v>223</v>
      </c>
      <c r="Y21" s="176" t="str">
        <f>IF(Y20=1, "LEEG",IF(AND(Y20&gt;1,Y20&lt;6,TYPE(Y16+Y18+Y20+Y22)=1),IF(OR(Y20=Y16,Y20=Y18,Y20=Y22),"DUBBEL","GOED"),"ONGELDIG"))</f>
        <v>LEEG</v>
      </c>
      <c r="Z21" s="176" t="str">
        <f>IF(Z20=1, "LEEG",IF(AND(Z20&gt;1,Z20&lt;6,TYPE(Z16+Z18+Z20+Z22)=1),IF(OR(Z20=Z16,Z20=Z18,Z20=Z22),"DUBBEL","GOED"),"ONGELDIG"))</f>
        <v>LEEG</v>
      </c>
      <c r="AA21" s="334" t="str">
        <f ca="1">RIGHT(V21,1)</f>
        <v>1</v>
      </c>
      <c r="AB21" s="336" t="str">
        <f>Groepswedstrijden!AA76</f>
        <v/>
      </c>
      <c r="AC21" s="333" t="e">
        <f>#REF!</f>
        <v>#REF!</v>
      </c>
      <c r="AD21" s="175">
        <f ca="1">IF($AC$7=1,VLOOKUP($V21,Groepswedstrijden!$AH$12:$BA$78,20,FALSE),IF($AC$11=1,VLOOKUP($V21,#REF!,20,FALSE),""))</f>
        <v>3</v>
      </c>
      <c r="AE21" s="247" t="str">
        <f ca="1">IF($AC$7=1,VLOOKUP($V21,Groepswedstrijden!$AH$12:$BA$78,3,FALSE),IF($AC$11=1,VLOOKUP($V21,#REF!,3,FALSE),""))</f>
        <v>Denemarken</v>
      </c>
      <c r="AF21" s="175">
        <f ca="1">IF($AC$7=1,VLOOKUP($V21,Groepswedstrijden!$AH$12:$BA$78,9,FALSE),IF($AC$11=1,VLOOKUP($V21,#REF!,9,FALSE),""))</f>
        <v>0</v>
      </c>
      <c r="AG21" s="175">
        <f ca="1">IF($AC$7=1,VLOOKUP($V21,Groepswedstrijden!$AH$12:$BA$78,10,FALSE),IF($AC$11=1,VLOOKUP($V21,#REF!,10,FALSE),""))</f>
        <v>0</v>
      </c>
      <c r="AH21" s="175">
        <f ca="1">IF($AC$7=1,VLOOKUP($V21,Groepswedstrijden!$AH$12:$BA$78,11,FALSE),IF($AC$11=1,VLOOKUP($V21,#REF!,11,FALSE),""))</f>
        <v>0</v>
      </c>
      <c r="AI21" s="284">
        <f ca="1">IF($AC$7=1,VLOOKUP($V21,Groepswedstrijden!$AH$12:$BA$78,19,FALSE),IF($AC$11=1,VLOOKUP($V21,#REF!,19,FALSE),""))</f>
        <v>350000500002</v>
      </c>
      <c r="AJ21" s="289">
        <f ca="1">FLOOR(IF($AD21=1,AI21,IF($AD22=1,AI22,IF($AD23=1,AI23,AI24)))/10,1)</f>
        <v>35000050000</v>
      </c>
      <c r="AL21" s="1191" t="str">
        <f ca="1">AE20</f>
        <v>GROEP B</v>
      </c>
      <c r="AM21" s="426" t="s">
        <v>65</v>
      </c>
      <c r="AN21" s="427" t="str">
        <f ca="1">IF($AD21=1,AE21,IF($AD22=1,AE22,IF($AD23=1,AE23,AE24)))</f>
        <v>Rusland</v>
      </c>
      <c r="AO21" s="428">
        <f ca="1">IF($AD21=1,AF21,IF($AD22=1,AF22,IF($AD23=1,AF23,AF24)))</f>
        <v>0</v>
      </c>
      <c r="AP21" s="428">
        <f ca="1">IF($AD21=1,AG21,IF($AD22=1,AG22,IF($AD23=1,AG23,AG24)))</f>
        <v>0</v>
      </c>
      <c r="AQ21" s="428">
        <f ca="1">IF($AD21=1,AH21,IF($AD22=1,AH22,IF($AD23=1,AH23,AH24)))</f>
        <v>0</v>
      </c>
    </row>
    <row r="22" spans="2:43" ht="15" customHeight="1" x14ac:dyDescent="0.3">
      <c r="B22" s="79"/>
      <c r="C22" s="9"/>
      <c r="D22" s="425" t="s">
        <v>217</v>
      </c>
      <c r="E22" s="1013"/>
      <c r="F22" s="718" t="str">
        <f>IF(Y23="LEEG","▼","")</f>
        <v>▼</v>
      </c>
      <c r="G22" s="72"/>
      <c r="H22" s="72"/>
      <c r="I22" s="72"/>
      <c r="J22" s="72"/>
      <c r="K22" s="425" t="s">
        <v>217</v>
      </c>
      <c r="L22" s="1014"/>
      <c r="M22" s="718" t="str">
        <f>IF(Z23="LEEG","▼","")</f>
        <v>▼</v>
      </c>
      <c r="N22" s="72"/>
      <c r="O22" s="72"/>
      <c r="P22" s="72"/>
      <c r="Q22" s="11"/>
      <c r="R22" s="79"/>
      <c r="S22" s="135">
        <f>S21+1</f>
        <v>3</v>
      </c>
      <c r="T22" s="109" t="str">
        <f ca="1">VLOOKUP(V22,Voorblad!$X$67:$Z$98,2,FALSE)</f>
        <v>Finland</v>
      </c>
      <c r="U22" s="18" t="str">
        <f ca="1">VLOOKUP(V22,Voorblad!$X$67:$Z$98,3,FALSE)</f>
        <v>FI</v>
      </c>
      <c r="V22" s="370" t="str">
        <f ca="1">V20&amp;2</f>
        <v>B2</v>
      </c>
      <c r="W22" s="720" t="str">
        <f>"|"&amp;Taal02!C13&amp;"|"&amp;Taal02!D13&amp;"|"&amp;Taal02!E13&amp;"|"&amp;Taal02!F13&amp;"|"&amp;Taal02!G13&amp;"|"&amp;Taal02!H13&amp;"|"&amp;Taal02!I13&amp;"|"&amp;Taal02!J13&amp;"|"</f>
        <v>|Finland|Finland|||||||</v>
      </c>
      <c r="X22" s="259" t="s">
        <v>224</v>
      </c>
      <c r="Y22" s="176">
        <f>IF(ISBLANK(E22),1,IF(SUBSTITUTE(W16,E22,"#")&lt;&gt;W16,2,IF(SUBSTITUTE(W17,E22,"#")&lt;&gt;W17,3,IF(SUBSTITUTE(W18,E22,"#")&lt;&gt;W18,4,IF(SUBSTITUTE(W19,E22,"#")&lt;&gt;W19,5,6)))))</f>
        <v>1</v>
      </c>
      <c r="Z22" s="176">
        <f>IF(ISBLANK(L22),1,IF(SUBSTITUTE(W21,L22,"#")&lt;&gt;W21,2,IF(SUBSTITUTE(W22,L22,"#")&lt;&gt;W22,3,IF(SUBSTITUTE(W23,L22,"#")&lt;&gt;W23,4,IF(SUBSTITUTE(W24,L22,"#")&lt;&gt;W24,5,6)))))</f>
        <v>1</v>
      </c>
      <c r="AA22" s="334" t="str">
        <f ca="1">RIGHT(V22,1)</f>
        <v>2</v>
      </c>
      <c r="AB22" s="336" t="str">
        <f>Groepswedstrijden!AA77</f>
        <v/>
      </c>
      <c r="AC22" s="333" t="e">
        <f>#REF!</f>
        <v>#REF!</v>
      </c>
      <c r="AD22" s="175">
        <f ca="1">IF($AC$7=1,VLOOKUP($V22,Groepswedstrijden!$AH$12:$BA$78,20,FALSE),IF($AC$11=1,VLOOKUP($V22,#REF!,20,FALSE),""))</f>
        <v>2</v>
      </c>
      <c r="AE22" s="247" t="str">
        <f ca="1">IF($AC$7=1,VLOOKUP($V22,Groepswedstrijden!$AH$12:$BA$78,3,FALSE),IF($AC$11=1,VLOOKUP($V22,#REF!,3,FALSE),""))</f>
        <v>Finland</v>
      </c>
      <c r="AF22" s="175">
        <f ca="1">IF($AC$7=1,VLOOKUP($V22,Groepswedstrijden!$AH$12:$BA$78,9,FALSE),IF($AC$11=1,VLOOKUP($V22,#REF!,9,FALSE),""))</f>
        <v>0</v>
      </c>
      <c r="AG22" s="175">
        <f ca="1">IF($AC$7=1,VLOOKUP($V22,Groepswedstrijden!$AH$12:$BA$78,10,FALSE),IF($AC$11=1,VLOOKUP($V22,#REF!,10,FALSE),""))</f>
        <v>0</v>
      </c>
      <c r="AH22" s="175">
        <f ca="1">IF($AC$7=1,VLOOKUP($V22,Groepswedstrijden!$AH$12:$BA$78,11,FALSE),IF($AC$11=1,VLOOKUP($V22,#REF!,11,FALSE),""))</f>
        <v>0</v>
      </c>
      <c r="AI22" s="284">
        <f ca="1">IF($AC$7=1,VLOOKUP($V22,Groepswedstrijden!$AH$12:$BA$78,19,FALSE),IF($AC$11=1,VLOOKUP($V22,#REF!,19,FALSE),""))</f>
        <v>350000500003</v>
      </c>
      <c r="AJ22" s="289">
        <f ca="1">FLOOR(IF($AD21=2,AI21,IF($AD22=2,AI22,IF($AD23=2,AI23,AI24)))/10,1)</f>
        <v>35000050000</v>
      </c>
      <c r="AL22" s="1192"/>
      <c r="AM22" s="429" t="str">
        <f ca="1">IF(AJ22=AJ21,"","2.")</f>
        <v/>
      </c>
      <c r="AN22" s="430" t="str">
        <f ca="1">IF($AD21=2,AE21,IF($AD22=2,AE22,IF($AD23=2,AE23,AE24)))</f>
        <v>Finland</v>
      </c>
      <c r="AO22" s="431">
        <f ca="1">IF($AD21=2,AF21,IF($AD22=2,AF22,IF($AD23=2,AF23,AF24)))</f>
        <v>0</v>
      </c>
      <c r="AP22" s="431">
        <f ca="1">IF($AD21=2,AG21,IF($AD22=2,AG22,IF($AD23=2,AG23,AG24)))</f>
        <v>0</v>
      </c>
      <c r="AQ22" s="431">
        <f ca="1">IF($AD21=2,AH21,IF($AD22=2,AH22,IF($AD23=2,AH23,AH24)))</f>
        <v>0</v>
      </c>
    </row>
    <row r="23" spans="2:43" ht="20.100000000000001" customHeight="1" x14ac:dyDescent="0.3">
      <c r="B23" s="79"/>
      <c r="C23" s="9"/>
      <c r="D23" s="1185" t="str">
        <f ca="1">IF($S$12=1,IF($AC$7=1,AB19,IF($AC$11=1,AC19,"")),IF(AND($S$12=2,OR($Y$23="LEEG",$Y$23="ONGELDIG")),IF($AC$7=1,AB19,IF($AC$11=1,AC19,"")),""))</f>
        <v/>
      </c>
      <c r="E23" s="1185"/>
      <c r="F23" s="1185"/>
      <c r="G23" s="1185"/>
      <c r="H23" s="1185"/>
      <c r="I23" s="1185"/>
      <c r="J23" s="72"/>
      <c r="K23" s="1185" t="str">
        <f ca="1">IF($S$12=1,IF($AC$7=1,AB24,IF($AC$11=1,AC24,"")),IF(AND($S$12=2,OR($Z$23="LEEG",$Z$23="ONGELDIG")),IF($AC$7=1,AB24,IF($AC$11=1,AC24,"")),""))</f>
        <v/>
      </c>
      <c r="L23" s="1185"/>
      <c r="M23" s="1185"/>
      <c r="N23" s="1185"/>
      <c r="O23" s="1185"/>
      <c r="P23" s="1185"/>
      <c r="Q23" s="11"/>
      <c r="R23" s="79"/>
      <c r="S23" s="135">
        <f>S22+1</f>
        <v>4</v>
      </c>
      <c r="T23" s="109" t="str">
        <f ca="1">VLOOKUP(V23,Voorblad!$X$67:$Z$98,2,FALSE)</f>
        <v>België</v>
      </c>
      <c r="U23" s="18" t="str">
        <f ca="1">VLOOKUP(V23,Voorblad!$X$67:$Z$98,3,FALSE)</f>
        <v>BE</v>
      </c>
      <c r="V23" s="370" t="str">
        <f ca="1">V20&amp;3</f>
        <v>B3</v>
      </c>
      <c r="W23" s="720" t="str">
        <f>"|"&amp;Taal02!C14&amp;"|"&amp;Taal02!D14&amp;"|"&amp;Taal02!E14&amp;"|"&amp;Taal02!F14&amp;"|"&amp;Taal02!G14&amp;"|"&amp;Taal02!H14&amp;"|"&amp;Taal02!I14&amp;"|"&amp;Taal02!J14&amp;"|"</f>
        <v>|België|Belgium|||||||</v>
      </c>
      <c r="X23" s="259" t="s">
        <v>225</v>
      </c>
      <c r="Y23" s="176" t="str">
        <f>IF(Y22=1, "LEEG",IF(AND(Y22&gt;1,Y22&lt;6,TYPE(Y16+Y18+Y20+Y22)=1),IF(OR(Y22=Y16,Y22=Y18,Y22=Y20),"DUBBEL","GOED"),"ONGELDIG"))</f>
        <v>LEEG</v>
      </c>
      <c r="Z23" s="176" t="str">
        <f>IF(Z22=1, "LEEG",IF(AND(Z22&gt;1,Z22&lt;6,TYPE(Z16+Z18+Z20+Z22)=1),IF(OR(Z22=Z16,Z22=Z18,Z22=Z20),"DUBBEL","GOED"),"ONGELDIG"))</f>
        <v>LEEG</v>
      </c>
      <c r="AA23" s="334" t="str">
        <f ca="1">RIGHT(V23,1)</f>
        <v>3</v>
      </c>
      <c r="AB23" s="336" t="str">
        <f>Groepswedstrijden!AA78</f>
        <v/>
      </c>
      <c r="AC23" s="333" t="e">
        <f>#REF!</f>
        <v>#REF!</v>
      </c>
      <c r="AD23" s="175">
        <f ca="1">IF($AC$7=1,VLOOKUP($V23,Groepswedstrijden!$AH$12:$BA$78,20,FALSE),IF($AC$11=1,VLOOKUP($V23,#REF!,20,FALSE),""))</f>
        <v>4</v>
      </c>
      <c r="AE23" s="247" t="str">
        <f ca="1">IF($AC$7=1,VLOOKUP($V23,Groepswedstrijden!$AH$12:$BA$78,3,FALSE),IF($AC$11=1,VLOOKUP($V23,#REF!,3,FALSE),""))</f>
        <v>België</v>
      </c>
      <c r="AF23" s="175">
        <f ca="1">IF($AC$7=1,VLOOKUP($V23,Groepswedstrijden!$AH$12:$BA$78,9,FALSE),IF($AC$11=1,VLOOKUP($V23,#REF!,9,FALSE),""))</f>
        <v>0</v>
      </c>
      <c r="AG23" s="175">
        <f ca="1">IF($AC$7=1,VLOOKUP($V23,Groepswedstrijden!$AH$12:$BA$78,10,FALSE),IF($AC$11=1,VLOOKUP($V23,#REF!,10,FALSE),""))</f>
        <v>0</v>
      </c>
      <c r="AH23" s="175">
        <f ca="1">IF($AC$7=1,VLOOKUP($V23,Groepswedstrijden!$AH$12:$BA$78,11,FALSE),IF($AC$11=1,VLOOKUP($V23,#REF!,11,FALSE),""))</f>
        <v>0</v>
      </c>
      <c r="AI23" s="284">
        <f ca="1">IF($AC$7=1,VLOOKUP($V23,Groepswedstrijden!$AH$12:$BA$78,19,FALSE),IF($AC$11=1,VLOOKUP($V23,#REF!,19,FALSE),""))</f>
        <v>350000500001</v>
      </c>
      <c r="AJ23" s="289">
        <f ca="1">FLOOR(IF($AD21=3,AI21,IF($AD22=3,AI22,IF($AD23=3,AI23,AI24)))/10,1)</f>
        <v>35000050000</v>
      </c>
      <c r="AL23" s="1192"/>
      <c r="AM23" s="429" t="str">
        <f ca="1">IF(AJ23=AJ22,"","3.")</f>
        <v/>
      </c>
      <c r="AN23" s="430" t="str">
        <f ca="1">IF($AD21=3,AE21,IF($AD22=3,AE22,IF($AD23=3,AE23,AE24)))</f>
        <v>Denemarken</v>
      </c>
      <c r="AO23" s="431">
        <f ca="1">IF($AD21=3,AF21,IF($AD22=3,AF22,IF($AD23=3,AF23,AF24)))</f>
        <v>0</v>
      </c>
      <c r="AP23" s="431">
        <f ca="1">IF($AD21=3,AG21,IF($AD22=3,AG22,IF($AD23=3,AG23,AG24)))</f>
        <v>0</v>
      </c>
      <c r="AQ23" s="431">
        <f ca="1">IF($AD21=3,AH21,IF($AD22=3,AH22,IF($AD23=3,AH23,AH24)))</f>
        <v>0</v>
      </c>
    </row>
    <row r="24" spans="2:43" ht="15" customHeight="1" x14ac:dyDescent="0.3">
      <c r="B24" s="79"/>
      <c r="C24" s="9"/>
      <c r="D24" s="1189" t="str">
        <f ca="1">Taal04!$B$26&amp;" C"</f>
        <v>Groep C</v>
      </c>
      <c r="E24" s="1189"/>
      <c r="F24" s="72"/>
      <c r="G24" s="72"/>
      <c r="H24" s="72"/>
      <c r="I24" s="72"/>
      <c r="J24" s="72"/>
      <c r="K24" s="1189" t="str">
        <f ca="1">Taal04!$B$26&amp;" D"</f>
        <v>Groep D</v>
      </c>
      <c r="L24" s="1189"/>
      <c r="M24" s="72"/>
      <c r="N24" s="72"/>
      <c r="O24" s="72"/>
      <c r="P24" s="72"/>
      <c r="Q24" s="11"/>
      <c r="R24" s="79"/>
      <c r="S24" s="135">
        <f>S23+1</f>
        <v>5</v>
      </c>
      <c r="T24" s="163" t="str">
        <f ca="1">VLOOKUP(V24,Voorblad!$X$67:$Z$98,2,FALSE)</f>
        <v>Rusland</v>
      </c>
      <c r="U24" s="65" t="str">
        <f ca="1">VLOOKUP(V24,Voorblad!$X$67:$Z$98,3,FALSE)</f>
        <v>RU</v>
      </c>
      <c r="V24" s="373" t="str">
        <f ca="1">V20&amp;4</f>
        <v>B4</v>
      </c>
      <c r="W24" s="720" t="str">
        <f>"|"&amp;Taal02!C15&amp;"|"&amp;Taal02!D15&amp;"|"&amp;Taal02!E15&amp;"|"&amp;Taal02!F15&amp;"|"&amp;Taal02!G15&amp;"|"&amp;Taal02!H15&amp;"|"&amp;Taal02!I15&amp;"|"&amp;Taal02!J15&amp;"|"</f>
        <v>|Rusland|Russia|||||||</v>
      </c>
      <c r="X24" s="259" t="s">
        <v>226</v>
      </c>
      <c r="Y24" s="497" t="str">
        <f>IF(TYPE(1*((Y16+Y18+Y20+Y22)&amp;(Y16*Y18*Y20*Y22)))=1,(Y16+Y18+Y20+Y22)&amp;(Y16*Y18*Y20*Y22),14120)</f>
        <v>41</v>
      </c>
      <c r="Z24" s="497" t="str">
        <f>IF(TYPE(1*((Z16+Z18+Z20+Z22)&amp;(Z16*Z18*Z20*Z22)))=1,(Z16+Z18+Z20+Z22)&amp;(Z16*Z18*Z20*Z22),14120)</f>
        <v>41</v>
      </c>
      <c r="AA24" s="334" t="str">
        <f ca="1">RIGHT(V24,1)</f>
        <v>4</v>
      </c>
      <c r="AB24" s="336" t="str">
        <f>Groepswedstrijden!AA79</f>
        <v/>
      </c>
      <c r="AC24" s="333" t="e">
        <f>#REF!</f>
        <v>#REF!</v>
      </c>
      <c r="AD24" s="175">
        <f ca="1">IF($AC$7=1,VLOOKUP($V24,Groepswedstrijden!$AH$12:$BA$78,20,FALSE),IF($AC$11=1,VLOOKUP($V24,#REF!,20,FALSE),""))</f>
        <v>1</v>
      </c>
      <c r="AE24" s="247" t="str">
        <f ca="1">IF($AC$7=1,VLOOKUP($V24,Groepswedstrijden!$AH$12:$BA$78,3,FALSE),IF($AC$11=1,VLOOKUP($V24,#REF!,3,FALSE),""))</f>
        <v>Rusland</v>
      </c>
      <c r="AF24" s="175">
        <f ca="1">IF($AC$7=1,VLOOKUP($V24,Groepswedstrijden!$AH$12:$BA$78,9,FALSE),IF($AC$11=1,VLOOKUP($V24,#REF!,9,FALSE),""))</f>
        <v>0</v>
      </c>
      <c r="AG24" s="175">
        <f ca="1">IF($AC$7=1,VLOOKUP($V24,Groepswedstrijden!$AH$12:$BA$78,10,FALSE),IF($AC$11=1,VLOOKUP($V24,#REF!,10,FALSE),""))</f>
        <v>0</v>
      </c>
      <c r="AH24" s="175">
        <f ca="1">IF($AC$7=1,VLOOKUP($V24,Groepswedstrijden!$AH$12:$BA$78,11,FALSE),IF($AC$11=1,VLOOKUP($V24,#REF!,11,FALSE),""))</f>
        <v>0</v>
      </c>
      <c r="AI24" s="284">
        <f ca="1">IF($AC$7=1,VLOOKUP($V24,Groepswedstrijden!$AH$12:$BA$78,19,FALSE),IF($AC$11=1,VLOOKUP($V24,#REF!,19,FALSE),""))</f>
        <v>350000500004</v>
      </c>
      <c r="AJ24" s="289">
        <f ca="1">FLOOR(IF($AD21=4,AI21,IF($AD22=4,AI22,IF($AD23=4,AI23,AI24)))/10,1)</f>
        <v>35000050000</v>
      </c>
      <c r="AL24" s="1193"/>
      <c r="AM24" s="432" t="str">
        <f ca="1">IF(AJ24=AJ23,"","4.")</f>
        <v/>
      </c>
      <c r="AN24" s="433" t="str">
        <f ca="1">IF($AD21=4,AE21,IF($AD22=4,AE22,IF($AD23=4,AE23,AE24)))</f>
        <v>België</v>
      </c>
      <c r="AO24" s="434">
        <f ca="1">IF($AD21=4,AF21,IF($AD22=4,AF22,IF($AD23=4,AF23,AF24)))</f>
        <v>0</v>
      </c>
      <c r="AP24" s="434">
        <f ca="1">IF($AD21=4,AG21,IF($AD22=4,AG22,IF($AD23=4,AG23,AG24)))</f>
        <v>0</v>
      </c>
      <c r="AQ24" s="434">
        <f ca="1">IF($AD21=4,AH21,IF($AD22=4,AH22,IF($AD23=4,AH23,AH24)))</f>
        <v>0</v>
      </c>
    </row>
    <row r="25" spans="2:43" ht="15" customHeight="1" x14ac:dyDescent="0.3">
      <c r="B25" s="79"/>
      <c r="C25" s="9"/>
      <c r="D25" s="1190"/>
      <c r="E25" s="1190"/>
      <c r="F25" s="72"/>
      <c r="G25" s="72"/>
      <c r="H25" s="72"/>
      <c r="I25" s="72"/>
      <c r="J25" s="72"/>
      <c r="K25" s="1190"/>
      <c r="L25" s="1190"/>
      <c r="M25" s="72"/>
      <c r="N25" s="72"/>
      <c r="O25" s="72"/>
      <c r="P25" s="72"/>
      <c r="Q25" s="11"/>
      <c r="R25" s="79"/>
      <c r="S25" s="135">
        <v>1</v>
      </c>
      <c r="T25" s="162"/>
      <c r="U25" s="164"/>
      <c r="V25" s="366" t="str">
        <f ca="1">RIGHT(D24,1)</f>
        <v>C</v>
      </c>
      <c r="W25" s="719"/>
      <c r="X25" s="259" t="str">
        <f ca="1">"Deelnamecode "&amp;V25&amp;"/"&amp;V30</f>
        <v>Deelnamecode C/D</v>
      </c>
      <c r="Y25" s="196" t="str">
        <f>IF(AND(TYPE(Y26)=1,TYPE(Y28)=1,TYPE(Y30)=1,TYPE(Y32)=1),IF(AND(Y27="GOED",Y29="GOED",Y31="GOED",Y33="GOED"),LOOKUP(Y26,S26:S29,U26:U29)&amp;"."&amp;LOOKUP(Y28,S26:S29,U26:U29)&amp;"."&amp;LOOKUP(Y30,S26:S29,U26:U29)&amp;"."&amp;LOOKUP(Y32,S26:S29,U26:U29)&amp;"|","FOUT"),"ONGELDIG")</f>
        <v>FOUT</v>
      </c>
      <c r="Z25" s="196" t="str">
        <f>IF(AND(TYPE(Z26)=1,TYPE(Z28)=1,TYPE(Z30)=1,TYPE(Z32)=1),IF(AND(Z27="GOED",Z29="GOED",Z31="GOED",Z33="GOED"),LOOKUP(Z26,S31:S34,U31:U34)&amp;"."&amp;LOOKUP(Z28,S31:S34,U31:U34)&amp;"."&amp;LOOKUP(Z30,S31:S34,U31:U34)&amp;"."&amp;LOOKUP(Z32,S31:S34,U31:U34)&amp;"|","FOUT"),"ONGELDIG")</f>
        <v>FOUT</v>
      </c>
      <c r="AA25" s="333"/>
      <c r="AB25" s="335" t="str">
        <f ca="1">UPPER(Taal04!$B$26)&amp;" "&amp;V25</f>
        <v>GROEP C</v>
      </c>
      <c r="AC25" s="334" t="str">
        <f ca="1">AB25</f>
        <v>GROEP C</v>
      </c>
      <c r="AD25" s="175"/>
      <c r="AE25" s="248" t="str">
        <f ca="1">AB25</f>
        <v>GROEP C</v>
      </c>
      <c r="AF25" s="175"/>
      <c r="AG25" s="175"/>
      <c r="AH25" s="175"/>
      <c r="AI25" s="284"/>
      <c r="AJ25" s="288"/>
      <c r="AL25" s="735" t="str">
        <f ca="1">IF(AH6="JA","","└ "&amp;SUBSTITUTE(Taal04!B62,"#",RIGHT(AL21,1)))</f>
        <v>└ LET OP: niet alle wedstrijden in groep B zijn ingevuld.</v>
      </c>
    </row>
    <row r="26" spans="2:43" ht="15" customHeight="1" x14ac:dyDescent="0.3">
      <c r="B26" s="79"/>
      <c r="C26" s="9"/>
      <c r="D26" s="425" t="s">
        <v>214</v>
      </c>
      <c r="E26" s="1013"/>
      <c r="F26" s="718" t="str">
        <f>IF(Y27="LEEG","▼","")</f>
        <v>▼</v>
      </c>
      <c r="G26" s="72"/>
      <c r="H26" s="328"/>
      <c r="I26" s="328"/>
      <c r="J26" s="72"/>
      <c r="K26" s="425" t="s">
        <v>214</v>
      </c>
      <c r="L26" s="1014"/>
      <c r="M26" s="718" t="str">
        <f>IF(Z27="LEEG","▼","")</f>
        <v>▼</v>
      </c>
      <c r="N26" s="72"/>
      <c r="O26" s="328"/>
      <c r="P26" s="328"/>
      <c r="Q26" s="11"/>
      <c r="R26" s="79"/>
      <c r="S26" s="135">
        <f>S25+1</f>
        <v>2</v>
      </c>
      <c r="T26" s="109" t="str">
        <f ca="1">VLOOKUP(V26,Voorblad!$X$67:$Z$98,2,FALSE)</f>
        <v>Nederland</v>
      </c>
      <c r="U26" s="18" t="str">
        <f ca="1">VLOOKUP(V26,Voorblad!$X$67:$Z$98,3,FALSE)</f>
        <v>NL</v>
      </c>
      <c r="V26" s="370" t="str">
        <f ca="1">V25&amp;1</f>
        <v>C1</v>
      </c>
      <c r="W26" s="720" t="str">
        <f>"|"&amp;Taal02!C17&amp;"|"&amp;Taal02!D17&amp;"|"&amp;Taal02!E17&amp;"|"&amp;Taal02!F17&amp;"|"&amp;Taal02!G17&amp;"|"&amp;Taal02!H17&amp;"|"&amp;Taal02!I17&amp;"|"&amp;Taal02!J17&amp;"|"</f>
        <v>|Nederland|Netherlands|||||||</v>
      </c>
      <c r="X26" s="259" t="s">
        <v>218</v>
      </c>
      <c r="Y26" s="176">
        <f>IF(ISBLANK(E26),1,IF(SUBSTITUTE(W26,E26,"#")&lt;&gt;W26,2,IF(SUBSTITUTE(W27,E26,"#")&lt;&gt;W27,3,IF(SUBSTITUTE(W28,E26,"#")&lt;&gt;W28,4,IF(SUBSTITUTE(W29,E26,"#")&lt;&gt;W29,5,6)))))</f>
        <v>1</v>
      </c>
      <c r="Z26" s="176">
        <f>IF(ISBLANK(L26),1,IF(SUBSTITUTE(W31,L26,"#")&lt;&gt;W31,2,IF(SUBSTITUTE(W32,L26,"#")&lt;&gt;W32,3,IF(SUBSTITUTE(W33,L26,"#")&lt;&gt;W33,4,IF(SUBSTITUTE(W34,L26,"#")&lt;&gt;W34,5,6)))))</f>
        <v>1</v>
      </c>
      <c r="AA26" s="334" t="str">
        <f ca="1">RIGHT(V26,1)</f>
        <v>1</v>
      </c>
      <c r="AB26" s="336" t="str">
        <f>Groepswedstrijden!AB76</f>
        <v/>
      </c>
      <c r="AC26" s="333" t="e">
        <f>#REF!</f>
        <v>#REF!</v>
      </c>
      <c r="AD26" s="175">
        <f ca="1">IF($AC$7=1,VLOOKUP($V26,Groepswedstrijden!$AH$12:$BA$78,20,FALSE),IF($AC$11=1,VLOOKUP($V26,#REF!,20,FALSE),""))</f>
        <v>4</v>
      </c>
      <c r="AE26" s="247" t="str">
        <f ca="1">IF($AC$7=1,VLOOKUP($V26,Groepswedstrijden!$AH$12:$BA$78,3,FALSE),IF($AC$11=1,VLOOKUP($V26,#REF!,3,FALSE),""))</f>
        <v>Nederland</v>
      </c>
      <c r="AF26" s="175">
        <f ca="1">IF($AC$7=1,VLOOKUP($V26,Groepswedstrijden!$AH$12:$BA$78,9,FALSE),IF($AC$11=1,VLOOKUP($V26,#REF!,9,FALSE),""))</f>
        <v>0</v>
      </c>
      <c r="AG26" s="175">
        <f ca="1">IF($AC$7=1,VLOOKUP($V26,Groepswedstrijden!$AH$12:$BA$78,10,FALSE),IF($AC$11=1,VLOOKUP($V26,#REF!,10,FALSE),""))</f>
        <v>0</v>
      </c>
      <c r="AH26" s="175">
        <f ca="1">IF($AC$7=1,VLOOKUP($V26,Groepswedstrijden!$AH$12:$BA$78,11,FALSE),IF($AC$11=1,VLOOKUP($V26,#REF!,11,FALSE),""))</f>
        <v>0</v>
      </c>
      <c r="AI26" s="284">
        <f ca="1">IF($AC$7=1,VLOOKUP($V26,Groepswedstrijden!$AH$12:$BA$78,19,FALSE),IF($AC$11=1,VLOOKUP($V26,#REF!,19,FALSE),""))</f>
        <v>350000500001</v>
      </c>
      <c r="AJ26" s="289">
        <f ca="1">FLOOR(IF($AD26=1,AI26,IF($AD27=1,AI27,IF($AD28=1,AI28,AI29)))/10,1)</f>
        <v>35000050000</v>
      </c>
      <c r="AL26" s="1191" t="str">
        <f ca="1">AE25</f>
        <v>GROEP C</v>
      </c>
      <c r="AM26" s="426" t="s">
        <v>65</v>
      </c>
      <c r="AN26" s="427" t="str">
        <f ca="1">IF($AD26=1,AE26,IF($AD27=1,AE27,IF($AD28=1,AE28,AE29)))</f>
        <v>Oostenrijk</v>
      </c>
      <c r="AO26" s="428">
        <f ca="1">IF($AD26=1,AF26,IF($AD27=1,AF27,IF($AD28=1,AF28,AF29)))</f>
        <v>0</v>
      </c>
      <c r="AP26" s="428">
        <f ca="1">IF($AD26=1,AG26,IF($AD27=1,AG27,IF($AD28=1,AG28,AG29)))</f>
        <v>0</v>
      </c>
      <c r="AQ26" s="428">
        <f ca="1">IF($AD26=1,AH26,IF($AD27=1,AH27,IF($AD28=1,AH28,AH29)))</f>
        <v>0</v>
      </c>
    </row>
    <row r="27" spans="2:43" ht="20.100000000000001" customHeight="1" x14ac:dyDescent="0.3">
      <c r="B27" s="79"/>
      <c r="C27" s="9"/>
      <c r="D27" s="1185" t="str">
        <f ca="1">IF($S$12=1,IF($AC$7=1,AB26,IF($AC$11=1,AC26,"")),IF(AND($S$12=2,OR($Y$27="LEEG",$Y$27="ONGELDIG")),IF($AC$7=1,AB26,IF($AC$11=1,AC26,"")),""))</f>
        <v/>
      </c>
      <c r="E27" s="1185"/>
      <c r="F27" s="1185"/>
      <c r="G27" s="1185"/>
      <c r="H27" s="1185"/>
      <c r="I27" s="1185"/>
      <c r="J27" s="72"/>
      <c r="K27" s="1185" t="str">
        <f ca="1">IF($S$12=1,IF($AC$7=1,AB31,IF($AC$11=1,AC31,"")),IF(AND($S$12=2,OR($Z$27="LEEG",$Z$27="ONGELDIG")),IF($AC$7=1,AB31,IF($AC$11=1,AC31,"")),""))</f>
        <v/>
      </c>
      <c r="L27" s="1185"/>
      <c r="M27" s="1185"/>
      <c r="N27" s="1185"/>
      <c r="O27" s="1185"/>
      <c r="P27" s="1185"/>
      <c r="Q27" s="11"/>
      <c r="R27" s="79"/>
      <c r="S27" s="135">
        <f>S26+1</f>
        <v>3</v>
      </c>
      <c r="T27" s="109" t="str">
        <f ca="1">VLOOKUP(V27,Voorblad!$X$67:$Z$98,2,FALSE)</f>
        <v>Oekraïne</v>
      </c>
      <c r="U27" s="18" t="str">
        <f ca="1">VLOOKUP(V27,Voorblad!$X$67:$Z$98,3,FALSE)</f>
        <v>UA</v>
      </c>
      <c r="V27" s="370" t="str">
        <f ca="1">V25&amp;2</f>
        <v>C2</v>
      </c>
      <c r="W27" s="720" t="str">
        <f>"|"&amp;Taal02!C18&amp;"|"&amp;Taal02!D18&amp;"|"&amp;Taal02!E18&amp;"|"&amp;Taal02!F18&amp;"|"&amp;Taal02!G18&amp;"|"&amp;Taal02!H18&amp;"|"&amp;Taal02!I18&amp;"|"&amp;Taal02!J18&amp;"|"</f>
        <v>|Oekraïne|Ukraine|||||||</v>
      </c>
      <c r="X27" s="259" t="s">
        <v>219</v>
      </c>
      <c r="Y27" s="176" t="str">
        <f>IF(Y26=1, "LEEG",IF(AND(Y26&gt;1,Y26&lt;6,TYPE(Y26+Y28+Y30+Y32)=1),IF(OR(Y26=Y28,Y26=Y30,Y26=Y32),"DUBBEL","GOED"),"ONGELDIG"))</f>
        <v>LEEG</v>
      </c>
      <c r="Z27" s="176" t="str">
        <f>IF(Z26=1, "LEEG",IF(AND(Z26&gt;1,Z26&lt;6,TYPE(Z26+Z28+Z30+Z32)=1),IF(OR(Z26=Z28,Z26=Z30,Z26=Z32),"DUBBEL","GOED"),"ONGELDIG"))</f>
        <v>LEEG</v>
      </c>
      <c r="AA27" s="334" t="str">
        <f ca="1">RIGHT(V27,1)</f>
        <v>2</v>
      </c>
      <c r="AB27" s="336" t="str">
        <f>Groepswedstrijden!AB77</f>
        <v/>
      </c>
      <c r="AC27" s="333" t="e">
        <f>#REF!</f>
        <v>#REF!</v>
      </c>
      <c r="AD27" s="175">
        <f ca="1">IF($AC$7=1,VLOOKUP($V27,Groepswedstrijden!$AH$12:$BA$78,20,FALSE),IF($AC$11=1,VLOOKUP($V27,#REF!,20,FALSE),""))</f>
        <v>2</v>
      </c>
      <c r="AE27" s="247" t="str">
        <f ca="1">IF($AC$7=1,VLOOKUP($V27,Groepswedstrijden!$AH$12:$BA$78,3,FALSE),IF($AC$11=1,VLOOKUP($V27,#REF!,3,FALSE),""))</f>
        <v>Oekraïne</v>
      </c>
      <c r="AF27" s="175">
        <f ca="1">IF($AC$7=1,VLOOKUP($V27,Groepswedstrijden!$AH$12:$BA$78,9,FALSE),IF($AC$11=1,VLOOKUP($V27,#REF!,9,FALSE),""))</f>
        <v>0</v>
      </c>
      <c r="AG27" s="175">
        <f ca="1">IF($AC$7=1,VLOOKUP($V27,Groepswedstrijden!$AH$12:$BA$78,10,FALSE),IF($AC$11=1,VLOOKUP($V27,#REF!,10,FALSE),""))</f>
        <v>0</v>
      </c>
      <c r="AH27" s="175">
        <f ca="1">IF($AC$7=1,VLOOKUP($V27,Groepswedstrijden!$AH$12:$BA$78,11,FALSE),IF($AC$11=1,VLOOKUP($V27,#REF!,11,FALSE),""))</f>
        <v>0</v>
      </c>
      <c r="AI27" s="284">
        <f ca="1">IF($AC$7=1,VLOOKUP($V27,Groepswedstrijden!$AH$12:$BA$78,19,FALSE),IF($AC$11=1,VLOOKUP($V27,#REF!,19,FALSE),""))</f>
        <v>350000500003</v>
      </c>
      <c r="AJ27" s="289">
        <f ca="1">FLOOR(IF($AD26=2,AI26,IF($AD27=2,AI27,IF($AD28=2,AI28,AI29)))/10,1)</f>
        <v>35000050000</v>
      </c>
      <c r="AL27" s="1192"/>
      <c r="AM27" s="429" t="str">
        <f ca="1">IF(AJ27=AJ26,"","2.")</f>
        <v/>
      </c>
      <c r="AN27" s="430" t="str">
        <f ca="1">IF($AD26=2,AE26,IF($AD27=2,AE27,IF($AD28=2,AE28,AE29)))</f>
        <v>Oekraïne</v>
      </c>
      <c r="AO27" s="431">
        <f ca="1">IF($AD26=2,AF26,IF($AD27=2,AF27,IF($AD28=2,AF28,AF29)))</f>
        <v>0</v>
      </c>
      <c r="AP27" s="431">
        <f ca="1">IF($AD26=2,AG26,IF($AD27=2,AG27,IF($AD28=2,AG28,AG29)))</f>
        <v>0</v>
      </c>
      <c r="AQ27" s="431">
        <f ca="1">IF($AD26=2,AH26,IF($AD27=2,AH27,IF($AD28=2,AH28,AH29)))</f>
        <v>0</v>
      </c>
    </row>
    <row r="28" spans="2:43" ht="15" customHeight="1" x14ac:dyDescent="0.3">
      <c r="B28" s="79"/>
      <c r="C28" s="9"/>
      <c r="D28" s="425" t="s">
        <v>215</v>
      </c>
      <c r="E28" s="1013"/>
      <c r="F28" s="718" t="str">
        <f>IF(Y29="LEEG","▼","")</f>
        <v>▼</v>
      </c>
      <c r="G28" s="72"/>
      <c r="H28" s="72"/>
      <c r="I28" s="72"/>
      <c r="J28" s="72"/>
      <c r="K28" s="425" t="s">
        <v>215</v>
      </c>
      <c r="L28" s="1014"/>
      <c r="M28" s="718" t="str">
        <f>IF(Z29="LEEG","▼","")</f>
        <v>▼</v>
      </c>
      <c r="N28" s="72"/>
      <c r="O28" s="72"/>
      <c r="P28" s="72"/>
      <c r="Q28" s="11"/>
      <c r="R28" s="79"/>
      <c r="S28" s="135">
        <f>S27+1</f>
        <v>4</v>
      </c>
      <c r="T28" s="109" t="str">
        <f ca="1">VLOOKUP(V28,Voorblad!$X$67:$Z$98,2,FALSE)</f>
        <v>Oostenrijk</v>
      </c>
      <c r="U28" s="18" t="str">
        <f ca="1">VLOOKUP(V28,Voorblad!$X$67:$Z$98,3,FALSE)</f>
        <v>AT</v>
      </c>
      <c r="V28" s="370" t="str">
        <f ca="1">V25&amp;3</f>
        <v>C3</v>
      </c>
      <c r="W28" s="720" t="str">
        <f>"|"&amp;Taal02!C19&amp;"|"&amp;Taal02!D19&amp;"|"&amp;Taal02!E19&amp;"|"&amp;Taal02!F19&amp;"|"&amp;Taal02!G19&amp;"|"&amp;Taal02!H19&amp;"|"&amp;Taal02!I19&amp;"|"&amp;Taal02!J19&amp;"|"</f>
        <v>|Oostenrijk|Austria|||||||</v>
      </c>
      <c r="X28" s="259" t="s">
        <v>220</v>
      </c>
      <c r="Y28" s="176">
        <f>IF(ISBLANK(E28),1,IF(SUBSTITUTE(W26,E28,"#")&lt;&gt;W26,2,IF(SUBSTITUTE(W27,E28,"#")&lt;&gt;W27,3,IF(SUBSTITUTE(W28,E28,"#")&lt;&gt;W28,4,IF(SUBSTITUTE(W29,E28,"#")&lt;&gt;W29,5,6)))))</f>
        <v>1</v>
      </c>
      <c r="Z28" s="176">
        <f>IF(ISBLANK(L28),1,IF(SUBSTITUTE(W31,L28,"#")&lt;&gt;W31,2,IF(SUBSTITUTE(W32,L28,"#")&lt;&gt;W32,3,IF(SUBSTITUTE(W33,L28,"#")&lt;&gt;W33,4,IF(SUBSTITUTE(W34,L28,"#")&lt;&gt;W34,5,6)))))</f>
        <v>1</v>
      </c>
      <c r="AA28" s="334" t="str">
        <f ca="1">RIGHT(V28,1)</f>
        <v>3</v>
      </c>
      <c r="AB28" s="336" t="str">
        <f>Groepswedstrijden!AB78</f>
        <v/>
      </c>
      <c r="AC28" s="333" t="e">
        <f>#REF!</f>
        <v>#REF!</v>
      </c>
      <c r="AD28" s="175">
        <f ca="1">IF($AC$7=1,VLOOKUP($V28,Groepswedstrijden!$AH$12:$BA$78,20,FALSE),IF($AC$11=1,VLOOKUP($V28,#REF!,20,FALSE),""))</f>
        <v>1</v>
      </c>
      <c r="AE28" s="247" t="str">
        <f ca="1">IF($AC$7=1,VLOOKUP($V28,Groepswedstrijden!$AH$12:$BA$78,3,FALSE),IF($AC$11=1,VLOOKUP($V28,#REF!,3,FALSE),""))</f>
        <v>Oostenrijk</v>
      </c>
      <c r="AF28" s="175">
        <f ca="1">IF($AC$7=1,VLOOKUP($V28,Groepswedstrijden!$AH$12:$BA$78,9,FALSE),IF($AC$11=1,VLOOKUP($V28,#REF!,9,FALSE),""))</f>
        <v>0</v>
      </c>
      <c r="AG28" s="175">
        <f ca="1">IF($AC$7=1,VLOOKUP($V28,Groepswedstrijden!$AH$12:$BA$78,10,FALSE),IF($AC$11=1,VLOOKUP($V28,#REF!,10,FALSE),""))</f>
        <v>0</v>
      </c>
      <c r="AH28" s="175">
        <f ca="1">IF($AC$7=1,VLOOKUP($V28,Groepswedstrijden!$AH$12:$BA$78,11,FALSE),IF($AC$11=1,VLOOKUP($V28,#REF!,11,FALSE),""))</f>
        <v>0</v>
      </c>
      <c r="AI28" s="284">
        <f ca="1">IF($AC$7=1,VLOOKUP($V28,Groepswedstrijden!$AH$12:$BA$78,19,FALSE),IF($AC$11=1,VLOOKUP($V28,#REF!,19,FALSE),""))</f>
        <v>350000500004</v>
      </c>
      <c r="AJ28" s="289">
        <f ca="1">FLOOR(IF($AD26=3,AI26,IF($AD27=3,AI27,IF($AD28=3,AI28,AI29)))/10,1)</f>
        <v>35000050000</v>
      </c>
      <c r="AL28" s="1192"/>
      <c r="AM28" s="429" t="str">
        <f ca="1">IF(AJ28=AJ27,"","3.")</f>
        <v/>
      </c>
      <c r="AN28" s="430" t="str">
        <f ca="1">IF($AD26=3,AE26,IF($AD27=3,AE27,IF($AD28=3,AE28,AE29)))</f>
        <v>N.-Macedonië</v>
      </c>
      <c r="AO28" s="431">
        <f ca="1">IF($AD26=3,AF26,IF($AD27=3,AF27,IF($AD28=3,AF28,AF29)))</f>
        <v>0</v>
      </c>
      <c r="AP28" s="431">
        <f ca="1">IF($AD26=3,AG26,IF($AD27=3,AG27,IF($AD28=3,AG28,AG29)))</f>
        <v>0</v>
      </c>
      <c r="AQ28" s="431">
        <f ca="1">IF($AD26=3,AH26,IF($AD27=3,AH27,IF($AD28=3,AH28,AH29)))</f>
        <v>0</v>
      </c>
    </row>
    <row r="29" spans="2:43" ht="20.100000000000001" customHeight="1" x14ac:dyDescent="0.3">
      <c r="B29" s="79"/>
      <c r="C29" s="9"/>
      <c r="D29" s="1185" t="str">
        <f ca="1">IF($S$12=1,IF($AC$7=1,AB27,IF($AC$11=1,AC27,"")),IF(AND($S$12=2,OR($Y$29="LEEG",$Y$29="ONGELDIG")),IF($AC$7=1,AB27,IF($AC$11=1,AC27,"")),""))</f>
        <v/>
      </c>
      <c r="E29" s="1185"/>
      <c r="F29" s="1185"/>
      <c r="G29" s="1185"/>
      <c r="H29" s="1185"/>
      <c r="I29" s="1185"/>
      <c r="J29" s="72"/>
      <c r="K29" s="1185" t="str">
        <f ca="1">IF($S$12=1,IF($AC$7=1,AB32,IF($AC$11=1,AC32,"")),IF(AND($S$12=2,OR($Z$29="LEEG",$Z$29="ONGELDIG")),IF($AC$7=1,AB32,IF($AC$11=1,AC32,"")),""))</f>
        <v/>
      </c>
      <c r="L29" s="1185"/>
      <c r="M29" s="1185"/>
      <c r="N29" s="1185"/>
      <c r="O29" s="1185"/>
      <c r="P29" s="1185"/>
      <c r="Q29" s="11"/>
      <c r="R29" s="79"/>
      <c r="S29" s="135">
        <f>S28+1</f>
        <v>5</v>
      </c>
      <c r="T29" s="163" t="str">
        <f ca="1">VLOOKUP(V29,Voorblad!$X$67:$Z$98,2,FALSE)</f>
        <v>N.-Macedonië</v>
      </c>
      <c r="U29" s="65" t="str">
        <f ca="1">VLOOKUP(V29,Voorblad!$X$67:$Z$98,3,FALSE)</f>
        <v>MK</v>
      </c>
      <c r="V29" s="373" t="str">
        <f ca="1">V25&amp;4</f>
        <v>C4</v>
      </c>
      <c r="W29" s="720" t="str">
        <f>"|"&amp;Taal02!C20&amp;"|"&amp;Taal02!D20&amp;"|"&amp;Taal02!E20&amp;"|"&amp;Taal02!F20&amp;"|"&amp;Taal02!G20&amp;"|"&amp;Taal02!H20&amp;"|"&amp;Taal02!I20&amp;"|"&amp;Taal02!J20&amp;"|"</f>
        <v>|N.-Macedonië|N. Macedonia|||||||</v>
      </c>
      <c r="X29" s="259" t="s">
        <v>221</v>
      </c>
      <c r="Y29" s="176" t="str">
        <f>IF(Y28=1, "LEEG",IF(AND(Y28&gt;1,Y28&lt;6,TYPE(Y26+Y28+Y30+Y32)=1),IF(OR(Y28=Y26,Y28=Y30,Y28=Y32),"DUBBEL","GOED"),"ONGELDIG"))</f>
        <v>LEEG</v>
      </c>
      <c r="Z29" s="176" t="str">
        <f>IF(Z28=1, "LEEG",IF(AND(Z28&gt;1,Z28&lt;6,TYPE(Z26+Z28+Z30+Z32)=1),IF(OR(Z28=Z26,Z28=Z30,Z28=Z32),"DUBBEL","GOED"),"ONGELDIG"))</f>
        <v>LEEG</v>
      </c>
      <c r="AA29" s="334" t="str">
        <f ca="1">RIGHT(V29,1)</f>
        <v>4</v>
      </c>
      <c r="AB29" s="336" t="str">
        <f>Groepswedstrijden!AB79</f>
        <v/>
      </c>
      <c r="AC29" s="333" t="e">
        <f>#REF!</f>
        <v>#REF!</v>
      </c>
      <c r="AD29" s="175">
        <f ca="1">IF($AC$7=1,VLOOKUP($V29,Groepswedstrijden!$AH$12:$BA$78,20,FALSE),IF($AC$11=1,VLOOKUP($V29,#REF!,20,FALSE),""))</f>
        <v>3</v>
      </c>
      <c r="AE29" s="247" t="str">
        <f ca="1">IF($AC$7=1,VLOOKUP($V29,Groepswedstrijden!$AH$12:$BA$78,3,FALSE),IF($AC$11=1,VLOOKUP($V29,#REF!,3,FALSE),""))</f>
        <v>N.-Macedonië</v>
      </c>
      <c r="AF29" s="175">
        <f ca="1">IF($AC$7=1,VLOOKUP($V29,Groepswedstrijden!$AH$12:$BA$78,9,FALSE),IF($AC$11=1,VLOOKUP($V29,#REF!,9,FALSE),""))</f>
        <v>0</v>
      </c>
      <c r="AG29" s="175">
        <f ca="1">IF($AC$7=1,VLOOKUP($V29,Groepswedstrijden!$AH$12:$BA$78,10,FALSE),IF($AC$11=1,VLOOKUP($V29,#REF!,10,FALSE),""))</f>
        <v>0</v>
      </c>
      <c r="AH29" s="175">
        <f ca="1">IF($AC$7=1,VLOOKUP($V29,Groepswedstrijden!$AH$12:$BA$78,11,FALSE),IF($AC$11=1,VLOOKUP($V29,#REF!,11,FALSE),""))</f>
        <v>0</v>
      </c>
      <c r="AI29" s="284">
        <f ca="1">IF($AC$7=1,VLOOKUP($V29,Groepswedstrijden!$AH$12:$BA$78,19,FALSE),IF($AC$11=1,VLOOKUP($V29,#REF!,19,FALSE),""))</f>
        <v>350000500002</v>
      </c>
      <c r="AJ29" s="289">
        <f ca="1">FLOOR(IF($AD26=4,AI26,IF($AD27=4,AI27,IF($AD28=4,AI28,AI29)))/10,1)</f>
        <v>35000050000</v>
      </c>
      <c r="AL29" s="1193"/>
      <c r="AM29" s="432" t="str">
        <f ca="1">IF(AJ29=AJ28,"","4.")</f>
        <v/>
      </c>
      <c r="AN29" s="433" t="str">
        <f ca="1">IF($AD26=4,AE26,IF($AD27=4,AE27,IF($AD28=4,AE28,AE29)))</f>
        <v>Nederland</v>
      </c>
      <c r="AO29" s="434">
        <f ca="1">IF($AD26=4,AF26,IF($AD27=4,AF27,IF($AD28=4,AF28,AF29)))</f>
        <v>0</v>
      </c>
      <c r="AP29" s="434">
        <f ca="1">IF($AD26=4,AG26,IF($AD27=4,AG27,IF($AD28=4,AG28,AG29)))</f>
        <v>0</v>
      </c>
      <c r="AQ29" s="434">
        <f ca="1">IF($AD26=4,AH26,IF($AD27=4,AH27,IF($AD28=4,AH28,AH29)))</f>
        <v>0</v>
      </c>
    </row>
    <row r="30" spans="2:43" ht="15" customHeight="1" x14ac:dyDescent="0.3">
      <c r="B30" s="79"/>
      <c r="C30" s="9"/>
      <c r="D30" s="425" t="s">
        <v>216</v>
      </c>
      <c r="E30" s="1013"/>
      <c r="F30" s="718" t="str">
        <f>IF(Y31="LEEG","▼","")</f>
        <v>▼</v>
      </c>
      <c r="G30" s="72"/>
      <c r="H30" s="72"/>
      <c r="I30" s="72"/>
      <c r="J30" s="72"/>
      <c r="K30" s="425" t="s">
        <v>216</v>
      </c>
      <c r="L30" s="1014"/>
      <c r="M30" s="718" t="str">
        <f>IF(Z31="LEEG","▼","")</f>
        <v>▼</v>
      </c>
      <c r="N30" s="72"/>
      <c r="O30" s="72"/>
      <c r="P30" s="72"/>
      <c r="Q30" s="11"/>
      <c r="R30" s="79"/>
      <c r="S30" s="135">
        <v>1</v>
      </c>
      <c r="T30" s="162"/>
      <c r="U30" s="62"/>
      <c r="V30" s="366" t="str">
        <f ca="1">RIGHT(K24,1)</f>
        <v>D</v>
      </c>
      <c r="W30" s="719"/>
      <c r="X30" s="259" t="s">
        <v>222</v>
      </c>
      <c r="Y30" s="176">
        <f>IF(ISBLANK(E30),1,IF(SUBSTITUTE(W26,E30,"#")&lt;&gt;W26,2,IF(SUBSTITUTE(W27,E30,"#")&lt;&gt;W27,3,IF(SUBSTITUTE(W28,E30,"#")&lt;&gt;W28,4,IF(SUBSTITUTE(W29,E30,"#")&lt;&gt;W29,5,6)))))</f>
        <v>1</v>
      </c>
      <c r="Z30" s="176">
        <f>IF(ISBLANK(L30),1,IF(SUBSTITUTE(W31,L30,"#")&lt;&gt;W31,2,IF(SUBSTITUTE(W32,L30,"#")&lt;&gt;W32,3,IF(SUBSTITUTE(W33,L30,"#")&lt;&gt;W33,4,IF(SUBSTITUTE(W34,L30,"#")&lt;&gt;W34,5,6)))))</f>
        <v>1</v>
      </c>
      <c r="AA30" s="333"/>
      <c r="AB30" s="335" t="str">
        <f ca="1">UPPER(Taal04!$B$26)&amp;" "&amp;V30</f>
        <v>GROEP D</v>
      </c>
      <c r="AC30" s="334" t="str">
        <f ca="1">AB30</f>
        <v>GROEP D</v>
      </c>
      <c r="AD30" s="175"/>
      <c r="AE30" s="248" t="str">
        <f ca="1">AB30</f>
        <v>GROEP D</v>
      </c>
      <c r="AF30" s="175"/>
      <c r="AG30" s="175"/>
      <c r="AH30" s="175"/>
      <c r="AI30" s="284"/>
      <c r="AJ30" s="288"/>
      <c r="AL30" s="735" t="str">
        <f ca="1">IF(AF7="JA","","└ "&amp;SUBSTITUTE(Taal04!B62,"#",RIGHT(AL26,1)))</f>
        <v>└ LET OP: niet alle wedstrijden in groep C zijn ingevuld.</v>
      </c>
      <c r="AM30" s="734"/>
      <c r="AP30" s="736"/>
      <c r="AQ30" s="736"/>
    </row>
    <row r="31" spans="2:43" ht="20.100000000000001" customHeight="1" x14ac:dyDescent="0.3">
      <c r="B31" s="79"/>
      <c r="C31" s="9"/>
      <c r="D31" s="1185" t="str">
        <f ca="1">IF($S$12=1,IF($AC$7=1,AB28,IF($AC$11=1,AC28,"")),IF(AND($S$12=2,OR($Y$31="LEEG",$Y$31="ONGELDIG")),IF($AC$7=1,AB28,IF($AC$11=1,AC28,"")),""))</f>
        <v/>
      </c>
      <c r="E31" s="1185"/>
      <c r="F31" s="1185"/>
      <c r="G31" s="1185"/>
      <c r="H31" s="1185"/>
      <c r="I31" s="1185"/>
      <c r="J31" s="72"/>
      <c r="K31" s="1185" t="str">
        <f ca="1">IF($S$12=1,IF($AC$7=1,AB33,IF($AC$11=1,AC33,"")),IF(AND($S$12=2,OR($Z$31="LEEG",$Z$31="ONGELDIG")),IF($AC$7=1,AB33,IF($AC$11=1,AC33,"")),""))</f>
        <v/>
      </c>
      <c r="L31" s="1185"/>
      <c r="M31" s="1185"/>
      <c r="N31" s="1185"/>
      <c r="O31" s="1185"/>
      <c r="P31" s="1185"/>
      <c r="Q31" s="11"/>
      <c r="R31" s="79"/>
      <c r="S31" s="135">
        <f>S30+1</f>
        <v>2</v>
      </c>
      <c r="T31" s="109" t="str">
        <f ca="1">VLOOKUP(V31,Voorblad!$X$67:$Z$98,2,FALSE)</f>
        <v>Engeland</v>
      </c>
      <c r="U31" s="18" t="str">
        <f ca="1">VLOOKUP(V31,Voorblad!$X$67:$Z$98,3,FALSE)</f>
        <v>GB</v>
      </c>
      <c r="V31" s="370" t="str">
        <f ca="1">V30&amp;1</f>
        <v>D1</v>
      </c>
      <c r="W31" s="720" t="str">
        <f>"|"&amp;Taal02!C22&amp;"|"&amp;Taal02!D22&amp;"|"&amp;Taal02!E22&amp;"|"&amp;Taal02!F22&amp;"|"&amp;Taal02!G22&amp;"|"&amp;Taal02!H22&amp;"|"&amp;Taal02!I22&amp;"|"&amp;Taal02!J22&amp;"|"</f>
        <v>|Engeland|England|||||||</v>
      </c>
      <c r="X31" s="259" t="s">
        <v>223</v>
      </c>
      <c r="Y31" s="176" t="str">
        <f>IF(Y30=1, "LEEG",IF(AND(Y30&gt;1,Y30&lt;6,TYPE(Y26+Y28+Y30+Y32)=1),IF(OR(Y30=Y26,Y30=Y28,Y30=Y32),"DUBBEL","GOED"),"ONGELDIG"))</f>
        <v>LEEG</v>
      </c>
      <c r="Z31" s="176" t="str">
        <f>IF(Z30=1, "LEEG",IF(AND(Z30&gt;1,Z30&lt;6,TYPE(Z26+Z28+Z30+Z32)=1),IF(OR(Z30=Z26,Z30=Z28,Z30=Z32),"DUBBEL","GOED"),"ONGELDIG"))</f>
        <v>LEEG</v>
      </c>
      <c r="AA31" s="334" t="str">
        <f ca="1">RIGHT(V31,1)</f>
        <v>1</v>
      </c>
      <c r="AB31" s="336" t="str">
        <f>Groepswedstrijden!AC76</f>
        <v/>
      </c>
      <c r="AC31" s="333" t="e">
        <f>#REF!</f>
        <v>#REF!</v>
      </c>
      <c r="AD31" s="175">
        <f ca="1">IF($AC$7=1,VLOOKUP($V31,Groepswedstrijden!$AH$12:$BA$78,20,FALSE),IF($AC$11=1,VLOOKUP($V31,#REF!,20,FALSE),""))</f>
        <v>4</v>
      </c>
      <c r="AE31" s="247" t="str">
        <f ca="1">IF($AC$7=1,VLOOKUP($V31,Groepswedstrijden!$AH$12:$BA$78,3,FALSE),IF($AC$11=1,VLOOKUP($V31,#REF!,3,FALSE),""))</f>
        <v>Engeland</v>
      </c>
      <c r="AF31" s="175">
        <f ca="1">IF($AC$7=1,VLOOKUP($V31,Groepswedstrijden!$AH$12:$BA$78,9,FALSE),IF($AC$11=1,VLOOKUP($V31,#REF!,9,FALSE),""))</f>
        <v>0</v>
      </c>
      <c r="AG31" s="175">
        <f ca="1">IF($AC$7=1,VLOOKUP($V31,Groepswedstrijden!$AH$12:$BA$78,10,FALSE),IF($AC$11=1,VLOOKUP($V31,#REF!,10,FALSE),""))</f>
        <v>0</v>
      </c>
      <c r="AH31" s="175">
        <f ca="1">IF($AC$7=1,VLOOKUP($V31,Groepswedstrijden!$AH$12:$BA$78,11,FALSE),IF($AC$11=1,VLOOKUP($V31,#REF!,11,FALSE),""))</f>
        <v>0</v>
      </c>
      <c r="AI31" s="284">
        <f ca="1">IF($AC$7=1,VLOOKUP($V31,Groepswedstrijden!$AH$12:$BA$78,19,FALSE),IF($AC$11=1,VLOOKUP($V31,#REF!,19,FALSE),""))</f>
        <v>350000500001</v>
      </c>
      <c r="AJ31" s="289">
        <f ca="1">FLOOR(IF($AD31=1,AI31,IF($AD32=1,AI32,IF($AD33=1,AI33,AI34)))/10,1)</f>
        <v>35000050000</v>
      </c>
      <c r="AL31" s="1191" t="str">
        <f ca="1">AE30</f>
        <v>GROEP D</v>
      </c>
      <c r="AM31" s="426" t="s">
        <v>65</v>
      </c>
      <c r="AN31" s="427" t="str">
        <f ca="1">IF($AD31=1,AE31,IF($AD32=1,AE32,IF($AD33=1,AE33,AE34)))</f>
        <v>Tsjechië</v>
      </c>
      <c r="AO31" s="428">
        <f ca="1">IF($AD31=1,AF31,IF($AD32=1,AF32,IF($AD33=1,AF33,AF34)))</f>
        <v>0</v>
      </c>
      <c r="AP31" s="428">
        <f ca="1">IF($AD31=1,AG31,IF($AD32=1,AG32,IF($AD33=1,AG33,AG34)))</f>
        <v>0</v>
      </c>
      <c r="AQ31" s="428">
        <f ca="1">IF($AD31=1,AH31,IF($AD32=1,AH32,IF($AD33=1,AH33,AH34)))</f>
        <v>0</v>
      </c>
    </row>
    <row r="32" spans="2:43" ht="15" customHeight="1" x14ac:dyDescent="0.3">
      <c r="B32" s="79"/>
      <c r="C32" s="9"/>
      <c r="D32" s="425" t="s">
        <v>217</v>
      </c>
      <c r="E32" s="1013"/>
      <c r="F32" s="718" t="str">
        <f>IF(Y33="LEEG","▼","")</f>
        <v>▼</v>
      </c>
      <c r="G32" s="72"/>
      <c r="H32" s="72"/>
      <c r="I32" s="72"/>
      <c r="J32" s="72"/>
      <c r="K32" s="425" t="s">
        <v>217</v>
      </c>
      <c r="L32" s="1014"/>
      <c r="M32" s="718" t="str">
        <f>IF(Z33="LEEG","▼","")</f>
        <v>▼</v>
      </c>
      <c r="N32" s="72"/>
      <c r="O32" s="72"/>
      <c r="P32" s="72"/>
      <c r="Q32" s="11"/>
      <c r="R32" s="79"/>
      <c r="S32" s="135">
        <f>S31+1</f>
        <v>3</v>
      </c>
      <c r="T32" s="109" t="str">
        <f ca="1">VLOOKUP(V32,Voorblad!$X$67:$Z$98,2,FALSE)</f>
        <v>Kroatië</v>
      </c>
      <c r="U32" s="18" t="str">
        <f ca="1">VLOOKUP(V32,Voorblad!$X$67:$Z$98,3,FALSE)</f>
        <v>HR</v>
      </c>
      <c r="V32" s="370" t="str">
        <f ca="1">V30&amp;2</f>
        <v>D2</v>
      </c>
      <c r="W32" s="720" t="str">
        <f>"|"&amp;Taal02!C23&amp;"|"&amp;Taal02!D23&amp;"|"&amp;Taal02!E23&amp;"|"&amp;Taal02!F23&amp;"|"&amp;Taal02!G23&amp;"|"&amp;Taal02!H23&amp;"|"&amp;Taal02!I23&amp;"|"&amp;Taal02!J23&amp;"|"</f>
        <v>|Kroatië|Croatia|||||||</v>
      </c>
      <c r="X32" s="259" t="s">
        <v>224</v>
      </c>
      <c r="Y32" s="176">
        <f>IF(ISBLANK(E32),1,IF(SUBSTITUTE(W26,E32,"#")&lt;&gt;W26,2,IF(SUBSTITUTE(W27,E32,"#")&lt;&gt;W27,3,IF(SUBSTITUTE(W28,E32,"#")&lt;&gt;W28,4,IF(SUBSTITUTE(W29,E32,"#")&lt;&gt;W29,5,6)))))</f>
        <v>1</v>
      </c>
      <c r="Z32" s="176">
        <f>IF(ISBLANK(L32),1,IF(SUBSTITUTE(W31,L32,"#")&lt;&gt;W31,2,IF(SUBSTITUTE(W32,L32,"#")&lt;&gt;W32,3,IF(SUBSTITUTE(W33,L32,"#")&lt;&gt;W33,4,IF(SUBSTITUTE(W34,L32,"#")&lt;&gt;W34,5,6)))))</f>
        <v>1</v>
      </c>
      <c r="AA32" s="334" t="str">
        <f ca="1">RIGHT(V32,1)</f>
        <v>2</v>
      </c>
      <c r="AB32" s="336" t="str">
        <f>Groepswedstrijden!AC77</f>
        <v/>
      </c>
      <c r="AC32" s="333" t="e">
        <f>#REF!</f>
        <v>#REF!</v>
      </c>
      <c r="AD32" s="175">
        <f ca="1">IF($AC$7=1,VLOOKUP($V32,Groepswedstrijden!$AH$12:$BA$78,20,FALSE),IF($AC$11=1,VLOOKUP($V32,#REF!,20,FALSE),""))</f>
        <v>3</v>
      </c>
      <c r="AE32" s="247" t="str">
        <f ca="1">IF($AC$7=1,VLOOKUP($V32,Groepswedstrijden!$AH$12:$BA$78,3,FALSE),IF($AC$11=1,VLOOKUP($V32,#REF!,3,FALSE),""))</f>
        <v>Kroatië</v>
      </c>
      <c r="AF32" s="175">
        <f ca="1">IF($AC$7=1,VLOOKUP($V32,Groepswedstrijden!$AH$12:$BA$78,9,FALSE),IF($AC$11=1,VLOOKUP($V32,#REF!,9,FALSE),""))</f>
        <v>0</v>
      </c>
      <c r="AG32" s="175">
        <f ca="1">IF($AC$7=1,VLOOKUP($V32,Groepswedstrijden!$AH$12:$BA$78,10,FALSE),IF($AC$11=1,VLOOKUP($V32,#REF!,10,FALSE),""))</f>
        <v>0</v>
      </c>
      <c r="AH32" s="175">
        <f ca="1">IF($AC$7=1,VLOOKUP($V32,Groepswedstrijden!$AH$12:$BA$78,11,FALSE),IF($AC$11=1,VLOOKUP($V32,#REF!,11,FALSE),""))</f>
        <v>0</v>
      </c>
      <c r="AI32" s="284">
        <f ca="1">IF($AC$7=1,VLOOKUP($V32,Groepswedstrijden!$AH$12:$BA$78,19,FALSE),IF($AC$11=1,VLOOKUP($V32,#REF!,19,FALSE),""))</f>
        <v>350000500002</v>
      </c>
      <c r="AJ32" s="289">
        <f ca="1">FLOOR(IF($AD31=2,AI31,IF($AD32=2,AI32,IF($AD33=2,AI33,AI34)))/10,1)</f>
        <v>35000050000</v>
      </c>
      <c r="AL32" s="1192"/>
      <c r="AM32" s="429" t="str">
        <f ca="1">IF(AJ32=AJ31,"","2.")</f>
        <v/>
      </c>
      <c r="AN32" s="430" t="str">
        <f ca="1">IF($AD31=2,AE31,IF($AD32=2,AE32,IF($AD33=2,AE33,AE34)))</f>
        <v>Schotland</v>
      </c>
      <c r="AO32" s="431">
        <f ca="1">IF($AD31=2,AF31,IF($AD32=2,AF32,IF($AD33=2,AF33,AF34)))</f>
        <v>0</v>
      </c>
      <c r="AP32" s="431">
        <f ca="1">IF($AD31=2,AG31,IF($AD32=2,AG32,IF($AD33=2,AG33,AG34)))</f>
        <v>0</v>
      </c>
      <c r="AQ32" s="431">
        <f ca="1">IF($AD31=2,AH31,IF($AD32=2,AH32,IF($AD33=2,AH33,AH34)))</f>
        <v>0</v>
      </c>
    </row>
    <row r="33" spans="1:43" ht="20.100000000000001" customHeight="1" x14ac:dyDescent="0.3">
      <c r="B33" s="79"/>
      <c r="C33" s="9"/>
      <c r="D33" s="1185" t="str">
        <f ca="1">IF($S$12=1,IF($AC$7=1,AB29,IF($AC$11=1,AC29,"")),IF(AND($S$12=2,OR($Y$33="LEEG",$Y$33="ONGELDIG")),IF($AC$7=1,AB29,IF($AC$11=1,AC29,"")),""))</f>
        <v/>
      </c>
      <c r="E33" s="1185"/>
      <c r="F33" s="1185"/>
      <c r="G33" s="1185"/>
      <c r="H33" s="1185"/>
      <c r="I33" s="1185"/>
      <c r="J33" s="72"/>
      <c r="K33" s="1185" t="str">
        <f ca="1">IF($S$12=1,IF($AC$7=1,AB34,IF($AC$11=1,AC34,"")),IF(AND($S$12=2,OR($Z$33="LEEG",$Z$33="ONGELDIG")),IF($AC$7=1,AB34,IF($AC$11=1,AC34,"")),""))</f>
        <v/>
      </c>
      <c r="L33" s="1185"/>
      <c r="M33" s="1185"/>
      <c r="N33" s="1185"/>
      <c r="O33" s="1185"/>
      <c r="P33" s="1185"/>
      <c r="Q33" s="11"/>
      <c r="R33" s="79"/>
      <c r="S33" s="135">
        <f>S32+1</f>
        <v>4</v>
      </c>
      <c r="T33" s="109" t="str">
        <f ca="1">VLOOKUP(V33,Voorblad!$X$67:$Z$98,2,FALSE)</f>
        <v>Schotland</v>
      </c>
      <c r="U33" s="18" t="str">
        <f ca="1">VLOOKUP(V33,Voorblad!$X$67:$Z$98,3,FALSE)</f>
        <v>SC</v>
      </c>
      <c r="V33" s="370" t="str">
        <f ca="1">V30&amp;3</f>
        <v>D3</v>
      </c>
      <c r="W33" s="720" t="str">
        <f>"|"&amp;Taal02!C24&amp;"|"&amp;Taal02!D24&amp;"|"&amp;Taal02!E24&amp;"|"&amp;Taal02!F24&amp;"|"&amp;Taal02!G24&amp;"|"&amp;Taal02!H24&amp;"|"&amp;Taal02!I24&amp;"|"&amp;Taal02!J24&amp;"|"</f>
        <v>|Schotland|Scotland|||||||</v>
      </c>
      <c r="X33" s="259" t="s">
        <v>225</v>
      </c>
      <c r="Y33" s="176" t="str">
        <f>IF(Y32=1, "LEEG",IF(AND(Y32&gt;1,Y32&lt;6,TYPE(Y26+Y28+Y30+Y32)=1),IF(OR(Y32=Y26,Y32=Y28,Y32=Y30),"DUBBEL","GOED"),"ONGELDIG"))</f>
        <v>LEEG</v>
      </c>
      <c r="Z33" s="176" t="str">
        <f>IF(Z32=1, "LEEG",IF(AND(Z32&gt;1,Z32&lt;6,TYPE(Z26+Z28+Z30+Z32)=1),IF(OR(Z32=Z26,Z32=Z28,Z32=Z30),"DUBBEL","GOED"),"ONGELDIG"))</f>
        <v>LEEG</v>
      </c>
      <c r="AA33" s="334" t="str">
        <f ca="1">RIGHT(V33,1)</f>
        <v>3</v>
      </c>
      <c r="AB33" s="336" t="str">
        <f>Groepswedstrijden!AC78</f>
        <v/>
      </c>
      <c r="AC33" s="333" t="e">
        <f>#REF!</f>
        <v>#REF!</v>
      </c>
      <c r="AD33" s="175">
        <f ca="1">IF($AC$7=1,VLOOKUP($V33,Groepswedstrijden!$AH$12:$BA$78,20,FALSE),IF($AC$11=1,VLOOKUP($V33,#REF!,20,FALSE),""))</f>
        <v>2</v>
      </c>
      <c r="AE33" s="247" t="str">
        <f ca="1">IF($AC$7=1,VLOOKUP($V33,Groepswedstrijden!$AH$12:$BA$78,3,FALSE),IF($AC$11=1,VLOOKUP($V33,#REF!,3,FALSE),""))</f>
        <v>Schotland</v>
      </c>
      <c r="AF33" s="175">
        <f ca="1">IF($AC$7=1,VLOOKUP($V33,Groepswedstrijden!$AH$12:$BA$78,9,FALSE),IF($AC$11=1,VLOOKUP($V33,#REF!,9,FALSE),""))</f>
        <v>0</v>
      </c>
      <c r="AG33" s="175">
        <f ca="1">IF($AC$7=1,VLOOKUP($V33,Groepswedstrijden!$AH$12:$BA$78,10,FALSE),IF($AC$11=1,VLOOKUP($V33,#REF!,10,FALSE),""))</f>
        <v>0</v>
      </c>
      <c r="AH33" s="175">
        <f ca="1">IF($AC$7=1,VLOOKUP($V33,Groepswedstrijden!$AH$12:$BA$78,11,FALSE),IF($AC$11=1,VLOOKUP($V33,#REF!,11,FALSE),""))</f>
        <v>0</v>
      </c>
      <c r="AI33" s="284">
        <f ca="1">IF($AC$7=1,VLOOKUP($V33,Groepswedstrijden!$AH$12:$BA$78,19,FALSE),IF($AC$11=1,VLOOKUP($V33,#REF!,19,FALSE),""))</f>
        <v>350000500003</v>
      </c>
      <c r="AJ33" s="289">
        <f ca="1">FLOOR(IF($AD31=3,AI31,IF($AD32=3,AI32,IF($AD33=3,AI33,AI34)))/10,1)</f>
        <v>35000050000</v>
      </c>
      <c r="AL33" s="1192"/>
      <c r="AM33" s="429" t="str">
        <f ca="1">IF(AJ33=AJ32,"","3.")</f>
        <v/>
      </c>
      <c r="AN33" s="430" t="str">
        <f ca="1">IF($AD31=3,AE31,IF($AD32=3,AE32,IF($AD33=3,AE33,AE34)))</f>
        <v>Kroatië</v>
      </c>
      <c r="AO33" s="431">
        <f ca="1">IF($AD31=3,AF31,IF($AD32=3,AF32,IF($AD33=3,AF33,AF34)))</f>
        <v>0</v>
      </c>
      <c r="AP33" s="431">
        <f ca="1">IF($AD31=3,AG31,IF($AD32=3,AG32,IF($AD33=3,AG33,AG34)))</f>
        <v>0</v>
      </c>
      <c r="AQ33" s="431">
        <f ca="1">IF($AD31=3,AH31,IF($AD32=3,AH32,IF($AD33=3,AH33,AH34)))</f>
        <v>0</v>
      </c>
    </row>
    <row r="34" spans="1:43" ht="15" customHeight="1" x14ac:dyDescent="0.3">
      <c r="B34" s="79"/>
      <c r="C34" s="9"/>
      <c r="D34" s="1189" t="str">
        <f ca="1">Taal04!$B$26&amp;" E"</f>
        <v>Groep E</v>
      </c>
      <c r="E34" s="1189"/>
      <c r="F34" s="72"/>
      <c r="G34" s="72"/>
      <c r="H34" s="72"/>
      <c r="I34" s="72"/>
      <c r="J34" s="72"/>
      <c r="K34" s="1189" t="str">
        <f ca="1">Taal04!$B$26&amp;" F"</f>
        <v>Groep F</v>
      </c>
      <c r="L34" s="1189"/>
      <c r="M34" s="72"/>
      <c r="N34" s="72"/>
      <c r="O34" s="72"/>
      <c r="P34" s="72"/>
      <c r="Q34" s="11"/>
      <c r="R34" s="79"/>
      <c r="S34" s="135">
        <f>S33+1</f>
        <v>5</v>
      </c>
      <c r="T34" s="163" t="str">
        <f ca="1">VLOOKUP(V34,Voorblad!$X$67:$Z$98,2,FALSE)</f>
        <v>Tsjechië</v>
      </c>
      <c r="U34" s="65" t="str">
        <f ca="1">VLOOKUP(V34,Voorblad!$X$67:$Z$98,3,FALSE)</f>
        <v>CZ</v>
      </c>
      <c r="V34" s="373" t="str">
        <f ca="1">V30&amp;4</f>
        <v>D4</v>
      </c>
      <c r="W34" s="720" t="str">
        <f>"|"&amp;Taal02!C25&amp;"|"&amp;Taal02!D25&amp;"|"&amp;Taal02!E25&amp;"|"&amp;Taal02!F25&amp;"|"&amp;Taal02!G25&amp;"|"&amp;Taal02!H25&amp;"|"&amp;Taal02!I25&amp;"|"&amp;Taal02!J25&amp;"|"</f>
        <v>|Tsjechië|Czech Rep.|||||||</v>
      </c>
      <c r="X34" s="259" t="s">
        <v>226</v>
      </c>
      <c r="Y34" s="497" t="str">
        <f>IF(TYPE(1*((Y26+Y28+Y30+Y32)&amp;(Y26*Y28*Y30*Y32)))=1,(Y26+Y28+Y30+Y32)&amp;(Y26*Y28*Y30*Y32),14120)</f>
        <v>41</v>
      </c>
      <c r="Z34" s="497" t="str">
        <f>IF(TYPE(1*((Z26+Z28+Z30+Z32)&amp;(Z26*Z28*Z30*Z32)))=1,(Z26+Z28+Z30+Z32)&amp;(Z26*Z28*Z30*Z32),14120)</f>
        <v>41</v>
      </c>
      <c r="AA34" s="334" t="str">
        <f ca="1">RIGHT(V34,1)</f>
        <v>4</v>
      </c>
      <c r="AB34" s="336" t="str">
        <f>Groepswedstrijden!AC79</f>
        <v/>
      </c>
      <c r="AC34" s="333" t="e">
        <f>#REF!</f>
        <v>#REF!</v>
      </c>
      <c r="AD34" s="175">
        <f ca="1">IF($AC$7=1,VLOOKUP($V34,Groepswedstrijden!$AH$12:$BA$78,20,FALSE),IF($AC$11=1,VLOOKUP($V34,#REF!,20,FALSE),""))</f>
        <v>1</v>
      </c>
      <c r="AE34" s="247" t="str">
        <f ca="1">IF($AC$7=1,VLOOKUP($V34,Groepswedstrijden!$AH$12:$BA$78,3,FALSE),IF($AC$11=1,VLOOKUP($V34,#REF!,3,FALSE),""))</f>
        <v>Tsjechië</v>
      </c>
      <c r="AF34" s="175">
        <f ca="1">IF($AC$7=1,VLOOKUP($V34,Groepswedstrijden!$AH$12:$BA$78,9,FALSE),IF($AC$11=1,VLOOKUP($V34,#REF!,9,FALSE),""))</f>
        <v>0</v>
      </c>
      <c r="AG34" s="175">
        <f ca="1">IF($AC$7=1,VLOOKUP($V34,Groepswedstrijden!$AH$12:$BA$78,10,FALSE),IF($AC$11=1,VLOOKUP($V34,#REF!,10,FALSE),""))</f>
        <v>0</v>
      </c>
      <c r="AH34" s="175">
        <f ca="1">IF($AC$7=1,VLOOKUP($V34,Groepswedstrijden!$AH$12:$BA$78,11,FALSE),IF($AC$11=1,VLOOKUP($V34,#REF!,11,FALSE),""))</f>
        <v>0</v>
      </c>
      <c r="AI34" s="284">
        <f ca="1">IF($AC$7=1,VLOOKUP($V34,Groepswedstrijden!$AH$12:$BA$78,19,FALSE),IF($AC$11=1,VLOOKUP($V34,#REF!,19,FALSE),""))</f>
        <v>350000500004</v>
      </c>
      <c r="AJ34" s="289">
        <f ca="1">FLOOR(IF($AD31=4,AI31,IF($AD32=4,AI32,IF($AD33=4,AI33,AI34)))/10,1)</f>
        <v>35000050000</v>
      </c>
      <c r="AL34" s="1193"/>
      <c r="AM34" s="432" t="str">
        <f ca="1">IF(AJ34=AJ33,"","4.")</f>
        <v/>
      </c>
      <c r="AN34" s="433" t="str">
        <f ca="1">IF($AD31=4,AE31,IF($AD32=4,AE32,IF($AD33=4,AE33,AE34)))</f>
        <v>Engeland</v>
      </c>
      <c r="AO34" s="434">
        <f ca="1">IF($AD31=4,AF31,IF($AD32=4,AF32,IF($AD33=4,AF33,AF34)))</f>
        <v>0</v>
      </c>
      <c r="AP34" s="434">
        <f ca="1">IF($AD31=4,AG31,IF($AD32=4,AG32,IF($AD33=4,AG33,AG34)))</f>
        <v>0</v>
      </c>
      <c r="AQ34" s="434">
        <f ca="1">IF($AD31=4,AH31,IF($AD32=4,AH32,IF($AD33=4,AH33,AH34)))</f>
        <v>0</v>
      </c>
    </row>
    <row r="35" spans="1:43" ht="15" customHeight="1" x14ac:dyDescent="0.3">
      <c r="B35" s="79"/>
      <c r="C35" s="9"/>
      <c r="D35" s="1190"/>
      <c r="E35" s="1190"/>
      <c r="F35" s="72"/>
      <c r="G35" s="72"/>
      <c r="H35" s="72"/>
      <c r="I35" s="72"/>
      <c r="J35" s="72"/>
      <c r="K35" s="1190"/>
      <c r="L35" s="1190"/>
      <c r="M35" s="72"/>
      <c r="N35" s="72"/>
      <c r="O35" s="72"/>
      <c r="P35" s="72"/>
      <c r="Q35" s="11"/>
      <c r="R35" s="79"/>
      <c r="S35" s="135">
        <v>1</v>
      </c>
      <c r="T35" s="162"/>
      <c r="U35" s="164"/>
      <c r="V35" s="366" t="str">
        <f ca="1">RIGHT(D34,1)</f>
        <v>E</v>
      </c>
      <c r="W35" s="719"/>
      <c r="X35" s="259" t="str">
        <f ca="1">"Deelnamecode "&amp;V35&amp;"/"&amp;V40</f>
        <v>Deelnamecode E/F</v>
      </c>
      <c r="Y35" s="196" t="str">
        <f>IF(AND(TYPE(Y36)=1,TYPE(Y38)=1,TYPE(Y40)=1,TYPE(Y42)=1),IF(AND(Y37="GOED",Y39="GOED",Y41="GOED",Y43="GOED"),LOOKUP(Y36,S36:S39,U36:U39)&amp;"."&amp;LOOKUP(Y38,S36:S39,U36:U39)&amp;"."&amp;LOOKUP(Y40,S36:S39,U36:U39)&amp;"."&amp;LOOKUP(Y42,S36:S39,U36:U39)&amp;"|","FOUT"),"ONGELDIG")</f>
        <v>FOUT</v>
      </c>
      <c r="Z35" s="196" t="str">
        <f>IF(AND(TYPE(Z36)=1,TYPE(Z38)=1,TYPE(Z40)=1,TYPE(Z42)=1),IF(AND(Z37="GOED",Z39="GOED",Z41="GOED",Z43="GOED"),LOOKUP(Z36,S41:S44,U41:U44)&amp;"."&amp;LOOKUP(Z38,S41:S44,U41:U44)&amp;"."&amp;LOOKUP(Z40,S41:S44,U41:U44)&amp;"."&amp;LOOKUP(Z42,S41:S44,U41:U44)&amp;"|","FOUT"),"ONGELDIG")</f>
        <v>FOUT</v>
      </c>
      <c r="AA35" s="333"/>
      <c r="AB35" s="335" t="str">
        <f ca="1">UPPER(Taal04!$B$26)&amp;" "&amp;V35</f>
        <v>GROEP E</v>
      </c>
      <c r="AC35" s="334" t="str">
        <f ca="1">AB35</f>
        <v>GROEP E</v>
      </c>
      <c r="AD35" s="175"/>
      <c r="AE35" s="248" t="str">
        <f ca="1">AB35</f>
        <v>GROEP E</v>
      </c>
      <c r="AF35" s="175"/>
      <c r="AG35" s="175"/>
      <c r="AH35" s="175"/>
      <c r="AI35" s="284"/>
      <c r="AJ35" s="288"/>
      <c r="AL35" s="735" t="str">
        <f ca="1">IF(AH7="JA","","└ "&amp;SUBSTITUTE(Taal04!B62,"#",RIGHT(AL31,1)))</f>
        <v>└ LET OP: niet alle wedstrijden in groep D zijn ingevuld.</v>
      </c>
    </row>
    <row r="36" spans="1:43" ht="15" customHeight="1" x14ac:dyDescent="0.3">
      <c r="B36" s="79"/>
      <c r="C36" s="9"/>
      <c r="D36" s="425" t="s">
        <v>214</v>
      </c>
      <c r="E36" s="1013"/>
      <c r="F36" s="718" t="str">
        <f>IF(Y37="LEEG","▼","")</f>
        <v>▼</v>
      </c>
      <c r="G36" s="72"/>
      <c r="H36" s="328"/>
      <c r="I36" s="328"/>
      <c r="J36" s="72"/>
      <c r="K36" s="425" t="s">
        <v>214</v>
      </c>
      <c r="L36" s="1014"/>
      <c r="M36" s="718" t="str">
        <f>IF(Z37="LEEG","▼","")</f>
        <v>▼</v>
      </c>
      <c r="N36" s="72"/>
      <c r="O36" s="328"/>
      <c r="P36" s="328"/>
      <c r="Q36" s="11"/>
      <c r="R36" s="79"/>
      <c r="S36" s="135">
        <f>S35+1</f>
        <v>2</v>
      </c>
      <c r="T36" s="109" t="str">
        <f ca="1">VLOOKUP(V36,Voorblad!$X$67:$Z$98,2,FALSE)</f>
        <v>Spanje</v>
      </c>
      <c r="U36" s="18" t="str">
        <f ca="1">VLOOKUP(V36,Voorblad!$X$67:$Z$98,3,FALSE)</f>
        <v>ES</v>
      </c>
      <c r="V36" s="370" t="str">
        <f ca="1">V35&amp;1</f>
        <v>E1</v>
      </c>
      <c r="W36" s="720" t="str">
        <f>"|"&amp;Taal02!C27&amp;"|"&amp;Taal02!D27&amp;"|"&amp;Taal02!E27&amp;"|"&amp;Taal02!F27&amp;"|"&amp;Taal02!G27&amp;"|"&amp;Taal02!H27&amp;"|"&amp;Taal02!I27&amp;"|"&amp;Taal02!J27&amp;"|"</f>
        <v>|Spanje|Spain|||||||</v>
      </c>
      <c r="X36" s="259" t="s">
        <v>218</v>
      </c>
      <c r="Y36" s="176">
        <f>IF(ISBLANK(E36),1,IF(SUBSTITUTE(W36,E36,"#")&lt;&gt;W36,2,IF(SUBSTITUTE(W37,E36,"#")&lt;&gt;W37,3,IF(SUBSTITUTE(W38,E36,"#")&lt;&gt;W38,4,IF(SUBSTITUTE(W39,E36,"#")&lt;&gt;W39,5,6)))))</f>
        <v>1</v>
      </c>
      <c r="Z36" s="176">
        <f>IF(ISBLANK(L36),1,IF(SUBSTITUTE(W41,L36,"#")&lt;&gt;W41,2,IF(SUBSTITUTE(W42,L36,"#")&lt;&gt;W42,3,IF(SUBSTITUTE(W43,L36,"#")&lt;&gt;W43,4,IF(SUBSTITUTE(W44,L36,"#")&lt;&gt;W44,5,6)))))</f>
        <v>1</v>
      </c>
      <c r="AA36" s="334" t="str">
        <f ca="1">RIGHT(V36,1)</f>
        <v>1</v>
      </c>
      <c r="AB36" s="336" t="str">
        <f>Groepswedstrijden!AD76</f>
        <v/>
      </c>
      <c r="AC36" s="333" t="e">
        <f>#REF!</f>
        <v>#REF!</v>
      </c>
      <c r="AD36" s="175">
        <f ca="1">IF($AC$7=1,VLOOKUP($V36,Groepswedstrijden!$AH$12:$BA$78,20,FALSE),IF($AC$11=1,VLOOKUP($V36,#REF!,20,FALSE),""))</f>
        <v>2</v>
      </c>
      <c r="AE36" s="247" t="str">
        <f ca="1">IF($AC$7=1,VLOOKUP($V36,Groepswedstrijden!$AH$12:$BA$78,3,FALSE),IF($AC$11=1,VLOOKUP($V36,#REF!,3,FALSE),""))</f>
        <v>Spanje</v>
      </c>
      <c r="AF36" s="175">
        <f ca="1">IF($AC$7=1,VLOOKUP($V36,Groepswedstrijden!$AH$12:$BA$78,9,FALSE),IF($AC$11=1,VLOOKUP($V36,#REF!,9,FALSE),""))</f>
        <v>0</v>
      </c>
      <c r="AG36" s="175">
        <f ca="1">IF($AC$7=1,VLOOKUP($V36,Groepswedstrijden!$AH$12:$BA$78,10,FALSE),IF($AC$11=1,VLOOKUP($V36,#REF!,10,FALSE),""))</f>
        <v>0</v>
      </c>
      <c r="AH36" s="175">
        <f ca="1">IF($AC$7=1,VLOOKUP($V36,Groepswedstrijden!$AH$12:$BA$78,11,FALSE),IF($AC$11=1,VLOOKUP($V36,#REF!,11,FALSE),""))</f>
        <v>0</v>
      </c>
      <c r="AI36" s="284">
        <f ca="1">IF($AC$7=1,VLOOKUP($V36,Groepswedstrijden!$AH$12:$BA$78,19,FALSE),IF($AC$11=1,VLOOKUP($V36,#REF!,19,FALSE),""))</f>
        <v>350000500003</v>
      </c>
      <c r="AJ36" s="289">
        <f ca="1">FLOOR(IF($AD36=1,AI36,IF($AD37=1,AI37,IF($AD38=1,AI38,AI39)))/10,1)</f>
        <v>35000050000</v>
      </c>
      <c r="AL36" s="1191" t="str">
        <f ca="1">AE35</f>
        <v>GROEP E</v>
      </c>
      <c r="AM36" s="426" t="s">
        <v>65</v>
      </c>
      <c r="AN36" s="427" t="str">
        <f ca="1">IF($AD36=1,AE36,IF($AD37=1,AE37,IF($AD38=1,AE38,AE39)))</f>
        <v>Zweden</v>
      </c>
      <c r="AO36" s="428">
        <f ca="1">IF($AD36=1,AF36,IF($AD37=1,AF37,IF($AD38=1,AF38,AF39)))</f>
        <v>0</v>
      </c>
      <c r="AP36" s="428">
        <f ca="1">IF($AD36=1,AG36,IF($AD37=1,AG37,IF($AD38=1,AG38,AG39)))</f>
        <v>0</v>
      </c>
      <c r="AQ36" s="428">
        <f ca="1">IF($AD36=1,AH36,IF($AD37=1,AH37,IF($AD38=1,AH38,AH39)))</f>
        <v>0</v>
      </c>
    </row>
    <row r="37" spans="1:43" ht="20.100000000000001" customHeight="1" x14ac:dyDescent="0.3">
      <c r="B37" s="79"/>
      <c r="C37" s="9"/>
      <c r="D37" s="1185" t="str">
        <f ca="1">IF($S$12=1,IF($AC$7=1,AB36,IF($AC$11=1,AC36,"")),IF(AND($S$12=2,OR($Y$37="LEEG",$Y$37="ONGELDIG")),IF($AC$7=1,AB36,IF($AC$11=1,AC36,"")),""))</f>
        <v/>
      </c>
      <c r="E37" s="1185"/>
      <c r="F37" s="1185"/>
      <c r="G37" s="1185"/>
      <c r="H37" s="1185"/>
      <c r="I37" s="1185"/>
      <c r="J37" s="72"/>
      <c r="K37" s="1185" t="str">
        <f ca="1">IF($S$12=1,IF($AC$7=1,AB41,IF($AC$11=1,AC41,"")),IF(AND($S$12=2,OR($Z$37="LEEG",$Z$37="ONGELDIG")),IF($AC$7=1,AB41,IF($AC$11=1,AC41,"")),""))</f>
        <v/>
      </c>
      <c r="L37" s="1185"/>
      <c r="M37" s="1185"/>
      <c r="N37" s="1185"/>
      <c r="O37" s="1185"/>
      <c r="P37" s="1185"/>
      <c r="Q37" s="11"/>
      <c r="R37" s="79"/>
      <c r="S37" s="135">
        <f>S36+1</f>
        <v>3</v>
      </c>
      <c r="T37" s="109" t="str">
        <f ca="1">VLOOKUP(V37,Voorblad!$X$67:$Z$98,2,FALSE)</f>
        <v>Zweden</v>
      </c>
      <c r="U37" s="18" t="str">
        <f ca="1">VLOOKUP(V37,Voorblad!$X$67:$Z$98,3,FALSE)</f>
        <v>SE</v>
      </c>
      <c r="V37" s="370" t="str">
        <f ca="1">V35&amp;2</f>
        <v>E2</v>
      </c>
      <c r="W37" s="720" t="str">
        <f>"|"&amp;Taal02!C28&amp;"|"&amp;Taal02!D28&amp;"|"&amp;Taal02!E28&amp;"|"&amp;Taal02!F28&amp;"|"&amp;Taal02!G28&amp;"|"&amp;Taal02!H28&amp;"|"&amp;Taal02!I28&amp;"|"&amp;Taal02!J28&amp;"|"</f>
        <v>|Zweden|Sweden|||||||</v>
      </c>
      <c r="X37" s="259" t="s">
        <v>219</v>
      </c>
      <c r="Y37" s="176" t="str">
        <f>IF(Y36=1, "LEEG",IF(AND(Y36&gt;1,Y36&lt;6,TYPE(Y36+Y38+Y40+Y42)=1),IF(OR(Y36=Y38,Y36=Y40,Y36=Y42),"DUBBEL","GOED"),"ONGELDIG"))</f>
        <v>LEEG</v>
      </c>
      <c r="Z37" s="176" t="str">
        <f>IF(Z36=1, "LEEG",IF(AND(Z36&gt;1,Z36&lt;6,TYPE(Z36+Z38+Z40+Z42)=1),IF(OR(Z36=Z38,Z36=Z40,Z36=Z42),"DUBBEL","GOED"),"ONGELDIG"))</f>
        <v>LEEG</v>
      </c>
      <c r="AA37" s="334" t="str">
        <f ca="1">RIGHT(V37,1)</f>
        <v>2</v>
      </c>
      <c r="AB37" s="336" t="str">
        <f>Groepswedstrijden!AD77</f>
        <v/>
      </c>
      <c r="AC37" s="333" t="e">
        <f>#REF!</f>
        <v>#REF!</v>
      </c>
      <c r="AD37" s="175">
        <f ca="1">IF($AC$7=1,VLOOKUP($V37,Groepswedstrijden!$AH$12:$BA$78,20,FALSE),IF($AC$11=1,VLOOKUP($V37,#REF!,20,FALSE),""))</f>
        <v>1</v>
      </c>
      <c r="AE37" s="247" t="str">
        <f ca="1">IF($AC$7=1,VLOOKUP($V37,Groepswedstrijden!$AH$12:$BA$78,3,FALSE),IF($AC$11=1,VLOOKUP($V37,#REF!,3,FALSE),""))</f>
        <v>Zweden</v>
      </c>
      <c r="AF37" s="175">
        <f ca="1">IF($AC$7=1,VLOOKUP($V37,Groepswedstrijden!$AH$12:$BA$78,9,FALSE),IF($AC$11=1,VLOOKUP($V37,#REF!,9,FALSE),""))</f>
        <v>0</v>
      </c>
      <c r="AG37" s="175">
        <f ca="1">IF($AC$7=1,VLOOKUP($V37,Groepswedstrijden!$AH$12:$BA$78,10,FALSE),IF($AC$11=1,VLOOKUP($V37,#REF!,10,FALSE),""))</f>
        <v>0</v>
      </c>
      <c r="AH37" s="175">
        <f ca="1">IF($AC$7=1,VLOOKUP($V37,Groepswedstrijden!$AH$12:$BA$78,11,FALSE),IF($AC$11=1,VLOOKUP($V37,#REF!,11,FALSE),""))</f>
        <v>0</v>
      </c>
      <c r="AI37" s="284">
        <f ca="1">IF($AC$7=1,VLOOKUP($V37,Groepswedstrijden!$AH$12:$BA$78,19,FALSE),IF($AC$11=1,VLOOKUP($V37,#REF!,19,FALSE),""))</f>
        <v>350000500004</v>
      </c>
      <c r="AJ37" s="289">
        <f ca="1">FLOOR(IF($AD36=2,AI36,IF($AD37=2,AI37,IF($AD38=2,AI38,AI39)))/10,1)</f>
        <v>35000050000</v>
      </c>
      <c r="AL37" s="1192"/>
      <c r="AM37" s="429" t="str">
        <f ca="1">IF(AJ37=AJ36,"","2.")</f>
        <v/>
      </c>
      <c r="AN37" s="430" t="str">
        <f ca="1">IF($AD36=2,AE36,IF($AD37=2,AE37,IF($AD38=2,AE38,AE39)))</f>
        <v>Spanje</v>
      </c>
      <c r="AO37" s="431">
        <f ca="1">IF($AD36=2,AF36,IF($AD37=2,AF37,IF($AD38=2,AF38,AF39)))</f>
        <v>0</v>
      </c>
      <c r="AP37" s="431">
        <f ca="1">IF($AD36=2,AG36,IF($AD37=2,AG37,IF($AD38=2,AG38,AG39)))</f>
        <v>0</v>
      </c>
      <c r="AQ37" s="431">
        <f ca="1">IF($AD36=2,AH36,IF($AD37=2,AH37,IF($AD38=2,AH38,AH39)))</f>
        <v>0</v>
      </c>
    </row>
    <row r="38" spans="1:43" ht="15" customHeight="1" x14ac:dyDescent="0.3">
      <c r="B38" s="79"/>
      <c r="C38" s="9"/>
      <c r="D38" s="425" t="s">
        <v>215</v>
      </c>
      <c r="E38" s="1013"/>
      <c r="F38" s="718" t="str">
        <f>IF(Y39="LEEG","▼","")</f>
        <v>▼</v>
      </c>
      <c r="G38" s="72"/>
      <c r="H38" s="72"/>
      <c r="I38" s="72"/>
      <c r="J38" s="72"/>
      <c r="K38" s="425" t="s">
        <v>215</v>
      </c>
      <c r="L38" s="1014"/>
      <c r="M38" s="718" t="str">
        <f>IF(Z39="LEEG","▼","")</f>
        <v>▼</v>
      </c>
      <c r="N38" s="72"/>
      <c r="O38" s="72"/>
      <c r="P38" s="72"/>
      <c r="Q38" s="11"/>
      <c r="R38" s="79"/>
      <c r="S38" s="135">
        <f>S37+1</f>
        <v>4</v>
      </c>
      <c r="T38" s="109" t="str">
        <f ca="1">VLOOKUP(V38,Voorblad!$X$67:$Z$98,2,FALSE)</f>
        <v>Polen</v>
      </c>
      <c r="U38" s="18" t="str">
        <f ca="1">VLOOKUP(V38,Voorblad!$X$67:$Z$98,3,FALSE)</f>
        <v>PL</v>
      </c>
      <c r="V38" s="370" t="str">
        <f ca="1">V35&amp;3</f>
        <v>E3</v>
      </c>
      <c r="W38" s="720" t="str">
        <f>"|"&amp;Taal02!C29&amp;"|"&amp;Taal02!D29&amp;"|"&amp;Taal02!E29&amp;"|"&amp;Taal02!F29&amp;"|"&amp;Taal02!G29&amp;"|"&amp;Taal02!H29&amp;"|"&amp;Taal02!I29&amp;"|"&amp;Taal02!J29&amp;"|"</f>
        <v>|Polen|Poland|||||||</v>
      </c>
      <c r="X38" s="259" t="s">
        <v>220</v>
      </c>
      <c r="Y38" s="176">
        <f>IF(ISBLANK(E38),1,IF(SUBSTITUTE(W36,E38,"#")&lt;&gt;W36,2,IF(SUBSTITUTE(W37,E38,"#")&lt;&gt;W37,3,IF(SUBSTITUTE(W38,E38,"#")&lt;&gt;W38,4,IF(SUBSTITUTE(W39,E38,"#")&lt;&gt;W39,5,6)))))</f>
        <v>1</v>
      </c>
      <c r="Z38" s="176">
        <f>IF(ISBLANK(L38),1,IF(SUBSTITUTE(W41,L38,"#")&lt;&gt;W41,2,IF(SUBSTITUTE(W42,L38,"#")&lt;&gt;W42,3,IF(SUBSTITUTE(W43,L38,"#")&lt;&gt;W43,4,IF(SUBSTITUTE(W44,L38,"#")&lt;&gt;W44,5,6)))))</f>
        <v>1</v>
      </c>
      <c r="AA38" s="334" t="str">
        <f ca="1">RIGHT(V38,1)</f>
        <v>3</v>
      </c>
      <c r="AB38" s="336" t="str">
        <f>Groepswedstrijden!AD78</f>
        <v/>
      </c>
      <c r="AC38" s="333" t="e">
        <f>#REF!</f>
        <v>#REF!</v>
      </c>
      <c r="AD38" s="175">
        <f ca="1">IF($AC$7=1,VLOOKUP($V38,Groepswedstrijden!$AH$12:$BA$78,20,FALSE),IF($AC$11=1,VLOOKUP($V38,#REF!,20,FALSE),""))</f>
        <v>4</v>
      </c>
      <c r="AE38" s="247" t="str">
        <f ca="1">IF($AC$7=1,VLOOKUP($V38,Groepswedstrijden!$AH$12:$BA$78,3,FALSE),IF($AC$11=1,VLOOKUP($V38,#REF!,3,FALSE),""))</f>
        <v>Polen</v>
      </c>
      <c r="AF38" s="175">
        <f ca="1">IF($AC$7=1,VLOOKUP($V38,Groepswedstrijden!$AH$12:$BA$78,9,FALSE),IF($AC$11=1,VLOOKUP($V38,#REF!,9,FALSE),""))</f>
        <v>0</v>
      </c>
      <c r="AG38" s="175">
        <f ca="1">IF($AC$7=1,VLOOKUP($V38,Groepswedstrijden!$AH$12:$BA$78,10,FALSE),IF($AC$11=1,VLOOKUP($V38,#REF!,10,FALSE),""))</f>
        <v>0</v>
      </c>
      <c r="AH38" s="175">
        <f ca="1">IF($AC$7=1,VLOOKUP($V38,Groepswedstrijden!$AH$12:$BA$78,11,FALSE),IF($AC$11=1,VLOOKUP($V38,#REF!,11,FALSE),""))</f>
        <v>0</v>
      </c>
      <c r="AI38" s="284">
        <f ca="1">IF($AC$7=1,VLOOKUP($V38,Groepswedstrijden!$AH$12:$BA$78,19,FALSE),IF($AC$11=1,VLOOKUP($V38,#REF!,19,FALSE),""))</f>
        <v>350000500001</v>
      </c>
      <c r="AJ38" s="289">
        <f ca="1">FLOOR(IF($AD36=3,AI36,IF($AD37=3,AI37,IF($AD38=3,AI38,AI39)))/10,1)</f>
        <v>35000050000</v>
      </c>
      <c r="AL38" s="1192"/>
      <c r="AM38" s="429" t="str">
        <f ca="1">IF(AJ38=AJ37,"","3.")</f>
        <v/>
      </c>
      <c r="AN38" s="430" t="str">
        <f ca="1">IF($AD36=3,AE36,IF($AD37=3,AE37,IF($AD38=3,AE38,AE39)))</f>
        <v>Slowakije</v>
      </c>
      <c r="AO38" s="431">
        <f ca="1">IF($AD36=3,AF36,IF($AD37=3,AF37,IF($AD38=3,AF38,AF39)))</f>
        <v>0</v>
      </c>
      <c r="AP38" s="431">
        <f ca="1">IF($AD36=3,AG36,IF($AD37=3,AG37,IF($AD38=3,AG38,AG39)))</f>
        <v>0</v>
      </c>
      <c r="AQ38" s="431">
        <f ca="1">IF($AD36=3,AH36,IF($AD37=3,AH37,IF($AD38=3,AH38,AH39)))</f>
        <v>0</v>
      </c>
    </row>
    <row r="39" spans="1:43" ht="20.100000000000001" customHeight="1" x14ac:dyDescent="0.3">
      <c r="B39" s="79"/>
      <c r="C39" s="9"/>
      <c r="D39" s="1185" t="str">
        <f ca="1">IF($S$12=1,IF($AC$7=1,AB37,IF($AC$11=1,AC37,"")),IF(AND($S$12=2,OR($Y$39="LEEG",$Y$39="ONGELDIG")),IF($AC$7=1,AB37,IF($AC$11=1,AC37,"")),""))</f>
        <v/>
      </c>
      <c r="E39" s="1185"/>
      <c r="F39" s="1185"/>
      <c r="G39" s="1185"/>
      <c r="H39" s="1185"/>
      <c r="I39" s="1185"/>
      <c r="J39" s="72"/>
      <c r="K39" s="1185" t="str">
        <f ca="1">IF($S$12=1,IF($AC$7=1,AB42,IF($AC$11=1,AC42,"")),IF(AND($S$12=2,OR($Z$39="LEEG",$Z$39="ONGELDIG")),IF($AC$7=1,AB42,IF($AC$11=1,AC42,"")),""))</f>
        <v/>
      </c>
      <c r="L39" s="1185"/>
      <c r="M39" s="1185"/>
      <c r="N39" s="1185"/>
      <c r="O39" s="1185"/>
      <c r="P39" s="1185"/>
      <c r="Q39" s="11"/>
      <c r="R39" s="79"/>
      <c r="S39" s="135">
        <f>S38+1</f>
        <v>5</v>
      </c>
      <c r="T39" s="163" t="str">
        <f ca="1">VLOOKUP(V39,Voorblad!$X$67:$Z$98,2,FALSE)</f>
        <v>Slowakije</v>
      </c>
      <c r="U39" s="65" t="str">
        <f ca="1">VLOOKUP(V39,Voorblad!$X$67:$Z$98,3,FALSE)</f>
        <v>SK</v>
      </c>
      <c r="V39" s="373" t="str">
        <f ca="1">V35&amp;4</f>
        <v>E4</v>
      </c>
      <c r="W39" s="720" t="str">
        <f>"|"&amp;Taal02!C30&amp;"|"&amp;Taal02!D30&amp;"|"&amp;Taal02!E30&amp;"|"&amp;Taal02!F30&amp;"|"&amp;Taal02!G30&amp;"|"&amp;Taal02!H30&amp;"|"&amp;Taal02!I30&amp;"|"&amp;Taal02!J30&amp;"|"</f>
        <v>|Slowakije|Slovakia|||||||</v>
      </c>
      <c r="X39" s="259" t="s">
        <v>221</v>
      </c>
      <c r="Y39" s="176" t="str">
        <f>IF(Y38=1, "LEEG",IF(AND(Y38&gt;1,Y38&lt;6,TYPE(Y36+Y38+Y40+Y42)=1),IF(OR(Y38=Y36,Y38=Y40,Y38=Y42),"DUBBEL","GOED"),"ONGELDIG"))</f>
        <v>LEEG</v>
      </c>
      <c r="Z39" s="176" t="str">
        <f>IF(Z38=1, "LEEG",IF(AND(Z38&gt;1,Z38&lt;6,TYPE(Z36+Z38+Z40+Z42)=1),IF(OR(Z38=Z36,Z38=Z40,Z38=Z42),"DUBBEL","GOED"),"ONGELDIG"))</f>
        <v>LEEG</v>
      </c>
      <c r="AA39" s="334" t="str">
        <f ca="1">RIGHT(V39,1)</f>
        <v>4</v>
      </c>
      <c r="AB39" s="336" t="str">
        <f>Groepswedstrijden!AD79</f>
        <v/>
      </c>
      <c r="AC39" s="333" t="e">
        <f>#REF!</f>
        <v>#REF!</v>
      </c>
      <c r="AD39" s="175">
        <f ca="1">IF($AC$7=1,VLOOKUP($V39,Groepswedstrijden!$AH$12:$BA$78,20,FALSE),IF($AC$11=1,VLOOKUP($V39,#REF!,20,FALSE),""))</f>
        <v>3</v>
      </c>
      <c r="AE39" s="247" t="str">
        <f ca="1">IF($AC$7=1,VLOOKUP($V39,Groepswedstrijden!$AH$12:$BA$78,3,FALSE),IF($AC$11=1,VLOOKUP($V39,#REF!,3,FALSE),""))</f>
        <v>Slowakije</v>
      </c>
      <c r="AF39" s="175">
        <f ca="1">IF($AC$7=1,VLOOKUP($V39,Groepswedstrijden!$AH$12:$BA$78,9,FALSE),IF($AC$11=1,VLOOKUP($V39,#REF!,9,FALSE),""))</f>
        <v>0</v>
      </c>
      <c r="AG39" s="175">
        <f ca="1">IF($AC$7=1,VLOOKUP($V39,Groepswedstrijden!$AH$12:$BA$78,10,FALSE),IF($AC$11=1,VLOOKUP($V39,#REF!,10,FALSE),""))</f>
        <v>0</v>
      </c>
      <c r="AH39" s="175">
        <f ca="1">IF($AC$7=1,VLOOKUP($V39,Groepswedstrijden!$AH$12:$BA$78,11,FALSE),IF($AC$11=1,VLOOKUP($V39,#REF!,11,FALSE),""))</f>
        <v>0</v>
      </c>
      <c r="AI39" s="284">
        <f ca="1">IF($AC$7=1,VLOOKUP($V39,Groepswedstrijden!$AH$12:$BA$78,19,FALSE),IF($AC$11=1,VLOOKUP($V39,#REF!,19,FALSE),""))</f>
        <v>350000500002</v>
      </c>
      <c r="AJ39" s="289">
        <f ca="1">FLOOR(IF($AD36=4,AI36,IF($AD37=4,AI37,IF($AD38=4,AI38,AI39)))/10,1)</f>
        <v>35000050000</v>
      </c>
      <c r="AL39" s="1193"/>
      <c r="AM39" s="432" t="str">
        <f ca="1">IF(AJ39=AJ38,"","4.")</f>
        <v/>
      </c>
      <c r="AN39" s="433" t="str">
        <f ca="1">IF($AD36=4,AE36,IF($AD37=4,AE37,IF($AD38=4,AE38,AE39)))</f>
        <v>Polen</v>
      </c>
      <c r="AO39" s="434">
        <f ca="1">IF($AD36=4,AF36,IF($AD37=4,AF37,IF($AD38=4,AF38,AF39)))</f>
        <v>0</v>
      </c>
      <c r="AP39" s="434">
        <f ca="1">IF($AD36=4,AG36,IF($AD37=4,AG37,IF($AD38=4,AG38,AG39)))</f>
        <v>0</v>
      </c>
      <c r="AQ39" s="434">
        <f ca="1">IF($AD36=4,AH36,IF($AD37=4,AH37,IF($AD38=4,AH38,AH39)))</f>
        <v>0</v>
      </c>
    </row>
    <row r="40" spans="1:43" ht="15" customHeight="1" x14ac:dyDescent="0.3">
      <c r="B40" s="79"/>
      <c r="C40" s="9"/>
      <c r="D40" s="425" t="s">
        <v>216</v>
      </c>
      <c r="E40" s="1013"/>
      <c r="F40" s="718" t="str">
        <f>IF(Y41="LEEG","▼","")</f>
        <v>▼</v>
      </c>
      <c r="G40" s="72"/>
      <c r="H40" s="72"/>
      <c r="I40" s="72"/>
      <c r="J40" s="72"/>
      <c r="K40" s="425" t="s">
        <v>216</v>
      </c>
      <c r="L40" s="1014"/>
      <c r="M40" s="718" t="str">
        <f>IF(Z41="LEEG","▼","")</f>
        <v>▼</v>
      </c>
      <c r="N40" s="72"/>
      <c r="O40" s="72"/>
      <c r="P40" s="72"/>
      <c r="Q40" s="11"/>
      <c r="R40" s="79"/>
      <c r="S40" s="135">
        <v>1</v>
      </c>
      <c r="T40" s="162"/>
      <c r="U40" s="62"/>
      <c r="V40" s="366" t="str">
        <f ca="1">RIGHT(K34,1)</f>
        <v>F</v>
      </c>
      <c r="W40" s="719"/>
      <c r="X40" s="259" t="s">
        <v>222</v>
      </c>
      <c r="Y40" s="176">
        <f>IF(ISBLANK(E40),1,IF(SUBSTITUTE(W36,E40,"#")&lt;&gt;W36,2,IF(SUBSTITUTE(W37,E40,"#")&lt;&gt;W37,3,IF(SUBSTITUTE(W38,E40,"#")&lt;&gt;W38,4,IF(SUBSTITUTE(W39,E40,"#")&lt;&gt;W39,5,6)))))</f>
        <v>1</v>
      </c>
      <c r="Z40" s="176">
        <f>IF(ISBLANK(L40),1,IF(SUBSTITUTE(W41,L40,"#")&lt;&gt;W41,2,IF(SUBSTITUTE(W42,L40,"#")&lt;&gt;W42,3,IF(SUBSTITUTE(W43,L40,"#")&lt;&gt;W43,4,IF(SUBSTITUTE(W44,L40,"#")&lt;&gt;W44,5,6)))))</f>
        <v>1</v>
      </c>
      <c r="AA40" s="333"/>
      <c r="AB40" s="335" t="str">
        <f ca="1">UPPER(Taal04!$B$26)&amp;" "&amp;V40</f>
        <v>GROEP F</v>
      </c>
      <c r="AC40" s="334" t="str">
        <f ca="1">AB40</f>
        <v>GROEP F</v>
      </c>
      <c r="AD40" s="175"/>
      <c r="AE40" s="248" t="str">
        <f ca="1">AB40</f>
        <v>GROEP F</v>
      </c>
      <c r="AF40" s="175"/>
      <c r="AG40" s="175"/>
      <c r="AH40" s="175"/>
      <c r="AI40" s="284"/>
      <c r="AJ40" s="288"/>
      <c r="AL40" s="735" t="str">
        <f ca="1">IF(AF8="JA","","└ "&amp;SUBSTITUTE(Taal04!B62,"#",RIGHT(AL36,1)))</f>
        <v>└ LET OP: niet alle wedstrijden in groep E zijn ingevuld.</v>
      </c>
      <c r="AM40" s="734"/>
      <c r="AP40" s="736"/>
      <c r="AQ40" s="736"/>
    </row>
    <row r="41" spans="1:43" ht="20.100000000000001" customHeight="1" x14ac:dyDescent="0.3">
      <c r="B41" s="79"/>
      <c r="C41" s="9"/>
      <c r="D41" s="1185" t="str">
        <f ca="1">IF($S$12=1,IF($AC$7=1,AB38,IF($AC$11=1,AC38,"")),IF(AND($S$12=2,OR($Y$41="LEEG",$Y$41="ONGELDIG")),IF($AC$7=1,AB38,IF($AC$11=1,AC38,"")),""))</f>
        <v/>
      </c>
      <c r="E41" s="1185"/>
      <c r="F41" s="1185"/>
      <c r="G41" s="1185"/>
      <c r="H41" s="1185"/>
      <c r="I41" s="1185"/>
      <c r="J41" s="72"/>
      <c r="K41" s="1185" t="str">
        <f ca="1">IF($S$12=1,IF($AC$7=1,AB43,IF($AC$11=1,AC43,"")),IF(AND($S$12=2,OR($Z$41="LEEG",$Z$41="ONGELDIG")),IF($AC$7=1,AB43,IF($AC$11=1,AC43,"")),""))</f>
        <v/>
      </c>
      <c r="L41" s="1185"/>
      <c r="M41" s="1185"/>
      <c r="N41" s="1185"/>
      <c r="O41" s="1185"/>
      <c r="P41" s="1185"/>
      <c r="Q41" s="11"/>
      <c r="R41" s="79"/>
      <c r="S41" s="135">
        <f>S40+1</f>
        <v>2</v>
      </c>
      <c r="T41" s="109" t="str">
        <f ca="1">VLOOKUP(V41,Voorblad!$X$67:$Z$98,2,FALSE)</f>
        <v>Hongarije</v>
      </c>
      <c r="U41" s="18" t="str">
        <f ca="1">VLOOKUP(V41,Voorblad!$X$67:$Z$98,3,FALSE)</f>
        <v>HU</v>
      </c>
      <c r="V41" s="370" t="str">
        <f ca="1">V40&amp;1</f>
        <v>F1</v>
      </c>
      <c r="W41" s="720" t="str">
        <f>"|"&amp;Taal02!C32&amp;"|"&amp;Taal02!D32&amp;"|"&amp;Taal02!E32&amp;"|"&amp;Taal02!F32&amp;"|"&amp;Taal02!G32&amp;"|"&amp;Taal02!H32&amp;"|"&amp;Taal02!I32&amp;"|"&amp;Taal02!J32&amp;"|"</f>
        <v>|Hongarije|Hungary|||||||</v>
      </c>
      <c r="X41" s="259" t="s">
        <v>223</v>
      </c>
      <c r="Y41" s="176" t="str">
        <f>IF(Y40=1, "LEEG",IF(AND(Y40&gt;1,Y40&lt;6,TYPE(Y36+Y38+Y40+Y42)=1),IF(OR(Y40=Y36,Y40=Y38,Y40=Y42),"DUBBEL","GOED"),"ONGELDIG"))</f>
        <v>LEEG</v>
      </c>
      <c r="Z41" s="176" t="str">
        <f>IF(Z40=1, "LEEG",IF(AND(Z40&gt;1,Z40&lt;6,TYPE(Z36+Z38+Z40+Z42)=1),IF(OR(Z40=Z36,Z40=Z38,Z40=Z42),"DUBBEL","GOED"),"ONGELDIG"))</f>
        <v>LEEG</v>
      </c>
      <c r="AA41" s="334" t="str">
        <f ca="1">RIGHT(V41,1)</f>
        <v>1</v>
      </c>
      <c r="AB41" s="336" t="str">
        <f>Groepswedstrijden!AE76</f>
        <v/>
      </c>
      <c r="AC41" s="333" t="e">
        <f>#REF!</f>
        <v>#REF!</v>
      </c>
      <c r="AD41" s="175">
        <f ca="1">IF($AC$7=1,VLOOKUP($V41,Groepswedstrijden!$AH$12:$BA$78,20,FALSE),IF($AC$11=1,VLOOKUP($V41,#REF!,20,FALSE),""))</f>
        <v>2</v>
      </c>
      <c r="AE41" s="247" t="str">
        <f ca="1">IF($AC$7=1,VLOOKUP($V41,Groepswedstrijden!$AH$12:$BA$78,3,FALSE),IF($AC$11=1,VLOOKUP($V41,#REF!,3,FALSE),""))</f>
        <v>Hongarije</v>
      </c>
      <c r="AF41" s="175">
        <f ca="1">IF($AC$7=1,VLOOKUP($V41,Groepswedstrijden!$AH$12:$BA$78,9,FALSE),IF($AC$11=1,VLOOKUP($V41,#REF!,9,FALSE),""))</f>
        <v>0</v>
      </c>
      <c r="AG41" s="175">
        <f ca="1">IF($AC$7=1,VLOOKUP($V41,Groepswedstrijden!$AH$12:$BA$78,10,FALSE),IF($AC$11=1,VLOOKUP($V41,#REF!,10,FALSE),""))</f>
        <v>0</v>
      </c>
      <c r="AH41" s="175">
        <f ca="1">IF($AC$7=1,VLOOKUP($V41,Groepswedstrijden!$AH$12:$BA$78,11,FALSE),IF($AC$11=1,VLOOKUP($V41,#REF!,11,FALSE),""))</f>
        <v>0</v>
      </c>
      <c r="AI41" s="284">
        <f ca="1">IF($AC$7=1,VLOOKUP($V41,Groepswedstrijden!$AH$12:$BA$78,19,FALSE),IF($AC$11=1,VLOOKUP($V41,#REF!,19,FALSE),""))</f>
        <v>350000500003</v>
      </c>
      <c r="AJ41" s="289">
        <f ca="1">FLOOR(IF($AD41=1,AI41,IF($AD42=1,AI42,IF($AD43=1,AI43,AI44)))/10,1)</f>
        <v>35000050000</v>
      </c>
      <c r="AL41" s="1191" t="str">
        <f ca="1">AE40</f>
        <v>GROEP F</v>
      </c>
      <c r="AM41" s="426" t="s">
        <v>65</v>
      </c>
      <c r="AN41" s="427" t="str">
        <f ca="1">IF($AD41=1,AE41,IF($AD42=1,AE42,IF($AD43=1,AE43,AE44)))</f>
        <v>Portugal</v>
      </c>
      <c r="AO41" s="428">
        <f ca="1">IF($AD41=1,AF41,IF($AD42=1,AF42,IF($AD43=1,AF43,AF44)))</f>
        <v>0</v>
      </c>
      <c r="AP41" s="428">
        <f ca="1">IF($AD41=1,AG41,IF($AD42=1,AG42,IF($AD43=1,AG43,AG44)))</f>
        <v>0</v>
      </c>
      <c r="AQ41" s="428">
        <f ca="1">IF($AD41=1,AH41,IF($AD42=1,AH42,IF($AD43=1,AH43,AH44)))</f>
        <v>0</v>
      </c>
    </row>
    <row r="42" spans="1:43" ht="15" customHeight="1" x14ac:dyDescent="0.3">
      <c r="B42" s="79"/>
      <c r="C42" s="9"/>
      <c r="D42" s="425" t="s">
        <v>217</v>
      </c>
      <c r="E42" s="1013"/>
      <c r="F42" s="718" t="str">
        <f>IF(Y43="LEEG","▼","")</f>
        <v>▼</v>
      </c>
      <c r="G42" s="72"/>
      <c r="H42" s="72"/>
      <c r="I42" s="72"/>
      <c r="J42" s="72"/>
      <c r="K42" s="425" t="s">
        <v>217</v>
      </c>
      <c r="L42" s="1014"/>
      <c r="M42" s="718" t="str">
        <f>IF(Z43="LEEG","▼","")</f>
        <v>▼</v>
      </c>
      <c r="N42" s="72"/>
      <c r="O42" s="72"/>
      <c r="P42" s="72"/>
      <c r="Q42" s="11"/>
      <c r="R42" s="79"/>
      <c r="S42" s="135">
        <f>S41+1</f>
        <v>3</v>
      </c>
      <c r="T42" s="109" t="str">
        <f ca="1">VLOOKUP(V42,Voorblad!$X$67:$Z$98,2,FALSE)</f>
        <v>Portugal</v>
      </c>
      <c r="U42" s="18" t="str">
        <f ca="1">VLOOKUP(V42,Voorblad!$X$67:$Z$98,3,FALSE)</f>
        <v>PT</v>
      </c>
      <c r="V42" s="370" t="str">
        <f ca="1">V40&amp;2</f>
        <v>F2</v>
      </c>
      <c r="W42" s="720" t="str">
        <f>"|"&amp;Taal02!C33&amp;"|"&amp;Taal02!D33&amp;"|"&amp;Taal02!E33&amp;"|"&amp;Taal02!F33&amp;"|"&amp;Taal02!G33&amp;"|"&amp;Taal02!H33&amp;"|"&amp;Taal02!I33&amp;"|"&amp;Taal02!J33&amp;"|"</f>
        <v>|Portugal|Portugal|||||||</v>
      </c>
      <c r="X42" s="259" t="s">
        <v>224</v>
      </c>
      <c r="Y42" s="176">
        <f>IF(ISBLANK(E42),1,IF(SUBSTITUTE(W36,E42,"#")&lt;&gt;W36,2,IF(SUBSTITUTE(W37,E42,"#")&lt;&gt;W37,3,IF(SUBSTITUTE(W38,E42,"#")&lt;&gt;W38,4,IF(SUBSTITUTE(W39,E42,"#")&lt;&gt;W39,5,6)))))</f>
        <v>1</v>
      </c>
      <c r="Z42" s="176">
        <f>IF(ISBLANK(L42),1,IF(SUBSTITUTE(W41,L42,"#")&lt;&gt;W41,2,IF(SUBSTITUTE(W42,L42,"#")&lt;&gt;W42,3,IF(SUBSTITUTE(W43,L42,"#")&lt;&gt;W43,4,IF(SUBSTITUTE(W44,L42,"#")&lt;&gt;W44,5,6)))))</f>
        <v>1</v>
      </c>
      <c r="AA42" s="334" t="str">
        <f ca="1">RIGHT(V42,1)</f>
        <v>2</v>
      </c>
      <c r="AB42" s="336" t="str">
        <f>Groepswedstrijden!AE77</f>
        <v/>
      </c>
      <c r="AC42" s="333" t="e">
        <f>#REF!</f>
        <v>#REF!</v>
      </c>
      <c r="AD42" s="175">
        <f ca="1">IF($AC$7=1,VLOOKUP($V42,Groepswedstrijden!$AH$12:$BA$78,20,FALSE),IF($AC$11=1,VLOOKUP($V42,#REF!,20,FALSE),""))</f>
        <v>1</v>
      </c>
      <c r="AE42" s="247" t="str">
        <f ca="1">IF($AC$7=1,VLOOKUP($V42,Groepswedstrijden!$AH$12:$BA$78,3,FALSE),IF($AC$11=1,VLOOKUP($V42,#REF!,3,FALSE),""))</f>
        <v>Portugal</v>
      </c>
      <c r="AF42" s="175">
        <f ca="1">IF($AC$7=1,VLOOKUP($V42,Groepswedstrijden!$AH$12:$BA$78,9,FALSE),IF($AC$11=1,VLOOKUP($V42,#REF!,9,FALSE),""))</f>
        <v>0</v>
      </c>
      <c r="AG42" s="175">
        <f ca="1">IF($AC$7=1,VLOOKUP($V42,Groepswedstrijden!$AH$12:$BA$78,10,FALSE),IF($AC$11=1,VLOOKUP($V42,#REF!,10,FALSE),""))</f>
        <v>0</v>
      </c>
      <c r="AH42" s="175">
        <f ca="1">IF($AC$7=1,VLOOKUP($V42,Groepswedstrijden!$AH$12:$BA$78,11,FALSE),IF($AC$11=1,VLOOKUP($V42,#REF!,11,FALSE),""))</f>
        <v>0</v>
      </c>
      <c r="AI42" s="284">
        <f ca="1">IF($AC$7=1,VLOOKUP($V42,Groepswedstrijden!$AH$12:$BA$78,19,FALSE),IF($AC$11=1,VLOOKUP($V42,#REF!,19,FALSE),""))</f>
        <v>350000500004</v>
      </c>
      <c r="AJ42" s="289">
        <f ca="1">FLOOR(IF($AD41=2,AI41,IF($AD42=2,AI42,IF($AD43=2,AI43,AI44)))/10,1)</f>
        <v>35000050000</v>
      </c>
      <c r="AL42" s="1192"/>
      <c r="AM42" s="429" t="str">
        <f ca="1">IF(AJ42=AJ41,"","2.")</f>
        <v/>
      </c>
      <c r="AN42" s="430" t="str">
        <f ca="1">IF($AD41=2,AE41,IF($AD42=2,AE42,IF($AD43=2,AE43,AE44)))</f>
        <v>Hongarije</v>
      </c>
      <c r="AO42" s="431">
        <f ca="1">IF($AD41=2,AF41,IF($AD42=2,AF42,IF($AD43=2,AF43,AF44)))</f>
        <v>0</v>
      </c>
      <c r="AP42" s="431">
        <f ca="1">IF($AD41=2,AG41,IF($AD42=2,AG42,IF($AD43=2,AG43,AG44)))</f>
        <v>0</v>
      </c>
      <c r="AQ42" s="431">
        <f ca="1">IF($AD41=2,AH41,IF($AD42=2,AH42,IF($AD43=2,AH43,AH44)))</f>
        <v>0</v>
      </c>
    </row>
    <row r="43" spans="1:43" ht="20.100000000000001" customHeight="1" x14ac:dyDescent="0.3">
      <c r="B43" s="79"/>
      <c r="C43" s="9"/>
      <c r="D43" s="1185" t="str">
        <f ca="1">IF($S$12=1,IF($AC$7=1,AB39,IF($AC$11=1,AC39,"")),IF(AND($S$12=2,OR($Y$43="LEEG",$Y$43="ONGELDIG")),IF($AC$7=1,AB39,IF($AC$11=1,AC39,"")),""))</f>
        <v/>
      </c>
      <c r="E43" s="1185"/>
      <c r="F43" s="1185"/>
      <c r="G43" s="1185"/>
      <c r="H43" s="1185"/>
      <c r="I43" s="1185"/>
      <c r="J43" s="72"/>
      <c r="K43" s="1185" t="str">
        <f ca="1">IF($S$12=1,IF($AC$7=1,AB44,IF($AC$11=1,AC44,"")),IF(AND($S$12=2,OR($Z$43="LEEG",$Z$43="ONGELDIG")),IF($AC$7=1,AB44,IF($AC$11=1,AC44,"")),""))</f>
        <v/>
      </c>
      <c r="L43" s="1185"/>
      <c r="M43" s="1185"/>
      <c r="N43" s="1185"/>
      <c r="O43" s="1185"/>
      <c r="P43" s="1185"/>
      <c r="Q43" s="11"/>
      <c r="R43" s="79"/>
      <c r="S43" s="135">
        <f>S42+1</f>
        <v>4</v>
      </c>
      <c r="T43" s="109" t="str">
        <f ca="1">VLOOKUP(V43,Voorblad!$X$67:$Z$98,2,FALSE)</f>
        <v>Frankrijk</v>
      </c>
      <c r="U43" s="18" t="str">
        <f ca="1">VLOOKUP(V43,Voorblad!$X$67:$Z$98,3,FALSE)</f>
        <v>FR</v>
      </c>
      <c r="V43" s="370" t="str">
        <f ca="1">V40&amp;3</f>
        <v>F3</v>
      </c>
      <c r="W43" s="720" t="str">
        <f>"|"&amp;Taal02!C34&amp;"|"&amp;Taal02!D34&amp;"|"&amp;Taal02!E34&amp;"|"&amp;Taal02!F34&amp;"|"&amp;Taal02!G34&amp;"|"&amp;Taal02!H34&amp;"|"&amp;Taal02!I34&amp;"|"&amp;Taal02!J34&amp;"|"</f>
        <v>|Frankrijk|France|||||||</v>
      </c>
      <c r="X43" s="259" t="s">
        <v>225</v>
      </c>
      <c r="Y43" s="176" t="str">
        <f>IF(Y42=1, "LEEG",IF(AND(Y42&gt;1,Y42&lt;6,TYPE(Y36+Y38+Y40+Y42)=1),IF(OR(Y42=Y36,Y42=Y38,Y42=Y40),"DUBBEL","GOED"),"ONGELDIG"))</f>
        <v>LEEG</v>
      </c>
      <c r="Z43" s="176" t="str">
        <f>IF(Z42=1, "LEEG",IF(AND(Z42&gt;1,Z42&lt;6,TYPE(Z36+Z38+Z40+Z42)=1),IF(OR(Z42=Z36,Z42=Z38,Z42=Z40),"DUBBEL","GOED"),"ONGELDIG"))</f>
        <v>LEEG</v>
      </c>
      <c r="AA43" s="334" t="str">
        <f ca="1">RIGHT(V43,1)</f>
        <v>3</v>
      </c>
      <c r="AB43" s="336" t="str">
        <f>Groepswedstrijden!AE78</f>
        <v/>
      </c>
      <c r="AC43" s="333" t="e">
        <f>#REF!</f>
        <v>#REF!</v>
      </c>
      <c r="AD43" s="175">
        <f ca="1">IF($AC$7=1,VLOOKUP($V43,Groepswedstrijden!$AH$12:$BA$78,20,FALSE),IF($AC$11=1,VLOOKUP($V43,#REF!,20,FALSE),""))</f>
        <v>3</v>
      </c>
      <c r="AE43" s="247" t="str">
        <f ca="1">IF($AC$7=1,VLOOKUP($V43,Groepswedstrijden!$AH$12:$BA$78,3,FALSE),IF($AC$11=1,VLOOKUP($V43,#REF!,3,FALSE),""))</f>
        <v>Frankrijk</v>
      </c>
      <c r="AF43" s="175">
        <f ca="1">IF($AC$7=1,VLOOKUP($V43,Groepswedstrijden!$AH$12:$BA$78,9,FALSE),IF($AC$11=1,VLOOKUP($V43,#REF!,9,FALSE),""))</f>
        <v>0</v>
      </c>
      <c r="AG43" s="175">
        <f ca="1">IF($AC$7=1,VLOOKUP($V43,Groepswedstrijden!$AH$12:$BA$78,10,FALSE),IF($AC$11=1,VLOOKUP($V43,#REF!,10,FALSE),""))</f>
        <v>0</v>
      </c>
      <c r="AH43" s="175">
        <f ca="1">IF($AC$7=1,VLOOKUP($V43,Groepswedstrijden!$AH$12:$BA$78,11,FALSE),IF($AC$11=1,VLOOKUP($V43,#REF!,11,FALSE),""))</f>
        <v>0</v>
      </c>
      <c r="AI43" s="284">
        <f ca="1">IF($AC$7=1,VLOOKUP($V43,Groepswedstrijden!$AH$12:$BA$78,19,FALSE),IF($AC$11=1,VLOOKUP($V43,#REF!,19,FALSE),""))</f>
        <v>350000500002</v>
      </c>
      <c r="AJ43" s="289">
        <f ca="1">FLOOR(IF($AD41=3,AI41,IF($AD42=3,AI42,IF($AD43=3,AI43,AI44)))/10,1)</f>
        <v>35000050000</v>
      </c>
      <c r="AL43" s="1192"/>
      <c r="AM43" s="429" t="str">
        <f ca="1">IF(AJ43=AJ42,"","3.")</f>
        <v/>
      </c>
      <c r="AN43" s="430" t="str">
        <f ca="1">IF($AD41=3,AE41,IF($AD42=3,AE42,IF($AD43=3,AE43,AE44)))</f>
        <v>Frankrijk</v>
      </c>
      <c r="AO43" s="431">
        <f ca="1">IF($AD41=3,AF41,IF($AD42=3,AF42,IF($AD43=3,AF43,AF44)))</f>
        <v>0</v>
      </c>
      <c r="AP43" s="431">
        <f ca="1">IF($AD41=3,AG41,IF($AD42=3,AG42,IF($AD43=3,AG43,AG44)))</f>
        <v>0</v>
      </c>
      <c r="AQ43" s="431">
        <f ca="1">IF($AD41=3,AH41,IF($AD42=3,AH42,IF($AD43=3,AH43,AH44)))</f>
        <v>0</v>
      </c>
    </row>
    <row r="44" spans="1:43" ht="15" customHeight="1" x14ac:dyDescent="0.3">
      <c r="B44" s="79"/>
      <c r="C44" s="440"/>
      <c r="D44" s="1189" t="str">
        <f>IF(A45="H","",Taal04!$B$26&amp;" G")</f>
        <v/>
      </c>
      <c r="E44" s="1189"/>
      <c r="F44" s="474"/>
      <c r="G44" s="474"/>
      <c r="H44" s="474"/>
      <c r="I44" s="474"/>
      <c r="J44" s="474"/>
      <c r="K44" s="1189" t="str">
        <f>IF(A45="H","",Taal04!$B$26&amp;" H")</f>
        <v/>
      </c>
      <c r="L44" s="1189"/>
      <c r="M44" s="474"/>
      <c r="N44" s="474"/>
      <c r="O44" s="474"/>
      <c r="P44" s="474"/>
      <c r="Q44" s="442"/>
      <c r="R44" s="79"/>
      <c r="S44" s="135">
        <f>S43+1</f>
        <v>5</v>
      </c>
      <c r="T44" s="163" t="str">
        <f ca="1">VLOOKUP(V44,Voorblad!$X$67:$Z$98,2,FALSE)</f>
        <v>Duitsland</v>
      </c>
      <c r="U44" s="65" t="str">
        <f ca="1">VLOOKUP(V44,Voorblad!$X$67:$Z$98,3,FALSE)</f>
        <v>DE</v>
      </c>
      <c r="V44" s="373" t="str">
        <f ca="1">V40&amp;4</f>
        <v>F4</v>
      </c>
      <c r="W44" s="720" t="str">
        <f>"|"&amp;Taal02!C35&amp;"|"&amp;Taal02!D35&amp;"|"&amp;Taal02!E35&amp;"|"&amp;Taal02!F35&amp;"|"&amp;Taal02!G35&amp;"|"&amp;Taal02!H35&amp;"|"&amp;Taal02!I35&amp;"|"&amp;Taal02!J35&amp;"|"</f>
        <v>|Duitsland|Germany|||||||</v>
      </c>
      <c r="X44" s="259" t="s">
        <v>226</v>
      </c>
      <c r="Y44" s="497" t="str">
        <f>IF(TYPE(1*((Y36+Y38+Y40+Y42)&amp;(Y36*Y38*Y40*Y42)))=1,(Y36+Y38+Y40+Y42)&amp;(Y36*Y38*Y40*Y42),14120)</f>
        <v>41</v>
      </c>
      <c r="Z44" s="497" t="str">
        <f>IF(TYPE(1*((Z36+Z38+Z40+Z42)&amp;(Z36*Z38*Z40*Z42)))=1,(Z36+Z38+Z40+Z42)&amp;(Z36*Z38*Z40*Z42),14120)</f>
        <v>41</v>
      </c>
      <c r="AA44" s="334" t="str">
        <f ca="1">RIGHT(V44,1)</f>
        <v>4</v>
      </c>
      <c r="AB44" s="336" t="str">
        <f>Groepswedstrijden!AE79</f>
        <v/>
      </c>
      <c r="AC44" s="333" t="e">
        <f>#REF!</f>
        <v>#REF!</v>
      </c>
      <c r="AD44" s="175">
        <f ca="1">IF($AC$7=1,VLOOKUP($V44,Groepswedstrijden!$AH$12:$BA$78,20,FALSE),IF($AC$11=1,VLOOKUP($V44,#REF!,20,FALSE),""))</f>
        <v>4</v>
      </c>
      <c r="AE44" s="247" t="str">
        <f ca="1">IF($AC$7=1,VLOOKUP($V44,Groepswedstrijden!$AH$12:$BA$78,3,FALSE),IF($AC$11=1,VLOOKUP($V44,#REF!,3,FALSE),""))</f>
        <v>Duitsland</v>
      </c>
      <c r="AF44" s="175">
        <f ca="1">IF($AC$7=1,VLOOKUP($V44,Groepswedstrijden!$AH$12:$BA$78,9,FALSE),IF($AC$11=1,VLOOKUP($V44,#REF!,9,FALSE),""))</f>
        <v>0</v>
      </c>
      <c r="AG44" s="175">
        <f ca="1">IF($AC$7=1,VLOOKUP($V44,Groepswedstrijden!$AH$12:$BA$78,10,FALSE),IF($AC$11=1,VLOOKUP($V44,#REF!,10,FALSE),""))</f>
        <v>0</v>
      </c>
      <c r="AH44" s="175">
        <f ca="1">IF($AC$7=1,VLOOKUP($V44,Groepswedstrijden!$AH$12:$BA$78,11,FALSE),IF($AC$11=1,VLOOKUP($V44,#REF!,11,FALSE),""))</f>
        <v>0</v>
      </c>
      <c r="AI44" s="284">
        <f ca="1">IF($AC$7=1,VLOOKUP($V44,Groepswedstrijden!$AH$12:$BA$78,19,FALSE),IF($AC$11=1,VLOOKUP($V44,#REF!,19,FALSE),""))</f>
        <v>350000500001</v>
      </c>
      <c r="AJ44" s="289">
        <f ca="1">FLOOR(IF($AD41=4,AI41,IF($AD42=4,AI42,IF($AD43=4,AI43,AI44)))/10,1)</f>
        <v>35000050000</v>
      </c>
      <c r="AL44" s="1193"/>
      <c r="AM44" s="432" t="str">
        <f ca="1">IF(AJ44=AJ43,"","4.")</f>
        <v/>
      </c>
      <c r="AN44" s="433" t="str">
        <f ca="1">IF($AD41=4,AE41,IF($AD42=4,AE42,IF($AD43=4,AE43,AE44)))</f>
        <v>Duitsland</v>
      </c>
      <c r="AO44" s="434">
        <f ca="1">IF($AD41=4,AF41,IF($AD42=4,AF42,IF($AD43=4,AF43,AF44)))</f>
        <v>0</v>
      </c>
      <c r="AP44" s="434">
        <f ca="1">IF($AD41=4,AG41,IF($AD42=4,AG42,IF($AD43=4,AG43,AG44)))</f>
        <v>0</v>
      </c>
      <c r="AQ44" s="434">
        <f ca="1">IF($AD41=4,AH41,IF($AD42=4,AH42,IF($AD43=4,AH43,AH44)))</f>
        <v>0</v>
      </c>
    </row>
    <row r="45" spans="1:43" ht="15" hidden="1" customHeight="1" x14ac:dyDescent="0.3">
      <c r="A45" s="136" t="s">
        <v>170</v>
      </c>
      <c r="B45" s="79"/>
      <c r="C45" s="440"/>
      <c r="D45" s="1190"/>
      <c r="E45" s="1190"/>
      <c r="F45" s="474"/>
      <c r="G45" s="474"/>
      <c r="H45" s="474"/>
      <c r="I45" s="474"/>
      <c r="J45" s="474"/>
      <c r="K45" s="1190"/>
      <c r="L45" s="1190"/>
      <c r="M45" s="474"/>
      <c r="N45" s="474"/>
      <c r="O45" s="474"/>
      <c r="P45" s="474"/>
      <c r="Q45" s="442"/>
      <c r="R45" s="79"/>
      <c r="S45" s="466">
        <v>1</v>
      </c>
      <c r="T45" s="364"/>
      <c r="U45" s="365"/>
      <c r="V45" s="366" t="str">
        <f>IF(A45="H","G",RIGHT(D44,1))</f>
        <v>G</v>
      </c>
      <c r="W45" s="719"/>
      <c r="X45" s="602" t="str">
        <f>"Deelnamecode "&amp;V45&amp;"/"&amp;V50</f>
        <v>Deelnamecode G/H</v>
      </c>
      <c r="Y45" s="256" t="str">
        <f>IF(AND(TYPE(Y46)=1,TYPE(Y48)=1,TYPE(Y50)=1,TYPE(Y52)=1),IF(AND(Y47="GOED",Y49="GOED",Y51="GOED",Y53="GOED"),LOOKUP(Y46,S46:S49,U46:U49)&amp;"."&amp;LOOKUP(Y48,S46:S49,U46:U49)&amp;"."&amp;LOOKUP(Y50,S46:S49,U46:U49)&amp;"."&amp;LOOKUP(Y52,S46:S49,U46:U49)&amp;"|","FOUT"),"ONGELDIG")</f>
        <v>FOUT</v>
      </c>
      <c r="Z45" s="256" t="str">
        <f>IF(AND(TYPE(Z46)=1,TYPE(Z48)=1,TYPE(Z50)=1,TYPE(Z52)=1),IF(AND(Z47="GOED",Z49="GOED",Z51="GOED",Z53="GOED"),LOOKUP(Z46,S51:S54,U51:U54)&amp;"."&amp;LOOKUP(Z48,S51:S54,U51:U54)&amp;"."&amp;LOOKUP(Z50,S51:S54,U51:U54)&amp;"."&amp;LOOKUP(Z52,S51:S54,U51:U54)&amp;"|","FOUT"),"ONGELDIG")</f>
        <v>FOUT</v>
      </c>
      <c r="AA45" s="540"/>
      <c r="AB45" s="539" t="str">
        <f ca="1">UPPER(Taal04!$B$26)&amp;" "&amp;V45</f>
        <v>GROEP G</v>
      </c>
      <c r="AC45" s="595" t="str">
        <f ca="1">AB45</f>
        <v>GROEP G</v>
      </c>
      <c r="AD45" s="596"/>
      <c r="AE45" s="597" t="str">
        <f ca="1">AB45</f>
        <v>GROEP G</v>
      </c>
      <c r="AF45" s="596"/>
      <c r="AG45" s="596"/>
      <c r="AH45" s="596"/>
      <c r="AI45" s="598"/>
      <c r="AJ45" s="599"/>
      <c r="AL45" s="735" t="str">
        <f ca="1">IF(AH8="JA","","└ "&amp;SUBSTITUTE(Taal04!B62,"#",RIGHT(AL41,1)))</f>
        <v>└ LET OP: niet alle wedstrijden in groep F zijn ingevuld.</v>
      </c>
    </row>
    <row r="46" spans="1:43" ht="15" hidden="1" customHeight="1" x14ac:dyDescent="0.3">
      <c r="A46" s="707" t="str">
        <f>IF(A45="H","H","")</f>
        <v>H</v>
      </c>
      <c r="B46" s="79"/>
      <c r="C46" s="440"/>
      <c r="D46" s="425" t="s">
        <v>214</v>
      </c>
      <c r="E46" s="1013"/>
      <c r="F46" s="718" t="str">
        <f>IF(Y47="LEEG","▼","")</f>
        <v/>
      </c>
      <c r="G46" s="463"/>
      <c r="H46" s="536"/>
      <c r="I46" s="536"/>
      <c r="J46" s="463"/>
      <c r="K46" s="425" t="s">
        <v>214</v>
      </c>
      <c r="L46" s="1014"/>
      <c r="M46" s="718" t="str">
        <f>IF(Z47="LEEG","▼","")</f>
        <v/>
      </c>
      <c r="N46" s="463"/>
      <c r="O46" s="536"/>
      <c r="P46" s="536"/>
      <c r="Q46" s="442"/>
      <c r="R46" s="79"/>
      <c r="S46" s="466">
        <f>S45+1</f>
        <v>2</v>
      </c>
      <c r="T46" s="368" t="str">
        <f ca="1">VLOOKUP(V46,Voorblad!$X$67:$Z$98,2,FALSE)</f>
        <v>Land G1</v>
      </c>
      <c r="U46" s="369" t="str">
        <f>VLOOKUP(V46,Voorblad!$X$67:$Z$98,3,FALSE)</f>
        <v>XA</v>
      </c>
      <c r="V46" s="370" t="str">
        <f>V45&amp;1</f>
        <v>G1</v>
      </c>
      <c r="W46" s="720" t="str">
        <f>"|"&amp;Taal02!C37&amp;"|"&amp;Taal02!D37&amp;"|"&amp;Taal02!E37&amp;"|"&amp;Taal02!F37&amp;"|"&amp;Taal02!G37&amp;"|"&amp;Taal02!H37&amp;"|"&amp;Taal02!I37&amp;"|"&amp;Taal02!J37&amp;"|"</f>
        <v>|Land G1|Country G1|||||||</v>
      </c>
      <c r="X46" s="602" t="s">
        <v>218</v>
      </c>
      <c r="Y46" s="176">
        <f>IF(ISBLANK(E46),1,IF(SUBSTITUTE(W46,E46,"#")&lt;&gt;W46,2,IF(SUBSTITUTE(W47,E46,"#")&lt;&gt;W47,3,IF(SUBSTITUTE(W48,E46,"#")&lt;&gt;W48,4,IF(SUBSTITUTE(W49,E46,"#")&lt;&gt;W49,5,6)))))</f>
        <v>1</v>
      </c>
      <c r="Z46" s="176">
        <f>IF(ISBLANK(L46),1,IF(SUBSTITUTE(W51,L46,"#")&lt;&gt;W51,2,IF(SUBSTITUTE(W52,L46,"#")&lt;&gt;W52,3,IF(SUBSTITUTE(W53,L46,"#")&lt;&gt;W53,4,IF(SUBSTITUTE(W54,L46,"#")&lt;&gt;W54,5,6)))))</f>
        <v>1</v>
      </c>
      <c r="AA46" s="595" t="str">
        <f>RIGHT(V46,1)</f>
        <v>1</v>
      </c>
      <c r="AB46" s="541" t="str">
        <f>Groepswedstrijden!AF76</f>
        <v/>
      </c>
      <c r="AC46" s="540" t="e">
        <f>#REF!</f>
        <v>#REF!</v>
      </c>
      <c r="AD46" s="596">
        <f ca="1">IF($AC$7=1,VLOOKUP($V46,Groepswedstrijden!$AH$12:$BA$78,20,FALSE),IF($AC$11=1,VLOOKUP($V46,#REF!,20,FALSE),""))</f>
        <v>4</v>
      </c>
      <c r="AE46" s="600" t="str">
        <f ca="1">IF($AC$7=1,VLOOKUP($V46,Groepswedstrijden!$AH$12:$BA$78,3,FALSE),IF($AC$11=1,VLOOKUP($V46,#REF!,3,FALSE),""))</f>
        <v>Land G1</v>
      </c>
      <c r="AF46" s="596">
        <f ca="1">IF($AC$7=1,VLOOKUP($V46,Groepswedstrijden!$AH$12:$BA$78,9,FALSE),IF($AC$11=1,VLOOKUP($V46,#REF!,9,FALSE),""))</f>
        <v>0</v>
      </c>
      <c r="AG46" s="596">
        <f ca="1">IF($AC$7=1,VLOOKUP($V46,Groepswedstrijden!$AH$12:$BA$78,10,FALSE),IF($AC$11=1,VLOOKUP($V46,#REF!,10,FALSE),""))</f>
        <v>0</v>
      </c>
      <c r="AH46" s="596">
        <f ca="1">IF($AC$7=1,VLOOKUP($V46,Groepswedstrijden!$AH$12:$BA$78,11,FALSE),IF($AC$11=1,VLOOKUP($V46,#REF!,11,FALSE),""))</f>
        <v>0</v>
      </c>
      <c r="AI46" s="598">
        <f ca="1">IF($AC$7=1,VLOOKUP($V46,Groepswedstrijden!$AH$12:$BA$78,19,FALSE),IF($AC$11=1,VLOOKUP($V46,#REF!,19,FALSE),""))</f>
        <v>350000500001</v>
      </c>
      <c r="AJ46" s="601">
        <f ca="1">FLOOR(IF($AD46=1,AI46,IF($AD47=1,AI47,IF($AD48=1,AI48,AI49)))/10,1)</f>
        <v>35000050000</v>
      </c>
      <c r="AL46" s="1191" t="str">
        <f ca="1">AE45</f>
        <v>GROEP G</v>
      </c>
      <c r="AM46" s="426" t="s">
        <v>65</v>
      </c>
      <c r="AN46" s="427" t="str">
        <f ca="1">IF($AD46=1,AE46,IF($AD47=1,AE47,IF($AD48=1,AE48,AE49)))</f>
        <v>Land G4</v>
      </c>
      <c r="AO46" s="428">
        <f ca="1">IF($AD46=1,AF46,IF($AD47=1,AF47,IF($AD48=1,AF48,AF49)))</f>
        <v>0</v>
      </c>
      <c r="AP46" s="428">
        <f ca="1">IF($AD46=1,AG46,IF($AD47=1,AG47,IF($AD48=1,AG48,AG49)))</f>
        <v>0</v>
      </c>
      <c r="AQ46" s="428">
        <f ca="1">IF($AD46=1,AH46,IF($AD47=1,AH47,IF($AD48=1,AH48,AH49)))</f>
        <v>0</v>
      </c>
    </row>
    <row r="47" spans="1:43" ht="20.100000000000001" hidden="1" customHeight="1" x14ac:dyDescent="0.3">
      <c r="A47" s="707" t="str">
        <f t="shared" ref="A47:A54" si="0">IF(A46="H","H","")</f>
        <v>H</v>
      </c>
      <c r="B47" s="79"/>
      <c r="C47" s="440"/>
      <c r="D47" s="1185" t="str">
        <f ca="1">IF($S$12=1,IF($AC$7=1,AB46,IF($AC$11=1,AC46,"")),IF(AND($S$12=2,OR($Y$47="LEEG",$Y$47="ONGELDIG")),IF($AC$7=1,AB46,IF($AC$11=1,AC46,"")),""))</f>
        <v/>
      </c>
      <c r="E47" s="1185"/>
      <c r="F47" s="1185"/>
      <c r="G47" s="1185"/>
      <c r="H47" s="1185"/>
      <c r="I47" s="1185"/>
      <c r="J47" s="463"/>
      <c r="K47" s="1185" t="str">
        <f ca="1">IF($S$12=1,IF($AC$7=1,AB51,IF($AC$11=1,AC51,"")),IF(AND($S$12=2,OR($Z$47="LEEG",$Z$47="ONGELDIG")),IF($AC$7=1,AB51,IF($AC$11=1,AC51,"")),""))</f>
        <v/>
      </c>
      <c r="L47" s="1185"/>
      <c r="M47" s="1185"/>
      <c r="N47" s="1185"/>
      <c r="O47" s="1185"/>
      <c r="P47" s="1185"/>
      <c r="Q47" s="442"/>
      <c r="R47" s="79"/>
      <c r="S47" s="466">
        <f>S46+1</f>
        <v>3</v>
      </c>
      <c r="T47" s="368" t="str">
        <f ca="1">VLOOKUP(V47,Voorblad!$X$67:$Z$98,2,FALSE)</f>
        <v>Land G2</v>
      </c>
      <c r="U47" s="369" t="str">
        <f>VLOOKUP(V47,Voorblad!$X$67:$Z$98,3,FALSE)</f>
        <v>XB</v>
      </c>
      <c r="V47" s="370" t="str">
        <f>V45&amp;2</f>
        <v>G2</v>
      </c>
      <c r="W47" s="720" t="str">
        <f>"|"&amp;Taal02!C38&amp;"|"&amp;Taal02!D38&amp;"|"&amp;Taal02!E38&amp;"|"&amp;Taal02!F38&amp;"|"&amp;Taal02!G38&amp;"|"&amp;Taal02!H38&amp;"|"&amp;Taal02!I38&amp;"|"&amp;Taal02!J38&amp;"|"</f>
        <v>|Land G2|Country G2|||||||</v>
      </c>
      <c r="X47" s="602" t="s">
        <v>219</v>
      </c>
      <c r="Y47" s="176" t="str">
        <f>IF($A46="H","",IF(Y46=1, "LEEG",IF(AND(Y46&gt;1,Y46&lt;6,TYPE(Y46+Y48+Y50+Y52)=1),IF(OR(Y46=Y48,Y46=Y50,Y46=Y52),"DUBBEL","GOED"),"ONGELDIG")))</f>
        <v/>
      </c>
      <c r="Z47" s="176" t="str">
        <f>IF($A46="H","",IF(Z46=1, "LEEG",IF(AND(Z46&gt;1,Z46&lt;6,TYPE(Z46+Z48+Z50+Z52)=1),IF(OR(Z46=Z48,Z46=Z50,Z46=Z52),"DUBBEL","GOED"),"ONGELDIG")))</f>
        <v/>
      </c>
      <c r="AA47" s="595" t="str">
        <f>RIGHT(V47,1)</f>
        <v>2</v>
      </c>
      <c r="AB47" s="541" t="str">
        <f>Groepswedstrijden!AF77</f>
        <v/>
      </c>
      <c r="AC47" s="540" t="e">
        <f>#REF!</f>
        <v>#REF!</v>
      </c>
      <c r="AD47" s="596">
        <f ca="1">IF($AC$7=1,VLOOKUP($V47,Groepswedstrijden!$AH$12:$BA$78,20,FALSE),IF($AC$11=1,VLOOKUP($V47,#REF!,20,FALSE),""))</f>
        <v>3</v>
      </c>
      <c r="AE47" s="600" t="str">
        <f ca="1">IF($AC$7=1,VLOOKUP($V47,Groepswedstrijden!$AH$12:$BA$78,3,FALSE),IF($AC$11=1,VLOOKUP($V47,#REF!,3,FALSE),""))</f>
        <v>Land G2</v>
      </c>
      <c r="AF47" s="596">
        <f ca="1">IF($AC$7=1,VLOOKUP($V47,Groepswedstrijden!$AH$12:$BA$78,9,FALSE),IF($AC$11=1,VLOOKUP($V47,#REF!,9,FALSE),""))</f>
        <v>0</v>
      </c>
      <c r="AG47" s="596">
        <f ca="1">IF($AC$7=1,VLOOKUP($V47,Groepswedstrijden!$AH$12:$BA$78,10,FALSE),IF($AC$11=1,VLOOKUP($V47,#REF!,10,FALSE),""))</f>
        <v>0</v>
      </c>
      <c r="AH47" s="596">
        <f ca="1">IF($AC$7=1,VLOOKUP($V47,Groepswedstrijden!$AH$12:$BA$78,11,FALSE),IF($AC$11=1,VLOOKUP($V47,#REF!,11,FALSE),""))</f>
        <v>0</v>
      </c>
      <c r="AI47" s="598">
        <f ca="1">IF($AC$7=1,VLOOKUP($V47,Groepswedstrijden!$AH$12:$BA$78,19,FALSE),IF($AC$11=1,VLOOKUP($V47,#REF!,19,FALSE),""))</f>
        <v>350000500002</v>
      </c>
      <c r="AJ47" s="601">
        <f ca="1">FLOOR(IF($AD46=2,AI46,IF($AD47=2,AI47,IF($AD48=2,AI48,AI49)))/10,1)</f>
        <v>35000050000</v>
      </c>
      <c r="AL47" s="1192"/>
      <c r="AM47" s="429" t="str">
        <f ca="1">IF(AJ47=AJ46,"","2.")</f>
        <v/>
      </c>
      <c r="AN47" s="430" t="str">
        <f ca="1">IF($AD46=2,AE46,IF($AD47=2,AE47,IF($AD48=2,AE48,AE49)))</f>
        <v>Land G3</v>
      </c>
      <c r="AO47" s="431">
        <f ca="1">IF($AD46=2,AF46,IF($AD47=2,AF47,IF($AD48=2,AF48,AF49)))</f>
        <v>0</v>
      </c>
      <c r="AP47" s="431">
        <f ca="1">IF($AD46=2,AG46,IF($AD47=2,AG47,IF($AD48=2,AG48,AG49)))</f>
        <v>0</v>
      </c>
      <c r="AQ47" s="431">
        <f ca="1">IF($AD46=2,AH46,IF($AD47=2,AH47,IF($AD48=2,AH48,AH49)))</f>
        <v>0</v>
      </c>
    </row>
    <row r="48" spans="1:43" ht="15" hidden="1" customHeight="1" x14ac:dyDescent="0.3">
      <c r="A48" s="707" t="str">
        <f t="shared" si="0"/>
        <v>H</v>
      </c>
      <c r="B48" s="79"/>
      <c r="C48" s="440"/>
      <c r="D48" s="425" t="s">
        <v>215</v>
      </c>
      <c r="E48" s="1013"/>
      <c r="F48" s="718" t="str">
        <f>IF(Y49="LEEG","▼","")</f>
        <v/>
      </c>
      <c r="G48" s="463"/>
      <c r="H48" s="463"/>
      <c r="I48" s="463"/>
      <c r="J48" s="463"/>
      <c r="K48" s="425" t="s">
        <v>215</v>
      </c>
      <c r="L48" s="1014"/>
      <c r="M48" s="718" t="str">
        <f>IF(Z49="LEEG","▼","")</f>
        <v/>
      </c>
      <c r="N48" s="463"/>
      <c r="O48" s="463"/>
      <c r="P48" s="463"/>
      <c r="Q48" s="442"/>
      <c r="R48" s="79"/>
      <c r="S48" s="466">
        <f>S47+1</f>
        <v>4</v>
      </c>
      <c r="T48" s="368" t="str">
        <f ca="1">VLOOKUP(V48,Voorblad!$X$67:$Z$98,2,FALSE)</f>
        <v>Land G3</v>
      </c>
      <c r="U48" s="369" t="str">
        <f>VLOOKUP(V48,Voorblad!$X$67:$Z$98,3,FALSE)</f>
        <v>XC</v>
      </c>
      <c r="V48" s="370" t="str">
        <f>V45&amp;3</f>
        <v>G3</v>
      </c>
      <c r="W48" s="720" t="str">
        <f>"|"&amp;Taal02!C39&amp;"|"&amp;Taal02!D39&amp;"|"&amp;Taal02!E39&amp;"|"&amp;Taal02!F39&amp;"|"&amp;Taal02!G39&amp;"|"&amp;Taal02!H39&amp;"|"&amp;Taal02!I39&amp;"|"&amp;Taal02!J39&amp;"|"</f>
        <v>|Land G3|Country G3|||||||</v>
      </c>
      <c r="X48" s="602" t="s">
        <v>220</v>
      </c>
      <c r="Y48" s="176">
        <f>IF(ISBLANK(E48),1,IF(SUBSTITUTE(W46,E48,"#")&lt;&gt;W46,2,IF(SUBSTITUTE(W47,E48,"#")&lt;&gt;W47,3,IF(SUBSTITUTE(W48,E48,"#")&lt;&gt;W48,4,IF(SUBSTITUTE(W49,E48,"#")&lt;&gt;W49,5,6)))))</f>
        <v>1</v>
      </c>
      <c r="Z48" s="176">
        <f>IF(ISBLANK(L48),1,IF(SUBSTITUTE(W51,L48,"#")&lt;&gt;W51,2,IF(SUBSTITUTE(W52,L48,"#")&lt;&gt;W52,3,IF(SUBSTITUTE(W53,L48,"#")&lt;&gt;W53,4,IF(SUBSTITUTE(W54,L48,"#")&lt;&gt;W54,5,6)))))</f>
        <v>1</v>
      </c>
      <c r="AA48" s="595" t="str">
        <f>RIGHT(V48,1)</f>
        <v>3</v>
      </c>
      <c r="AB48" s="541" t="str">
        <f>Groepswedstrijden!AF78</f>
        <v/>
      </c>
      <c r="AC48" s="540" t="e">
        <f>#REF!</f>
        <v>#REF!</v>
      </c>
      <c r="AD48" s="596">
        <f ca="1">IF($AC$7=1,VLOOKUP($V48,Groepswedstrijden!$AH$12:$BA$78,20,FALSE),IF($AC$11=1,VLOOKUP($V48,#REF!,20,FALSE),""))</f>
        <v>2</v>
      </c>
      <c r="AE48" s="600" t="str">
        <f ca="1">IF($AC$7=1,VLOOKUP($V48,Groepswedstrijden!$AH$12:$BA$78,3,FALSE),IF($AC$11=1,VLOOKUP($V48,#REF!,3,FALSE),""))</f>
        <v>Land G3</v>
      </c>
      <c r="AF48" s="596">
        <f ca="1">IF($AC$7=1,VLOOKUP($V48,Groepswedstrijden!$AH$12:$BA$78,9,FALSE),IF($AC$11=1,VLOOKUP($V48,#REF!,9,FALSE),""))</f>
        <v>0</v>
      </c>
      <c r="AG48" s="596">
        <f ca="1">IF($AC$7=1,VLOOKUP($V48,Groepswedstrijden!$AH$12:$BA$78,10,FALSE),IF($AC$11=1,VLOOKUP($V48,#REF!,10,FALSE),""))</f>
        <v>0</v>
      </c>
      <c r="AH48" s="596">
        <f ca="1">IF($AC$7=1,VLOOKUP($V48,Groepswedstrijden!$AH$12:$BA$78,11,FALSE),IF($AC$11=1,VLOOKUP($V48,#REF!,11,FALSE),""))</f>
        <v>0</v>
      </c>
      <c r="AI48" s="598">
        <f ca="1">IF($AC$7=1,VLOOKUP($V48,Groepswedstrijden!$AH$12:$BA$78,19,FALSE),IF($AC$11=1,VLOOKUP($V48,#REF!,19,FALSE),""))</f>
        <v>350000500003</v>
      </c>
      <c r="AJ48" s="601">
        <f ca="1">FLOOR(IF($AD46=3,AI46,IF($AD47=3,AI47,IF($AD48=3,AI48,AI49)))/10,1)</f>
        <v>35000050000</v>
      </c>
      <c r="AL48" s="1192"/>
      <c r="AM48" s="429" t="str">
        <f ca="1">IF(AJ48=AJ47,"","3.")</f>
        <v/>
      </c>
      <c r="AN48" s="430" t="str">
        <f ca="1">IF($AD46=3,AE46,IF($AD47=3,AE47,IF($AD48=3,AE48,AE49)))</f>
        <v>Land G2</v>
      </c>
      <c r="AO48" s="431">
        <f ca="1">IF($AD46=3,AF46,IF($AD47=3,AF47,IF($AD48=3,AF48,AF49)))</f>
        <v>0</v>
      </c>
      <c r="AP48" s="431">
        <f ca="1">IF($AD46=3,AG46,IF($AD47=3,AG47,IF($AD48=3,AG48,AG49)))</f>
        <v>0</v>
      </c>
      <c r="AQ48" s="431">
        <f ca="1">IF($AD46=3,AH46,IF($AD47=3,AH47,IF($AD48=3,AH48,AH49)))</f>
        <v>0</v>
      </c>
    </row>
    <row r="49" spans="1:43" ht="20.100000000000001" hidden="1" customHeight="1" x14ac:dyDescent="0.3">
      <c r="A49" s="707" t="str">
        <f t="shared" si="0"/>
        <v>H</v>
      </c>
      <c r="B49" s="79"/>
      <c r="C49" s="440"/>
      <c r="D49" s="1185" t="str">
        <f ca="1">IF($S$12=1,IF($AC$7=1,AB47,IF($AC$11=1,AC47,"")),IF(AND($S$12=2,OR($Y$49="LEEG",$Y$49="ONGELDIG")),IF($AC$7=1,AB47,IF($AC$11=1,AC47,"")),""))</f>
        <v/>
      </c>
      <c r="E49" s="1185"/>
      <c r="F49" s="1185"/>
      <c r="G49" s="1185"/>
      <c r="H49" s="1185"/>
      <c r="I49" s="1185"/>
      <c r="J49" s="463"/>
      <c r="K49" s="1185" t="str">
        <f ca="1">IF($S$12=1,IF($AC$7=1,AB52,IF($AC$11=1,AC52,"")),IF(AND($S$12=2,OR($Z$49="LEEG",$Z$49="ONGELDIG")),IF($AC$7=1,AB52,IF($AC$11=1,AC52,"")),""))</f>
        <v/>
      </c>
      <c r="L49" s="1185"/>
      <c r="M49" s="1185"/>
      <c r="N49" s="1185"/>
      <c r="O49" s="1185"/>
      <c r="P49" s="1185"/>
      <c r="Q49" s="442"/>
      <c r="R49" s="79"/>
      <c r="S49" s="466">
        <f>S48+1</f>
        <v>5</v>
      </c>
      <c r="T49" s="371" t="str">
        <f ca="1">VLOOKUP(V49,Voorblad!$X$67:$Z$98,2,FALSE)</f>
        <v>Land G4</v>
      </c>
      <c r="U49" s="372" t="str">
        <f>VLOOKUP(V49,Voorblad!$X$67:$Z$98,3,FALSE)</f>
        <v>XD</v>
      </c>
      <c r="V49" s="373" t="str">
        <f>V45&amp;4</f>
        <v>G4</v>
      </c>
      <c r="W49" s="720" t="str">
        <f>"|"&amp;Taal02!C40&amp;"|"&amp;Taal02!D40&amp;"|"&amp;Taal02!E40&amp;"|"&amp;Taal02!F40&amp;"|"&amp;Taal02!G40&amp;"|"&amp;Taal02!H40&amp;"|"&amp;Taal02!I40&amp;"|"&amp;Taal02!J40&amp;"|"</f>
        <v>|Land G4|Country G4|||||||</v>
      </c>
      <c r="X49" s="602" t="s">
        <v>221</v>
      </c>
      <c r="Y49" s="176" t="str">
        <f>IF($A48="H","",IF(Y48=1,"LEEG",IF(AND(Y48&gt;1,Y48&lt;6,TYPE(Y46+Y48+Y50+Y52)=1),IF(OR(Y48=Y46,Y48=Y50,Y48=Y52),"DUBBEL","GOED"),"ONGELDIG")))</f>
        <v/>
      </c>
      <c r="Z49" s="176" t="str">
        <f>IF($A48="H","",IF(Z48=1, "LEEG",IF(AND(Z48&gt;1,Z48&lt;6,TYPE(Z46+Z48+Z50+Z52)=1),IF(OR(Z48=Z46,Z48=Z50,Z48=Z52),"DUBBEL","GOED"),"ONGELDIG")))</f>
        <v/>
      </c>
      <c r="AA49" s="595" t="str">
        <f>RIGHT(V49,1)</f>
        <v>4</v>
      </c>
      <c r="AB49" s="541" t="str">
        <f>Groepswedstrijden!AF79</f>
        <v/>
      </c>
      <c r="AC49" s="540" t="e">
        <f>#REF!</f>
        <v>#REF!</v>
      </c>
      <c r="AD49" s="596">
        <f ca="1">IF($AC$7=1,VLOOKUP($V49,Groepswedstrijden!$AH$12:$BA$78,20,FALSE),IF($AC$11=1,VLOOKUP($V49,#REF!,20,FALSE),""))</f>
        <v>1</v>
      </c>
      <c r="AE49" s="600" t="str">
        <f ca="1">IF($AC$7=1,VLOOKUP($V49,Groepswedstrijden!$AH$12:$BA$78,3,FALSE),IF($AC$11=1,VLOOKUP($V49,#REF!,3,FALSE),""))</f>
        <v>Land G4</v>
      </c>
      <c r="AF49" s="596">
        <f ca="1">IF($AC$7=1,VLOOKUP($V49,Groepswedstrijden!$AH$12:$BA$78,9,FALSE),IF($AC$11=1,VLOOKUP($V49,#REF!,9,FALSE),""))</f>
        <v>0</v>
      </c>
      <c r="AG49" s="596">
        <f ca="1">IF($AC$7=1,VLOOKUP($V49,Groepswedstrijden!$AH$12:$BA$78,10,FALSE),IF($AC$11=1,VLOOKUP($V49,#REF!,10,FALSE),""))</f>
        <v>0</v>
      </c>
      <c r="AH49" s="596">
        <f ca="1">IF($AC$7=1,VLOOKUP($V49,Groepswedstrijden!$AH$12:$BA$78,11,FALSE),IF($AC$11=1,VLOOKUP($V49,#REF!,11,FALSE),""))</f>
        <v>0</v>
      </c>
      <c r="AI49" s="598">
        <f ca="1">IF($AC$7=1,VLOOKUP($V49,Groepswedstrijden!$AH$12:$BA$78,19,FALSE),IF($AC$11=1,VLOOKUP($V49,#REF!,19,FALSE),""))</f>
        <v>350000500004</v>
      </c>
      <c r="AJ49" s="601">
        <f ca="1">FLOOR(IF($AD46=4,AI46,IF($AD47=4,AI47,IF($AD48=4,AI48,AI49)))/10,1)</f>
        <v>35000050000</v>
      </c>
      <c r="AL49" s="1193"/>
      <c r="AM49" s="432" t="str">
        <f ca="1">IF(AJ49=AJ48,"","4.")</f>
        <v/>
      </c>
      <c r="AN49" s="433" t="str">
        <f ca="1">IF($AD46=4,AE46,IF($AD47=4,AE47,IF($AD48=4,AE48,AE49)))</f>
        <v>Land G1</v>
      </c>
      <c r="AO49" s="434">
        <f ca="1">IF($AD46=4,AF46,IF($AD47=4,AF47,IF($AD48=4,AF48,AF49)))</f>
        <v>0</v>
      </c>
      <c r="AP49" s="434">
        <f ca="1">IF($AD46=4,AG46,IF($AD47=4,AG47,IF($AD48=4,AG48,AG49)))</f>
        <v>0</v>
      </c>
      <c r="AQ49" s="434">
        <f ca="1">IF($AD46=4,AH46,IF($AD47=4,AH47,IF($AD48=4,AH48,AH49)))</f>
        <v>0</v>
      </c>
    </row>
    <row r="50" spans="1:43" ht="15" hidden="1" customHeight="1" x14ac:dyDescent="0.3">
      <c r="A50" s="707" t="str">
        <f t="shared" si="0"/>
        <v>H</v>
      </c>
      <c r="B50" s="79"/>
      <c r="C50" s="440"/>
      <c r="D50" s="425" t="s">
        <v>216</v>
      </c>
      <c r="E50" s="1013"/>
      <c r="F50" s="718" t="str">
        <f>IF(Y51="LEEG","▼","")</f>
        <v/>
      </c>
      <c r="G50" s="463"/>
      <c r="H50" s="463"/>
      <c r="I50" s="463"/>
      <c r="J50" s="463"/>
      <c r="K50" s="425" t="s">
        <v>216</v>
      </c>
      <c r="L50" s="1014"/>
      <c r="M50" s="718" t="str">
        <f>IF(Z51="LEEG","▼","")</f>
        <v/>
      </c>
      <c r="N50" s="463"/>
      <c r="O50" s="463"/>
      <c r="P50" s="463"/>
      <c r="Q50" s="442"/>
      <c r="R50" s="79"/>
      <c r="S50" s="466">
        <v>1</v>
      </c>
      <c r="T50" s="364"/>
      <c r="U50" s="367"/>
      <c r="V50" s="366" t="str">
        <f>IF(A45="H","H",RIGHT(K44,1))</f>
        <v>H</v>
      </c>
      <c r="W50" s="719"/>
      <c r="X50" s="602" t="s">
        <v>222</v>
      </c>
      <c r="Y50" s="176">
        <f>IF(ISBLANK(E50),1,IF(SUBSTITUTE(W46,E50,"#")&lt;&gt;W46,2,IF(SUBSTITUTE(W47,E50,"#")&lt;&gt;W47,3,IF(SUBSTITUTE(W48,E50,"#")&lt;&gt;W48,4,IF(SUBSTITUTE(W49,E50,"#")&lt;&gt;W49,5,6)))))</f>
        <v>1</v>
      </c>
      <c r="Z50" s="176">
        <f>IF(ISBLANK(L50),1,IF(SUBSTITUTE(W51,L50,"#")&lt;&gt;W51,2,IF(SUBSTITUTE(W52,L50,"#")&lt;&gt;W52,3,IF(SUBSTITUTE(W53,L50,"#")&lt;&gt;W53,4,IF(SUBSTITUTE(W54,L50,"#")&lt;&gt;W54,5,6)))))</f>
        <v>1</v>
      </c>
      <c r="AA50" s="540"/>
      <c r="AB50" s="539" t="str">
        <f ca="1">UPPER(Taal04!$B$26)&amp;" "&amp;V50</f>
        <v>GROEP H</v>
      </c>
      <c r="AC50" s="595" t="str">
        <f ca="1">AB50</f>
        <v>GROEP H</v>
      </c>
      <c r="AD50" s="596"/>
      <c r="AE50" s="597" t="str">
        <f ca="1">AB50</f>
        <v>GROEP H</v>
      </c>
      <c r="AF50" s="596"/>
      <c r="AG50" s="596"/>
      <c r="AH50" s="596"/>
      <c r="AI50" s="598"/>
      <c r="AJ50" s="599"/>
      <c r="AL50" s="735" t="str">
        <f ca="1">IF(AF9="JA","","└ "&amp;SUBSTITUTE(Taal04!B62,"#",RIGHT(AL46,1)))</f>
        <v>└ LET OP: niet alle wedstrijden in groep G zijn ingevuld.</v>
      </c>
      <c r="AM50" s="734"/>
      <c r="AP50" s="736"/>
      <c r="AQ50" s="736"/>
    </row>
    <row r="51" spans="1:43" ht="20.100000000000001" hidden="1" customHeight="1" x14ac:dyDescent="0.3">
      <c r="A51" s="707" t="str">
        <f t="shared" si="0"/>
        <v>H</v>
      </c>
      <c r="B51" s="79"/>
      <c r="C51" s="440"/>
      <c r="D51" s="1185" t="str">
        <f ca="1">IF($S$12=1,IF($AC$7=1,AB48,IF($AC$11=1,AC48,"")),IF(AND($S$12=2,OR($Y$51="LEEG",$Y$51="ONGELDIG")),IF($AC$7=1,AB48,IF($AC$11=1,AC48,"")),""))</f>
        <v/>
      </c>
      <c r="E51" s="1185"/>
      <c r="F51" s="1185"/>
      <c r="G51" s="1185"/>
      <c r="H51" s="1185"/>
      <c r="I51" s="1185"/>
      <c r="J51" s="463"/>
      <c r="K51" s="1185" t="str">
        <f ca="1">IF($S$12=1,IF($AC$7=1,AB53,IF($AC$11=1,AC53,"")),IF(AND($S$12=2,OR($Z$51="LEEG",$Z$51="ONGELDIG")),IF($AC$7=1,AB53,IF($AC$11=1,AC53,"")),""))</f>
        <v/>
      </c>
      <c r="L51" s="1185"/>
      <c r="M51" s="1185"/>
      <c r="N51" s="1185"/>
      <c r="O51" s="1185"/>
      <c r="P51" s="1185"/>
      <c r="Q51" s="442"/>
      <c r="R51" s="79"/>
      <c r="S51" s="466">
        <f>S50+1</f>
        <v>2</v>
      </c>
      <c r="T51" s="368" t="str">
        <f ca="1">VLOOKUP(V51,Voorblad!$X$67:$Z$98,2,FALSE)</f>
        <v>Land H1</v>
      </c>
      <c r="U51" s="369" t="str">
        <f>VLOOKUP(V51,Voorblad!$X$67:$Z$98,3,FALSE)</f>
        <v>XE</v>
      </c>
      <c r="V51" s="370" t="str">
        <f>V50&amp;1</f>
        <v>H1</v>
      </c>
      <c r="W51" s="720" t="str">
        <f>"|"&amp;Taal02!C42&amp;"|"&amp;Taal02!D42&amp;"|"&amp;Taal02!E42&amp;"|"&amp;Taal02!F42&amp;"|"&amp;Taal02!G42&amp;"|"&amp;Taal02!H42&amp;"|"&amp;Taal02!I42&amp;"|"&amp;Taal02!J42&amp;"|"</f>
        <v>|Land H1|Country H1|||||||</v>
      </c>
      <c r="X51" s="602" t="s">
        <v>223</v>
      </c>
      <c r="Y51" s="176" t="str">
        <f>IF($A50="H","",IF(Y50=1,"LEEG",IF(AND(Y50&gt;1,Y50&lt;6,TYPE(Y46+Y48+Y50+Y52)=1),IF(OR(Y50=Y46,Y50=Y48,Y50=Y52),"DUBBEL","GOED"),"ONGELDIG")))</f>
        <v/>
      </c>
      <c r="Z51" s="176" t="str">
        <f>IF($A50="H","",IF(Z50=1, "LEEG",IF(AND(Z50&gt;1,Z50&lt;6,TYPE(Z46+Z48+Z50+Z52)=1),IF(OR(Z50=Z46,Z50=Z48,Z50=Z52),"DUBBEL","GOED"),"ONGELDIG")))</f>
        <v/>
      </c>
      <c r="AA51" s="595" t="str">
        <f>RIGHT(V51,1)</f>
        <v>1</v>
      </c>
      <c r="AB51" s="541" t="str">
        <f ca="1">Groepswedstrijden!AG76</f>
        <v/>
      </c>
      <c r="AC51" s="540" t="e">
        <f>#REF!</f>
        <v>#REF!</v>
      </c>
      <c r="AD51" s="596">
        <f ca="1">IF($AC$7=1,VLOOKUP($V51,Groepswedstrijden!$AH$12:$BA$78,20,FALSE),IF($AC$11=1,VLOOKUP($V51,#REF!,20,FALSE),""))</f>
        <v>4</v>
      </c>
      <c r="AE51" s="600" t="str">
        <f ca="1">IF($AC$7=1,VLOOKUP($V51,Groepswedstrijden!$AH$12:$BA$78,3,FALSE),IF($AC$11=1,VLOOKUP($V51,#REF!,3,FALSE),""))</f>
        <v>Land H1</v>
      </c>
      <c r="AF51" s="596">
        <f ca="1">IF($AC$7=1,VLOOKUP($V51,Groepswedstrijden!$AH$12:$BA$78,9,FALSE),IF($AC$11=1,VLOOKUP($V51,#REF!,9,FALSE),""))</f>
        <v>0</v>
      </c>
      <c r="AG51" s="596">
        <f ca="1">IF($AC$7=1,VLOOKUP($V51,Groepswedstrijden!$AH$12:$BA$78,10,FALSE),IF($AC$11=1,VLOOKUP($V51,#REF!,10,FALSE),""))</f>
        <v>0</v>
      </c>
      <c r="AH51" s="596">
        <f ca="1">IF($AC$7=1,VLOOKUP($V51,Groepswedstrijden!$AH$12:$BA$78,11,FALSE),IF($AC$11=1,VLOOKUP($V51,#REF!,11,FALSE),""))</f>
        <v>0</v>
      </c>
      <c r="AI51" s="598">
        <f ca="1">IF($AC$7=1,VLOOKUP($V51,Groepswedstrijden!$AH$12:$BA$78,19,FALSE),IF($AC$11=1,VLOOKUP($V51,#REF!,19,FALSE),""))</f>
        <v>350000500001</v>
      </c>
      <c r="AJ51" s="601">
        <f ca="1">FLOOR(IF($AD51=1,AI51,IF($AD52=1,AI52,IF($AD53=1,AI53,AI54)))/10,1)</f>
        <v>35000050000</v>
      </c>
      <c r="AL51" s="1191" t="str">
        <f ca="1">AE50</f>
        <v>GROEP H</v>
      </c>
      <c r="AM51" s="426" t="s">
        <v>65</v>
      </c>
      <c r="AN51" s="427" t="str">
        <f ca="1">IF($AD51=1,AE51,IF($AD52=1,AE52,IF($AD53=1,AE53,AE54)))</f>
        <v>Land H4</v>
      </c>
      <c r="AO51" s="428">
        <f ca="1">IF($AD51=1,AF51,IF($AD52=1,AF52,IF($AD53=1,AF53,AF54)))</f>
        <v>0</v>
      </c>
      <c r="AP51" s="428">
        <f ca="1">IF($AD51=1,AG51,IF($AD52=1,AG52,IF($AD53=1,AG53,AG54)))</f>
        <v>0</v>
      </c>
      <c r="AQ51" s="428">
        <f ca="1">IF($AD51=1,AH51,IF($AD52=1,AH52,IF($AD53=1,AH53,AH54)))</f>
        <v>0</v>
      </c>
    </row>
    <row r="52" spans="1:43" ht="15" hidden="1" customHeight="1" x14ac:dyDescent="0.3">
      <c r="A52" s="707" t="str">
        <f t="shared" si="0"/>
        <v>H</v>
      </c>
      <c r="B52" s="79"/>
      <c r="C52" s="440"/>
      <c r="D52" s="425" t="s">
        <v>217</v>
      </c>
      <c r="E52" s="1013"/>
      <c r="F52" s="718" t="str">
        <f>IF(Y53="LEEG","▼","")</f>
        <v/>
      </c>
      <c r="G52" s="463"/>
      <c r="H52" s="463"/>
      <c r="I52" s="463"/>
      <c r="J52" s="463"/>
      <c r="K52" s="425" t="s">
        <v>217</v>
      </c>
      <c r="L52" s="1014"/>
      <c r="M52" s="718" t="str">
        <f>IF(Z53="LEEG","▼","")</f>
        <v/>
      </c>
      <c r="N52" s="463"/>
      <c r="O52" s="463"/>
      <c r="P52" s="463"/>
      <c r="Q52" s="442"/>
      <c r="R52" s="79"/>
      <c r="S52" s="466">
        <f>S51+1</f>
        <v>3</v>
      </c>
      <c r="T52" s="368" t="str">
        <f ca="1">VLOOKUP(V52,Voorblad!$X$67:$Z$98,2,FALSE)</f>
        <v>Land H2</v>
      </c>
      <c r="U52" s="369" t="str">
        <f>VLOOKUP(V52,Voorblad!$X$67:$Z$98,3,FALSE)</f>
        <v>XF</v>
      </c>
      <c r="V52" s="370" t="str">
        <f>V50&amp;2</f>
        <v>H2</v>
      </c>
      <c r="W52" s="720" t="str">
        <f>"|"&amp;Taal02!C43&amp;"|"&amp;Taal02!D43&amp;"|"&amp;Taal02!E43&amp;"|"&amp;Taal02!F43&amp;"|"&amp;Taal02!G43&amp;"|"&amp;Taal02!H43&amp;"|"&amp;Taal02!I43&amp;"|"&amp;Taal02!J43&amp;"|"</f>
        <v>|Land H2|Country H2|||||||</v>
      </c>
      <c r="X52" s="602" t="s">
        <v>224</v>
      </c>
      <c r="Y52" s="176">
        <f>IF(ISBLANK(E52),1,IF(SUBSTITUTE(W46,E52,"#")&lt;&gt;W46,2,IF(SUBSTITUTE(W47,E52,"#")&lt;&gt;W47,3,IF(SUBSTITUTE(W48,E52,"#")&lt;&gt;W48,4,IF(SUBSTITUTE(W49,E52,"#")&lt;&gt;W49,5,6)))))</f>
        <v>1</v>
      </c>
      <c r="Z52" s="176">
        <f>IF(ISBLANK(L52),1,IF(SUBSTITUTE(W51,L52,"#")&lt;&gt;W51,2,IF(SUBSTITUTE(W52,L52,"#")&lt;&gt;W52,3,IF(SUBSTITUTE(W53,L52,"#")&lt;&gt;W53,4,IF(SUBSTITUTE(W54,L52,"#")&lt;&gt;W54,5,6)))))</f>
        <v>1</v>
      </c>
      <c r="AA52" s="595" t="str">
        <f>RIGHT(V52,1)</f>
        <v>2</v>
      </c>
      <c r="AB52" s="541" t="str">
        <f ca="1">Groepswedstrijden!AG77</f>
        <v/>
      </c>
      <c r="AC52" s="540" t="e">
        <f>#REF!</f>
        <v>#REF!</v>
      </c>
      <c r="AD52" s="596">
        <f ca="1">IF($AC$7=1,VLOOKUP($V52,Groepswedstrijden!$AH$12:$BA$78,20,FALSE),IF($AC$11=1,VLOOKUP($V52,#REF!,20,FALSE),""))</f>
        <v>3</v>
      </c>
      <c r="AE52" s="600" t="str">
        <f ca="1">IF($AC$7=1,VLOOKUP($V52,Groepswedstrijden!$AH$12:$BA$78,3,FALSE),IF($AC$11=1,VLOOKUP($V52,#REF!,3,FALSE),""))</f>
        <v>Land H2</v>
      </c>
      <c r="AF52" s="596">
        <f ca="1">IF($AC$7=1,VLOOKUP($V52,Groepswedstrijden!$AH$12:$BA$78,9,FALSE),IF($AC$11=1,VLOOKUP($V52,#REF!,9,FALSE),""))</f>
        <v>0</v>
      </c>
      <c r="AG52" s="596">
        <f ca="1">IF($AC$7=1,VLOOKUP($V52,Groepswedstrijden!$AH$12:$BA$78,10,FALSE),IF($AC$11=1,VLOOKUP($V52,#REF!,10,FALSE),""))</f>
        <v>0</v>
      </c>
      <c r="AH52" s="596">
        <f ca="1">IF($AC$7=1,VLOOKUP($V52,Groepswedstrijden!$AH$12:$BA$78,11,FALSE),IF($AC$11=1,VLOOKUP($V52,#REF!,11,FALSE),""))</f>
        <v>0</v>
      </c>
      <c r="AI52" s="598">
        <f ca="1">IF($AC$7=1,VLOOKUP($V52,Groepswedstrijden!$AH$12:$BA$78,19,FALSE),IF($AC$11=1,VLOOKUP($V52,#REF!,19,FALSE),""))</f>
        <v>350000500002</v>
      </c>
      <c r="AJ52" s="601">
        <f ca="1">FLOOR(IF($AD51=2,AI51,IF($AD52=2,AI52,IF($AD53=2,AI53,AI54)))/10,1)</f>
        <v>35000050000</v>
      </c>
      <c r="AL52" s="1192"/>
      <c r="AM52" s="429" t="str">
        <f ca="1">IF(AJ52=AJ51,"","2.")</f>
        <v/>
      </c>
      <c r="AN52" s="430" t="str">
        <f ca="1">IF($AD51=2,AE51,IF($AD52=2,AE52,IF($AD53=2,AE53,AE54)))</f>
        <v>Land H3</v>
      </c>
      <c r="AO52" s="431">
        <f ca="1">IF($AD51=2,AF51,IF($AD52=2,AF52,IF($AD53=2,AF53,AF54)))</f>
        <v>0</v>
      </c>
      <c r="AP52" s="431">
        <f ca="1">IF($AD51=2,AG51,IF($AD52=2,AG52,IF($AD53=2,AG53,AG54)))</f>
        <v>0</v>
      </c>
      <c r="AQ52" s="431">
        <f ca="1">IF($AD51=2,AH51,IF($AD52=2,AH52,IF($AD53=2,AH53,AH54)))</f>
        <v>0</v>
      </c>
    </row>
    <row r="53" spans="1:43" ht="20.100000000000001" hidden="1" customHeight="1" x14ac:dyDescent="0.3">
      <c r="A53" s="707" t="str">
        <f t="shared" si="0"/>
        <v>H</v>
      </c>
      <c r="B53" s="79"/>
      <c r="C53" s="440"/>
      <c r="D53" s="1185" t="str">
        <f ca="1">IF($S$12=1,IF($AC$7=1,AB49,IF($AC$11=1,AC49,"")),IF(AND($S$12=2,OR($Y$53="LEEG",$Y$53="ONGELDIG")),IF($AC$7=1,AB49,IF($AC$11=1,AC49,"")),""))</f>
        <v/>
      </c>
      <c r="E53" s="1185"/>
      <c r="F53" s="1185"/>
      <c r="G53" s="1185"/>
      <c r="H53" s="1185"/>
      <c r="I53" s="1185"/>
      <c r="J53" s="463"/>
      <c r="K53" s="1185" t="str">
        <f ca="1">IF($S$12=1,IF($AC$7=1,AB54,IF($AC$11=1,AC54,"")),IF(AND($S$12=2,OR($Z$53="LEEG",$Z$53="ONGELDIG")),IF($AC$7=1,AB54,IF($AC$11=1,AC54,"")),""))</f>
        <v/>
      </c>
      <c r="L53" s="1185"/>
      <c r="M53" s="1185"/>
      <c r="N53" s="1185"/>
      <c r="O53" s="1185"/>
      <c r="P53" s="1185"/>
      <c r="Q53" s="442"/>
      <c r="R53" s="79"/>
      <c r="S53" s="466">
        <f>S52+1</f>
        <v>4</v>
      </c>
      <c r="T53" s="368" t="str">
        <f ca="1">VLOOKUP(V53,Voorblad!$X$67:$Z$98,2,FALSE)</f>
        <v>Land H3</v>
      </c>
      <c r="U53" s="369" t="str">
        <f>VLOOKUP(V53,Voorblad!$X$67:$Z$98,3,FALSE)</f>
        <v>XG</v>
      </c>
      <c r="V53" s="370" t="str">
        <f>V50&amp;3</f>
        <v>H3</v>
      </c>
      <c r="W53" s="720" t="str">
        <f>"|"&amp;Taal02!C44&amp;"|"&amp;Taal02!D44&amp;"|"&amp;Taal02!E44&amp;"|"&amp;Taal02!F44&amp;"|"&amp;Taal02!G44&amp;"|"&amp;Taal02!H44&amp;"|"&amp;Taal02!I44&amp;"|"&amp;Taal02!J44&amp;"|"</f>
        <v>|Land H3|Country H3|||||||</v>
      </c>
      <c r="X53" s="602" t="s">
        <v>225</v>
      </c>
      <c r="Y53" s="176" t="str">
        <f>IF($A52="H","",IF(Y52=1, "LEEG",IF(AND(Y52&gt;1,Y52&lt;6,TYPE(Y46+Y48+Y50+Y52)=1),IF(OR(Y52=Y46,Y52=Y48,Y52=Y50),"DUBBEL","GOED"),"ONGELDIG")))</f>
        <v/>
      </c>
      <c r="Z53" s="176" t="str">
        <f>IF($A52="H","",IF(Z52=1, "LEEG",IF(AND(Z52&gt;1,Z52&lt;6,TYPE(Z46+Z48+Z50+Z52)=1),IF(OR(Z52=Z46,Z52=Z48,Z52=Z50),"DUBBEL","GOED"),"ONGELDIG")))</f>
        <v/>
      </c>
      <c r="AA53" s="595" t="str">
        <f>RIGHT(V53,1)</f>
        <v>3</v>
      </c>
      <c r="AB53" s="541" t="str">
        <f ca="1">Groepswedstrijden!AG78</f>
        <v/>
      </c>
      <c r="AC53" s="540" t="e">
        <f>#REF!</f>
        <v>#REF!</v>
      </c>
      <c r="AD53" s="596">
        <f ca="1">IF($AC$7=1,VLOOKUP($V53,Groepswedstrijden!$AH$12:$BA$78,20,FALSE),IF($AC$11=1,VLOOKUP($V53,#REF!,20,FALSE),""))</f>
        <v>2</v>
      </c>
      <c r="AE53" s="600" t="str">
        <f ca="1">IF($AC$7=1,VLOOKUP($V53,Groepswedstrijden!$AH$12:$BA$78,3,FALSE),IF($AC$11=1,VLOOKUP($V53,#REF!,3,FALSE),""))</f>
        <v>Land H3</v>
      </c>
      <c r="AF53" s="596">
        <f ca="1">IF($AC$7=1,VLOOKUP($V53,Groepswedstrijden!$AH$12:$BA$78,9,FALSE),IF($AC$11=1,VLOOKUP($V53,#REF!,9,FALSE),""))</f>
        <v>0</v>
      </c>
      <c r="AG53" s="596">
        <f ca="1">IF($AC$7=1,VLOOKUP($V53,Groepswedstrijden!$AH$12:$BA$78,10,FALSE),IF($AC$11=1,VLOOKUP($V53,#REF!,10,FALSE),""))</f>
        <v>0</v>
      </c>
      <c r="AH53" s="596">
        <f ca="1">IF($AC$7=1,VLOOKUP($V53,Groepswedstrijden!$AH$12:$BA$78,11,FALSE),IF($AC$11=1,VLOOKUP($V53,#REF!,11,FALSE),""))</f>
        <v>0</v>
      </c>
      <c r="AI53" s="598">
        <f ca="1">IF($AC$7=1,VLOOKUP($V53,Groepswedstrijden!$AH$12:$BA$78,19,FALSE),IF($AC$11=1,VLOOKUP($V53,#REF!,19,FALSE),""))</f>
        <v>350000500003</v>
      </c>
      <c r="AJ53" s="601">
        <f ca="1">FLOOR(IF($AD51=3,AI51,IF($AD52=3,AI52,IF($AD53=3,AI53,AI54)))/10,1)</f>
        <v>35000050000</v>
      </c>
      <c r="AL53" s="1192"/>
      <c r="AM53" s="429" t="str">
        <f ca="1">IF(AJ53=AJ52,"","3.")</f>
        <v/>
      </c>
      <c r="AN53" s="430" t="str">
        <f ca="1">IF($AD51=3,AE51,IF($AD52=3,AE52,IF($AD53=3,AE53,AE54)))</f>
        <v>Land H2</v>
      </c>
      <c r="AO53" s="431">
        <f ca="1">IF($AD51=3,AF51,IF($AD52=3,AF52,IF($AD53=3,AF53,AF54)))</f>
        <v>0</v>
      </c>
      <c r="AP53" s="431">
        <f ca="1">IF($AD51=3,AG51,IF($AD52=3,AG52,IF($AD53=3,AG53,AG54)))</f>
        <v>0</v>
      </c>
      <c r="AQ53" s="431">
        <f ca="1">IF($AD51=3,AH51,IF($AD52=3,AH52,IF($AD53=3,AH53,AH54)))</f>
        <v>0</v>
      </c>
    </row>
    <row r="54" spans="1:43" ht="15" hidden="1" customHeight="1" x14ac:dyDescent="0.3">
      <c r="A54" s="707" t="str">
        <f t="shared" si="0"/>
        <v>H</v>
      </c>
      <c r="B54" s="79"/>
      <c r="C54" s="440"/>
      <c r="D54" s="444"/>
      <c r="E54" s="463"/>
      <c r="F54" s="463"/>
      <c r="G54" s="463"/>
      <c r="H54" s="463"/>
      <c r="I54" s="463"/>
      <c r="J54" s="463"/>
      <c r="K54" s="463"/>
      <c r="L54" s="463"/>
      <c r="M54" s="463"/>
      <c r="N54" s="463"/>
      <c r="O54" s="463"/>
      <c r="P54" s="463"/>
      <c r="Q54" s="442"/>
      <c r="R54" s="79"/>
      <c r="S54" s="466">
        <f>S53+1</f>
        <v>5</v>
      </c>
      <c r="T54" s="371" t="str">
        <f ca="1">VLOOKUP(V54,Voorblad!$X$67:$Z$98,2,FALSE)</f>
        <v>Land H4</v>
      </c>
      <c r="U54" s="372" t="str">
        <f>VLOOKUP(V54,Voorblad!$X$67:$Z$98,3,FALSE)</f>
        <v>XH</v>
      </c>
      <c r="V54" s="373" t="str">
        <f>V50&amp;4</f>
        <v>H4</v>
      </c>
      <c r="W54" s="720" t="str">
        <f>"|"&amp;Taal02!C45&amp;"|"&amp;Taal02!D45&amp;"|"&amp;Taal02!E45&amp;"|"&amp;Taal02!F45&amp;"|"&amp;Taal02!G45&amp;"|"&amp;Taal02!H45&amp;"|"&amp;Taal02!I45&amp;"|"&amp;Taal02!J45&amp;"|"</f>
        <v>|Land H4|Country H4|||||||</v>
      </c>
      <c r="X54" s="602" t="s">
        <v>226</v>
      </c>
      <c r="Y54" s="497" t="str">
        <f>IF(TYPE(1*((Y46+Y48+Y50+Y52)&amp;(Y46*Y48*Y50*Y52)))=1,(Y46+Y48+Y50+Y52)&amp;(Y46*Y48*Y50*Y52),14120)</f>
        <v>41</v>
      </c>
      <c r="Z54" s="497" t="str">
        <f>IF(TYPE(1*((Z46+Z48+Z50+Z52)&amp;(Z46*Z48*Z50*Z52)))=1,(Z46+Z48+Z50+Z52)&amp;(Z46*Z48*Z50*Z52),14120)</f>
        <v>41</v>
      </c>
      <c r="AA54" s="595" t="str">
        <f>RIGHT(V54,1)</f>
        <v>4</v>
      </c>
      <c r="AB54" s="541" t="str">
        <f ca="1">Groepswedstrijden!AG79</f>
        <v/>
      </c>
      <c r="AC54" s="540" t="e">
        <f>#REF!</f>
        <v>#REF!</v>
      </c>
      <c r="AD54" s="596">
        <f ca="1">IF($AC$7=1,VLOOKUP($V54,Groepswedstrijden!$AH$12:$BA$78,20,FALSE),IF($AC$11=1,VLOOKUP($V54,#REF!,20,FALSE),""))</f>
        <v>1</v>
      </c>
      <c r="AE54" s="600" t="str">
        <f ca="1">IF($AC$7=1,VLOOKUP($V54,Groepswedstrijden!$AH$12:$BA$78,3,FALSE),IF($AC$11=1,VLOOKUP($V54,#REF!,3,FALSE),""))</f>
        <v>Land H4</v>
      </c>
      <c r="AF54" s="596">
        <f ca="1">IF($AC$7=1,VLOOKUP($V54,Groepswedstrijden!$AH$12:$BA$78,9,FALSE),IF($AC$11=1,VLOOKUP($V54,#REF!,9,FALSE),""))</f>
        <v>0</v>
      </c>
      <c r="AG54" s="596">
        <f ca="1">IF($AC$7=1,VLOOKUP($V54,Groepswedstrijden!$AH$12:$BA$78,10,FALSE),IF($AC$11=1,VLOOKUP($V54,#REF!,10,FALSE),""))</f>
        <v>0</v>
      </c>
      <c r="AH54" s="596">
        <f ca="1">IF($AC$7=1,VLOOKUP($V54,Groepswedstrijden!$AH$12:$BA$78,11,FALSE),IF($AC$11=1,VLOOKUP($V54,#REF!,11,FALSE),""))</f>
        <v>0</v>
      </c>
      <c r="AI54" s="598">
        <f ca="1">IF($AC$7=1,VLOOKUP($V54,Groepswedstrijden!$AH$12:$BA$78,19,FALSE),IF($AC$11=1,VLOOKUP($V54,#REF!,19,FALSE),""))</f>
        <v>350000500004</v>
      </c>
      <c r="AJ54" s="601">
        <f ca="1">FLOOR(IF($AD51=4,AI51,IF($AD52=4,AI52,IF($AD53=4,AI53,AI54)))/10,1)</f>
        <v>35000050000</v>
      </c>
      <c r="AK54" s="199"/>
      <c r="AL54" s="1193"/>
      <c r="AM54" s="432" t="str">
        <f ca="1">IF(AJ54=AJ53,"","4.")</f>
        <v/>
      </c>
      <c r="AN54" s="433" t="str">
        <f ca="1">IF($AD51=4,AE51,IF($AD52=4,AE52,IF($AD53=4,AE53,AE54)))</f>
        <v>Land H1</v>
      </c>
      <c r="AO54" s="434">
        <f ca="1">IF($AD51=4,AF51,IF($AD52=4,AF52,IF($AD53=4,AF53,AF54)))</f>
        <v>0</v>
      </c>
      <c r="AP54" s="434">
        <f ca="1">IF($AD51=4,AG51,IF($AD52=4,AG52,IF($AD53=4,AG53,AG54)))</f>
        <v>0</v>
      </c>
      <c r="AQ54" s="434">
        <f ca="1">IF($AD51=4,AH51,IF($AD52=4,AH52,IF($AD53=4,AH53,AH54)))</f>
        <v>0</v>
      </c>
    </row>
    <row r="55" spans="1:43" s="462" customFormat="1" ht="15" customHeight="1" x14ac:dyDescent="0.3">
      <c r="A55" s="707" t="str">
        <f>IF(A45="H","","H")</f>
        <v/>
      </c>
      <c r="B55" s="464"/>
      <c r="C55" s="440"/>
      <c r="D55" s="444"/>
      <c r="E55" s="463"/>
      <c r="F55" s="463"/>
      <c r="G55" s="463"/>
      <c r="H55" s="463"/>
      <c r="I55" s="463"/>
      <c r="J55" s="463"/>
      <c r="K55" s="463"/>
      <c r="L55" s="463"/>
      <c r="M55" s="463"/>
      <c r="N55" s="463"/>
      <c r="O55" s="463"/>
      <c r="P55" s="463"/>
      <c r="Q55" s="442"/>
      <c r="R55" s="464"/>
      <c r="S55" s="232"/>
      <c r="T55" s="232"/>
      <c r="U55" s="232"/>
      <c r="V55" s="232"/>
      <c r="W55" s="717"/>
      <c r="X55" s="176"/>
      <c r="Y55" s="257"/>
      <c r="Z55" s="257"/>
      <c r="AA55" s="498"/>
      <c r="AB55" s="501"/>
      <c r="AC55" s="498"/>
      <c r="AD55" s="499"/>
      <c r="AE55" s="499"/>
      <c r="AF55" s="499"/>
      <c r="AG55" s="499"/>
      <c r="AH55" s="499"/>
      <c r="AI55" s="502"/>
      <c r="AJ55" s="500"/>
      <c r="AK55" s="199"/>
      <c r="AL55" s="421"/>
      <c r="AM55" s="421"/>
      <c r="AN55" s="421"/>
      <c r="AO55" s="421"/>
      <c r="AP55" s="421"/>
      <c r="AQ55" s="421"/>
    </row>
    <row r="56" spans="1:43" s="462" customFormat="1" ht="15" customHeight="1" x14ac:dyDescent="0.3">
      <c r="A56" s="707" t="str">
        <f t="shared" ref="A56:A64" si="1">IF(A46="H","","H")</f>
        <v/>
      </c>
      <c r="B56" s="464"/>
      <c r="C56" s="440"/>
      <c r="D56" s="444"/>
      <c r="E56" s="463"/>
      <c r="F56" s="463"/>
      <c r="G56" s="463"/>
      <c r="H56" s="463"/>
      <c r="I56" s="463"/>
      <c r="J56" s="463"/>
      <c r="K56" s="463"/>
      <c r="L56" s="463"/>
      <c r="M56" s="463"/>
      <c r="N56" s="463"/>
      <c r="O56" s="463"/>
      <c r="P56" s="463"/>
      <c r="Q56" s="442"/>
      <c r="R56" s="464"/>
      <c r="S56" s="257"/>
      <c r="T56" s="257"/>
      <c r="U56" s="257"/>
      <c r="V56" s="257"/>
      <c r="W56" s="715"/>
      <c r="X56" s="1221" t="s">
        <v>178</v>
      </c>
      <c r="Y56" s="1221"/>
      <c r="Z56" s="1221"/>
      <c r="AA56" s="176"/>
      <c r="AB56" s="176"/>
      <c r="AC56" s="176"/>
      <c r="AD56" s="176"/>
      <c r="AE56" s="176"/>
      <c r="AF56" s="176"/>
      <c r="AG56" s="176"/>
      <c r="AH56" s="176"/>
      <c r="AI56" s="176"/>
      <c r="AJ56" s="176"/>
      <c r="AK56" s="199"/>
      <c r="AL56" s="421"/>
      <c r="AM56" s="421"/>
      <c r="AN56" s="421"/>
      <c r="AO56" s="1186" t="str">
        <f ca="1">AO9</f>
        <v>Punten</v>
      </c>
      <c r="AP56" s="1186" t="str">
        <f ca="1">AP9</f>
        <v>Doelpunten voor</v>
      </c>
      <c r="AQ56" s="1186" t="str">
        <f ca="1">AQ9</f>
        <v>Doelpunten tegen</v>
      </c>
    </row>
    <row r="57" spans="1:43" s="462" customFormat="1" ht="20.100000000000001" customHeight="1" x14ac:dyDescent="0.3">
      <c r="A57" s="707" t="str">
        <f t="shared" si="1"/>
        <v/>
      </c>
      <c r="B57" s="464"/>
      <c r="C57" s="440"/>
      <c r="D57" s="444"/>
      <c r="E57" s="463"/>
      <c r="F57" s="463"/>
      <c r="G57" s="463"/>
      <c r="H57" s="463"/>
      <c r="I57" s="463"/>
      <c r="J57" s="463"/>
      <c r="K57" s="463"/>
      <c r="L57" s="463"/>
      <c r="M57" s="463"/>
      <c r="N57" s="463"/>
      <c r="O57" s="463"/>
      <c r="P57" s="463"/>
      <c r="Q57" s="442"/>
      <c r="R57" s="464"/>
      <c r="S57" s="176"/>
      <c r="T57" s="259" t="s">
        <v>227</v>
      </c>
      <c r="U57" s="176"/>
      <c r="V57" s="176"/>
      <c r="W57" s="176"/>
      <c r="X57" s="1209" t="str">
        <f>Y15&amp;Z15&amp;Y25&amp;Z25&amp;Y35&amp;Z35&amp;IF(A45="H","",Y45&amp;Z45)</f>
        <v>FOUTFOUTFOUTFOUTFOUTFOUT</v>
      </c>
      <c r="Y57" s="1210"/>
      <c r="Z57" s="1211"/>
      <c r="AA57" s="1218" t="s">
        <v>272</v>
      </c>
      <c r="AB57" s="1219"/>
      <c r="AC57" s="330"/>
      <c r="AD57" s="176"/>
      <c r="AE57" s="176"/>
      <c r="AF57" s="176"/>
      <c r="AG57" s="176"/>
      <c r="AH57" s="176"/>
      <c r="AI57" s="176"/>
      <c r="AJ57" s="176"/>
      <c r="AK57" s="199"/>
      <c r="AL57" s="421"/>
      <c r="AM57" s="421"/>
      <c r="AN57" s="421"/>
      <c r="AO57" s="1187"/>
      <c r="AP57" s="1187"/>
      <c r="AQ57" s="1187"/>
    </row>
    <row r="58" spans="1:43" s="462" customFormat="1" ht="15" customHeight="1" x14ac:dyDescent="0.3">
      <c r="A58" s="707" t="str">
        <f t="shared" si="1"/>
        <v/>
      </c>
      <c r="B58" s="464"/>
      <c r="C58" s="440"/>
      <c r="D58" s="444"/>
      <c r="E58" s="463"/>
      <c r="F58" s="463"/>
      <c r="G58" s="463"/>
      <c r="H58" s="463"/>
      <c r="I58" s="463"/>
      <c r="J58" s="463"/>
      <c r="K58" s="463"/>
      <c r="L58" s="463"/>
      <c r="M58" s="463"/>
      <c r="N58" s="463"/>
      <c r="O58" s="463"/>
      <c r="P58" s="463"/>
      <c r="Q58" s="442"/>
      <c r="R58" s="464"/>
      <c r="S58" s="176"/>
      <c r="T58" s="258" t="s">
        <v>201</v>
      </c>
      <c r="U58" s="176"/>
      <c r="V58" s="176"/>
      <c r="W58" s="176"/>
      <c r="X58" s="1212"/>
      <c r="Y58" s="1213"/>
      <c r="Z58" s="1214"/>
      <c r="AA58" s="1218"/>
      <c r="AB58" s="1219"/>
      <c r="AC58" s="330"/>
      <c r="AD58" s="176"/>
      <c r="AE58" s="176"/>
      <c r="AF58" s="176"/>
      <c r="AG58" s="176"/>
      <c r="AH58" s="176"/>
      <c r="AI58" s="176"/>
      <c r="AJ58" s="176"/>
      <c r="AK58" s="199"/>
      <c r="AL58" s="421"/>
      <c r="AM58" s="421"/>
      <c r="AN58" s="421"/>
      <c r="AO58" s="1187"/>
      <c r="AP58" s="1187"/>
      <c r="AQ58" s="1187"/>
    </row>
    <row r="59" spans="1:43" s="462" customFormat="1" ht="20.100000000000001" customHeight="1" x14ac:dyDescent="0.3">
      <c r="A59" s="707" t="str">
        <f t="shared" si="1"/>
        <v/>
      </c>
      <c r="B59" s="464"/>
      <c r="C59" s="440"/>
      <c r="D59" s="444"/>
      <c r="E59" s="463"/>
      <c r="F59" s="463"/>
      <c r="G59" s="463"/>
      <c r="H59" s="463"/>
      <c r="I59" s="463"/>
      <c r="J59" s="463"/>
      <c r="K59" s="463"/>
      <c r="L59" s="463"/>
      <c r="M59" s="463"/>
      <c r="N59" s="463"/>
      <c r="O59" s="463"/>
      <c r="P59" s="463"/>
      <c r="Q59" s="442"/>
      <c r="R59" s="464"/>
      <c r="S59" s="176"/>
      <c r="T59" s="256">
        <f>IF(COUNTIF(Y15:Z54,"DUBBEL")&gt;0,1,0)</f>
        <v>0</v>
      </c>
      <c r="U59" s="176"/>
      <c r="V59" s="176"/>
      <c r="W59" s="176"/>
      <c r="X59" s="1215"/>
      <c r="Y59" s="1216"/>
      <c r="Z59" s="1217"/>
      <c r="AA59" s="1218" t="str">
        <f>IF(LEN(SUBSTITUTE(X57,"FOUT","ONGELDIG"))=Z60,"GOED","FOUT")</f>
        <v>FOUT</v>
      </c>
      <c r="AB59" s="1220"/>
      <c r="AC59" s="331"/>
      <c r="AD59" s="176"/>
      <c r="AE59" s="176"/>
      <c r="AF59" s="176"/>
      <c r="AG59" s="176"/>
      <c r="AH59" s="176"/>
      <c r="AI59" s="176"/>
      <c r="AJ59" s="176"/>
      <c r="AK59" s="199"/>
      <c r="AL59" s="421"/>
      <c r="AM59" s="421"/>
      <c r="AN59" s="421"/>
      <c r="AO59" s="1187"/>
      <c r="AP59" s="1187"/>
      <c r="AQ59" s="1187"/>
    </row>
    <row r="60" spans="1:43" s="462" customFormat="1" ht="15" customHeight="1" x14ac:dyDescent="0.3">
      <c r="A60" s="707" t="str">
        <f t="shared" si="1"/>
        <v/>
      </c>
      <c r="B60" s="464"/>
      <c r="C60" s="440"/>
      <c r="D60" s="444"/>
      <c r="E60" s="463"/>
      <c r="F60" s="463"/>
      <c r="G60" s="463"/>
      <c r="H60" s="463"/>
      <c r="I60" s="463"/>
      <c r="J60" s="463"/>
      <c r="K60" s="463"/>
      <c r="L60" s="463"/>
      <c r="M60" s="463"/>
      <c r="N60" s="463"/>
      <c r="O60" s="463"/>
      <c r="P60" s="463"/>
      <c r="Q60" s="442"/>
      <c r="R60" s="464"/>
      <c r="S60" s="176"/>
      <c r="T60" s="176"/>
      <c r="U60" s="176"/>
      <c r="V60" s="176"/>
      <c r="W60" s="176"/>
      <c r="X60" s="176"/>
      <c r="Y60" s="176"/>
      <c r="Z60" s="327">
        <f>LEN(X57)</f>
        <v>24</v>
      </c>
      <c r="AA60" s="176"/>
      <c r="AB60" s="176"/>
      <c r="AC60" s="176"/>
      <c r="AD60" s="176"/>
      <c r="AE60" s="176"/>
      <c r="AF60" s="176"/>
      <c r="AG60" s="176"/>
      <c r="AH60" s="176"/>
      <c r="AI60" s="176"/>
      <c r="AJ60" s="176"/>
      <c r="AK60" s="199"/>
      <c r="AL60" s="421"/>
      <c r="AM60" s="421"/>
      <c r="AN60" s="421"/>
      <c r="AO60" s="1187"/>
      <c r="AP60" s="1187"/>
      <c r="AQ60" s="1187"/>
    </row>
    <row r="61" spans="1:43" s="462" customFormat="1" ht="20.100000000000001" customHeight="1" x14ac:dyDescent="0.3">
      <c r="A61" s="707" t="str">
        <f t="shared" si="1"/>
        <v/>
      </c>
      <c r="B61" s="464"/>
      <c r="C61" s="440"/>
      <c r="D61" s="444"/>
      <c r="E61" s="463"/>
      <c r="F61" s="463"/>
      <c r="G61" s="463"/>
      <c r="H61" s="463"/>
      <c r="I61" s="463"/>
      <c r="J61" s="463"/>
      <c r="K61" s="463"/>
      <c r="L61" s="463"/>
      <c r="M61" s="463"/>
      <c r="N61" s="463"/>
      <c r="O61" s="463"/>
      <c r="P61" s="463"/>
      <c r="Q61" s="442"/>
      <c r="R61" s="464"/>
      <c r="AK61" s="199"/>
      <c r="AL61" s="421"/>
      <c r="AM61" s="421"/>
      <c r="AN61" s="421"/>
      <c r="AO61" s="1188"/>
      <c r="AP61" s="1188"/>
      <c r="AQ61" s="1188"/>
    </row>
    <row r="62" spans="1:43" s="462" customFormat="1" ht="15" customHeight="1" x14ac:dyDescent="0.3">
      <c r="A62" s="707" t="str">
        <f t="shared" si="1"/>
        <v/>
      </c>
      <c r="B62" s="464"/>
      <c r="C62" s="440"/>
      <c r="D62" s="444"/>
      <c r="E62" s="463"/>
      <c r="F62" s="463"/>
      <c r="G62" s="463"/>
      <c r="H62" s="463"/>
      <c r="I62" s="463"/>
      <c r="J62" s="463"/>
      <c r="K62" s="463"/>
      <c r="L62" s="463"/>
      <c r="M62" s="463"/>
      <c r="N62" s="463"/>
      <c r="O62" s="463"/>
      <c r="P62" s="463"/>
      <c r="Q62" s="442"/>
      <c r="R62" s="464"/>
      <c r="AK62" s="199"/>
      <c r="AL62" s="421"/>
      <c r="AM62" s="421"/>
      <c r="AN62" s="421"/>
      <c r="AO62" s="421"/>
      <c r="AP62" s="421"/>
      <c r="AQ62" s="421"/>
    </row>
    <row r="63" spans="1:43" s="462" customFormat="1" ht="20.100000000000001" customHeight="1" x14ac:dyDescent="0.3">
      <c r="A63" s="707" t="str">
        <f t="shared" si="1"/>
        <v/>
      </c>
      <c r="B63" s="464"/>
      <c r="C63" s="440"/>
      <c r="D63" s="444"/>
      <c r="E63" s="463"/>
      <c r="F63" s="463"/>
      <c r="G63" s="463"/>
      <c r="H63" s="463"/>
      <c r="I63" s="463"/>
      <c r="J63" s="463"/>
      <c r="K63" s="463"/>
      <c r="L63" s="463"/>
      <c r="M63" s="463"/>
      <c r="N63" s="463"/>
      <c r="O63" s="463"/>
      <c r="P63" s="463"/>
      <c r="Q63" s="442"/>
      <c r="R63" s="464"/>
      <c r="AK63" s="199"/>
      <c r="AL63" s="421"/>
      <c r="AM63" s="421"/>
      <c r="AN63" s="421"/>
      <c r="AO63" s="421"/>
      <c r="AP63" s="421"/>
      <c r="AQ63" s="421"/>
    </row>
    <row r="64" spans="1:43" s="462" customFormat="1" ht="15" customHeight="1" x14ac:dyDescent="0.3">
      <c r="A64" s="707" t="str">
        <f t="shared" si="1"/>
        <v/>
      </c>
      <c r="B64" s="464"/>
      <c r="C64" s="440"/>
      <c r="D64" s="444"/>
      <c r="E64" s="463"/>
      <c r="F64" s="463"/>
      <c r="G64" s="463"/>
      <c r="H64" s="463"/>
      <c r="I64" s="463"/>
      <c r="J64" s="463"/>
      <c r="K64" s="463"/>
      <c r="L64" s="463"/>
      <c r="M64" s="463"/>
      <c r="N64" s="463"/>
      <c r="O64" s="463"/>
      <c r="P64" s="463"/>
      <c r="Q64" s="442"/>
      <c r="R64" s="464"/>
      <c r="AK64" s="199"/>
      <c r="AL64" s="421"/>
      <c r="AM64" s="421"/>
      <c r="AN64" s="421"/>
      <c r="AO64" s="421"/>
      <c r="AP64" s="421"/>
      <c r="AQ64" s="421"/>
    </row>
    <row r="65" spans="2:43" ht="15" customHeight="1" x14ac:dyDescent="0.3">
      <c r="B65" s="79"/>
      <c r="C65" s="445"/>
      <c r="D65" s="443"/>
      <c r="E65" s="443"/>
      <c r="F65" s="443"/>
      <c r="G65" s="443"/>
      <c r="H65" s="443"/>
      <c r="I65" s="443"/>
      <c r="J65" s="443"/>
      <c r="K65" s="443"/>
      <c r="L65" s="443"/>
      <c r="M65" s="443"/>
      <c r="N65" s="443"/>
      <c r="O65" s="443"/>
      <c r="P65" s="443"/>
      <c r="Q65" s="446"/>
      <c r="R65" s="79"/>
      <c r="AL65" s="735" t="str">
        <f ca="1">IF(OR(AH9="JA",A45="H"),"","└ "&amp;SUBSTITUTE(Taal04!B62,"#",RIGHT(AL51,1)))</f>
        <v/>
      </c>
    </row>
    <row r="66" spans="2:43" ht="15" customHeight="1" x14ac:dyDescent="0.3">
      <c r="B66" s="79"/>
      <c r="C66" s="72"/>
      <c r="D66" s="72"/>
      <c r="E66" s="72"/>
      <c r="F66" s="72"/>
      <c r="G66" s="72"/>
      <c r="H66" s="72"/>
      <c r="I66" s="72"/>
      <c r="J66" s="72"/>
      <c r="K66" s="72"/>
      <c r="L66" s="72"/>
      <c r="M66" s="72"/>
      <c r="N66" s="72"/>
      <c r="O66" s="72"/>
      <c r="P66" s="72"/>
      <c r="Q66" s="72"/>
      <c r="R66" s="79"/>
      <c r="AO66" s="1186" t="str">
        <f>IF(A45="H","",AO9)</f>
        <v/>
      </c>
      <c r="AP66" s="1186" t="str">
        <f>IF(A45="H","",AP9)</f>
        <v/>
      </c>
      <c r="AQ66" s="1186" t="str">
        <f>IF(A45="H","",AQ9)</f>
        <v/>
      </c>
    </row>
    <row r="67" spans="2:43" ht="15" customHeight="1" x14ac:dyDescent="0.3">
      <c r="B67" s="79"/>
      <c r="C67" s="1025"/>
      <c r="D67" s="1023" t="str">
        <f>IF(Reglement!D71="","",Reglement!D71)</f>
        <v>www.excel-pool.nl</v>
      </c>
      <c r="E67" s="1026"/>
      <c r="F67" s="1026"/>
      <c r="G67" s="1026"/>
      <c r="H67" s="1026"/>
      <c r="I67" s="1026"/>
      <c r="J67" s="1026"/>
      <c r="K67" s="1026"/>
      <c r="L67" s="1026"/>
      <c r="M67" s="1026"/>
      <c r="N67" s="1026"/>
      <c r="O67" s="1026"/>
      <c r="P67" s="1024" t="str">
        <f>IF(Reglement!M71="","",Reglement!M71)</f>
        <v>©2021 Eric de Jong v20.00dj</v>
      </c>
      <c r="Q67" s="1027"/>
      <c r="R67" s="79"/>
      <c r="AO67" s="1187"/>
      <c r="AP67" s="1187"/>
      <c r="AQ67" s="1187"/>
    </row>
    <row r="68" spans="2:43" ht="15" customHeight="1" x14ac:dyDescent="0.3">
      <c r="B68" s="79"/>
      <c r="C68" s="72"/>
      <c r="D68" s="72"/>
      <c r="E68" s="72"/>
      <c r="F68" s="72"/>
      <c r="G68" s="72"/>
      <c r="H68" s="72"/>
      <c r="I68" s="72"/>
      <c r="J68" s="72"/>
      <c r="K68" s="72"/>
      <c r="L68" s="72"/>
      <c r="M68" s="72"/>
      <c r="N68" s="72"/>
      <c r="O68" s="72"/>
      <c r="P68" s="72"/>
      <c r="Q68" s="72"/>
      <c r="R68" s="79"/>
      <c r="AO68" s="1187"/>
      <c r="AP68" s="1187"/>
      <c r="AQ68" s="1187"/>
    </row>
    <row r="69" spans="2:43" ht="15" customHeight="1" x14ac:dyDescent="0.3">
      <c r="AO69" s="1187"/>
      <c r="AP69" s="1187"/>
      <c r="AQ69" s="1187"/>
    </row>
    <row r="70" spans="2:43" ht="15" customHeight="1" x14ac:dyDescent="0.3">
      <c r="AO70" s="1187"/>
      <c r="AP70" s="1187"/>
      <c r="AQ70" s="1187"/>
    </row>
    <row r="71" spans="2:43" ht="15" customHeight="1" x14ac:dyDescent="0.3">
      <c r="Z71" s="70"/>
      <c r="AA71" s="70"/>
      <c r="AB71" s="70"/>
      <c r="AC71" s="70"/>
      <c r="AE71" s="70"/>
      <c r="AF71" s="70"/>
      <c r="AG71" s="70"/>
      <c r="AH71" s="70"/>
      <c r="AO71" s="1188"/>
      <c r="AP71" s="1188"/>
      <c r="AQ71" s="1188"/>
    </row>
    <row r="72" spans="2:43" x14ac:dyDescent="0.3">
      <c r="AB72" s="537"/>
    </row>
    <row r="73" spans="2:43" x14ac:dyDescent="0.3">
      <c r="AB73" s="537"/>
    </row>
    <row r="74" spans="2:43" x14ac:dyDescent="0.3">
      <c r="AB74" s="537"/>
    </row>
    <row r="75" spans="2:43" x14ac:dyDescent="0.3">
      <c r="AB75" s="537"/>
    </row>
  </sheetData>
  <sheetProtection algorithmName="SHA-512" hashValue="Zo8ayEOJcutotr3FqyxBpFAukfyTjgwQ7QsAFo/fwnjuAzbeIYhl3Y1ro8jyYZjx34F4bMshWL+YyjU4O4x+lg==" saltValue="w5UJA+VOPM3T5/BqRMIvnQ==" spinCount="100000" sheet="1" objects="1" scenarios="1" selectLockedCells="1"/>
  <dataConsolidate/>
  <mergeCells count="76">
    <mergeCell ref="S4:V8"/>
    <mergeCell ref="D37:I37"/>
    <mergeCell ref="K37:P37"/>
    <mergeCell ref="D39:I39"/>
    <mergeCell ref="K39:P39"/>
    <mergeCell ref="D31:I31"/>
    <mergeCell ref="D33:I33"/>
    <mergeCell ref="K31:P31"/>
    <mergeCell ref="K33:P33"/>
    <mergeCell ref="D14:E15"/>
    <mergeCell ref="K14:L15"/>
    <mergeCell ref="K24:L25"/>
    <mergeCell ref="K34:L35"/>
    <mergeCell ref="K17:P17"/>
    <mergeCell ref="K21:P21"/>
    <mergeCell ref="K19:P19"/>
    <mergeCell ref="X57:Z59"/>
    <mergeCell ref="AA57:AB58"/>
    <mergeCell ref="AA59:AB59"/>
    <mergeCell ref="AI11:AI14"/>
    <mergeCell ref="AH11:AH14"/>
    <mergeCell ref="AD11:AD14"/>
    <mergeCell ref="AG11:AG14"/>
    <mergeCell ref="X56:Z56"/>
    <mergeCell ref="AQ9:AQ14"/>
    <mergeCell ref="AJ2:AJ5"/>
    <mergeCell ref="AA2:AC3"/>
    <mergeCell ref="AD2:AI3"/>
    <mergeCell ref="AO66:AO71"/>
    <mergeCell ref="AL21:AL24"/>
    <mergeCell ref="AJ11:AJ14"/>
    <mergeCell ref="AF11:AF14"/>
    <mergeCell ref="AD5:AI5"/>
    <mergeCell ref="AP9:AP14"/>
    <mergeCell ref="AO9:AO14"/>
    <mergeCell ref="AL36:AL39"/>
    <mergeCell ref="AL31:AL34"/>
    <mergeCell ref="AL9:AN14"/>
    <mergeCell ref="AL16:AL19"/>
    <mergeCell ref="AP66:AP71"/>
    <mergeCell ref="AQ66:AQ71"/>
    <mergeCell ref="AL26:AL29"/>
    <mergeCell ref="AL51:AL54"/>
    <mergeCell ref="AL41:AL44"/>
    <mergeCell ref="AL46:AL49"/>
    <mergeCell ref="AQ56:AQ61"/>
    <mergeCell ref="AL2:AP4"/>
    <mergeCell ref="AO56:AO61"/>
    <mergeCell ref="AP56:AP61"/>
    <mergeCell ref="K44:L45"/>
    <mergeCell ref="D43:I43"/>
    <mergeCell ref="D51:I51"/>
    <mergeCell ref="K51:P51"/>
    <mergeCell ref="D47:I47"/>
    <mergeCell ref="K43:P43"/>
    <mergeCell ref="D44:E45"/>
    <mergeCell ref="D34:E35"/>
    <mergeCell ref="D17:I17"/>
    <mergeCell ref="D19:I19"/>
    <mergeCell ref="D21:I21"/>
    <mergeCell ref="D24:E25"/>
    <mergeCell ref="D41:I41"/>
    <mergeCell ref="D9:E9"/>
    <mergeCell ref="G9:O11"/>
    <mergeCell ref="D53:I53"/>
    <mergeCell ref="K53:P53"/>
    <mergeCell ref="D49:I49"/>
    <mergeCell ref="K49:P49"/>
    <mergeCell ref="D23:I23"/>
    <mergeCell ref="K23:P23"/>
    <mergeCell ref="D27:I27"/>
    <mergeCell ref="D29:I29"/>
    <mergeCell ref="K27:P27"/>
    <mergeCell ref="K29:P29"/>
    <mergeCell ref="K41:P41"/>
    <mergeCell ref="K47:P47"/>
  </mergeCells>
  <conditionalFormatting sqref="D3 P3 D5 D67 P67">
    <cfRule type="expression" dxfId="244" priority="84">
      <formula>$A$1="wit"</formula>
    </cfRule>
    <cfRule type="expression" dxfId="243" priority="85">
      <formula>$A$1="zwart"</formula>
    </cfRule>
  </conditionalFormatting>
  <conditionalFormatting sqref="AL9:AQ71">
    <cfRule type="expression" dxfId="242" priority="97">
      <formula>AND($AC$7=0,$AC$11=0)</formula>
    </cfRule>
  </conditionalFormatting>
  <conditionalFormatting sqref="AP9:AQ71">
    <cfRule type="expression" dxfId="241" priority="98">
      <formula>AND($AC$7=0,$AC$11=1)</formula>
    </cfRule>
  </conditionalFormatting>
  <conditionalFormatting sqref="AL16:AQ19">
    <cfRule type="expression" dxfId="240" priority="105">
      <formula>$AF$6="JA"</formula>
    </cfRule>
  </conditionalFormatting>
  <conditionalFormatting sqref="AL21:AQ24">
    <cfRule type="expression" dxfId="239" priority="123">
      <formula>$AH$6="JA"</formula>
    </cfRule>
  </conditionalFormatting>
  <conditionalFormatting sqref="AL26:AQ29">
    <cfRule type="expression" dxfId="238" priority="106">
      <formula>$AF$7="JA"</formula>
    </cfRule>
  </conditionalFormatting>
  <conditionalFormatting sqref="AL31:AQ34">
    <cfRule type="expression" dxfId="237" priority="124">
      <formula>$AH$7="JA"</formula>
    </cfRule>
  </conditionalFormatting>
  <conditionalFormatting sqref="AL36:AQ39">
    <cfRule type="expression" dxfId="236" priority="107">
      <formula>$AF$8="JA"</formula>
    </cfRule>
  </conditionalFormatting>
  <conditionalFormatting sqref="AL41:AQ44">
    <cfRule type="expression" dxfId="235" priority="126">
      <formula>$AH$8="JA"</formula>
    </cfRule>
  </conditionalFormatting>
  <conditionalFormatting sqref="AL46:AQ49">
    <cfRule type="expression" dxfId="234" priority="108">
      <formula>$AF$9="JA"</formula>
    </cfRule>
  </conditionalFormatting>
  <conditionalFormatting sqref="AL51:AQ64">
    <cfRule type="expression" dxfId="233" priority="127">
      <formula>$AH$9="JA"</formula>
    </cfRule>
  </conditionalFormatting>
  <conditionalFormatting sqref="D7">
    <cfRule type="expression" dxfId="232" priority="86">
      <formula>$Y$3=1</formula>
    </cfRule>
  </conditionalFormatting>
  <conditionalFormatting sqref="D16:E16 D18:E18 D20:E20 D22:E22 D26:E26 D28:E28 D30:E30 D32:E32 D36:E36 D38:E38 D40:E40 D42:E42 D46:E46 D48:E48 D50:E50 D52:E52">
    <cfRule type="expression" dxfId="231" priority="243">
      <formula>$Y17="LEEG"</formula>
    </cfRule>
    <cfRule type="expression" dxfId="230" priority="8290">
      <formula>$Y17="GOED"</formula>
    </cfRule>
    <cfRule type="expression" dxfId="229" priority="8299">
      <formula>OR($Y17="DUBBEL",$Y17="ONGELDIG")</formula>
    </cfRule>
  </conditionalFormatting>
  <conditionalFormatting sqref="K16:L16 K18:L18 K20:L20 K22:L22 K26:L26 K28:L28 K30:L30 K32:L32 K36:L36 K38:L38 K40:L40 K42:L42 K46:L46 K48:L48 K50:L50 K52:L52">
    <cfRule type="expression" dxfId="228" priority="244">
      <formula>$Z17="LEEG"</formula>
    </cfRule>
    <cfRule type="expression" dxfId="227" priority="8298">
      <formula>$Z17="GOED"</formula>
    </cfRule>
    <cfRule type="expression" dxfId="226" priority="8300">
      <formula>OR($Z17="DUBBEL",$Z17="ONGELDIG")</formula>
    </cfRule>
  </conditionalFormatting>
  <conditionalFormatting sqref="D13">
    <cfRule type="expression" dxfId="225" priority="8324">
      <formula>$T$59=1</formula>
    </cfRule>
  </conditionalFormatting>
  <conditionalFormatting sqref="AO66:AQ71">
    <cfRule type="expression" dxfId="224" priority="1">
      <formula>$A$45="H"</formula>
    </cfRule>
  </conditionalFormatting>
  <dataValidations count="9">
    <dataValidation type="list" allowBlank="1" showInputMessage="1" showErrorMessage="1" sqref="D9" xr:uid="{00000000-0002-0000-1100-000000000000}">
      <formula1>$T$9:$T$11</formula1>
    </dataValidation>
    <dataValidation type="list" allowBlank="1" showInputMessage="1" showErrorMessage="1" sqref="E22 E32 E42 E52" xr:uid="{00000000-0002-0000-1100-000001000000}">
      <formula1>T15:T19</formula1>
    </dataValidation>
    <dataValidation type="list" allowBlank="1" showInputMessage="1" showErrorMessage="1" sqref="L16 L46 L36 L26" xr:uid="{00000000-0002-0000-1100-000002000000}">
      <formula1>T20:T24</formula1>
    </dataValidation>
    <dataValidation type="list" allowBlank="1" showInputMessage="1" showErrorMessage="1" sqref="L18 L38 L48 L28" xr:uid="{00000000-0002-0000-1100-000003000000}">
      <formula1>T20:T24</formula1>
    </dataValidation>
    <dataValidation type="list" allowBlank="1" showInputMessage="1" showErrorMessage="1" sqref="L20 L50 L40 L30" xr:uid="{00000000-0002-0000-1100-000004000000}">
      <formula1>T20:T24</formula1>
    </dataValidation>
    <dataValidation type="list" allowBlank="1" showInputMessage="1" showErrorMessage="1" sqref="L22 L52 L42 L32" xr:uid="{00000000-0002-0000-1100-000005000000}">
      <formula1>T20:T24</formula1>
    </dataValidation>
    <dataValidation type="list" allowBlank="1" showInputMessage="1" showErrorMessage="1" sqref="E16 E26 E46 E36" xr:uid="{00000000-0002-0000-1100-000006000000}">
      <formula1>T15:T19</formula1>
    </dataValidation>
    <dataValidation type="list" allowBlank="1" showInputMessage="1" showErrorMessage="1" sqref="E18 E28 E38 E48" xr:uid="{00000000-0002-0000-1100-000007000000}">
      <formula1>T15:T19</formula1>
    </dataValidation>
    <dataValidation type="list" allowBlank="1" showInputMessage="1" showErrorMessage="1" sqref="E20 E30 E40 E50" xr:uid="{00000000-0002-0000-1100-000008000000}">
      <formula1>T15:T19</formula1>
    </dataValidation>
  </dataValidations>
  <printOptions horizontalCentered="1"/>
  <pageMargins left="0.19685039370078741" right="0.19685039370078741" top="0.39370078740157483" bottom="0.3937007874015748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4">
    <tabColor rgb="FF0084A4"/>
  </sheetPr>
  <dimension ref="A1:BG239"/>
  <sheetViews>
    <sheetView showRowColHeaders="0" topLeftCell="A40" workbookViewId="0"/>
  </sheetViews>
  <sheetFormatPr defaultColWidth="9.109375" defaultRowHeight="14.4" x14ac:dyDescent="0.3"/>
  <cols>
    <col min="1" max="4" width="2.6640625" style="70" customWidth="1"/>
    <col min="5" max="5" width="6.6640625" style="70" customWidth="1"/>
    <col min="6" max="6" width="4.6640625" style="70" customWidth="1"/>
    <col min="7" max="9" width="3.6640625" style="70" customWidth="1"/>
    <col min="10" max="10" width="2.6640625" style="70" customWidth="1"/>
    <col min="11" max="11" width="3.33203125" style="70" customWidth="1"/>
    <col min="12" max="12" width="19.6640625" style="70" customWidth="1"/>
    <col min="13" max="14" width="1.6640625" style="70" customWidth="1"/>
    <col min="15" max="19" width="2.6640625" style="70" customWidth="1"/>
    <col min="20" max="20" width="3.33203125" style="70" customWidth="1"/>
    <col min="21" max="21" width="19.6640625" style="70" customWidth="1"/>
    <col min="22" max="22" width="2.6640625" style="70" customWidth="1"/>
    <col min="23" max="23" width="3.6640625" style="70" customWidth="1"/>
    <col min="24" max="24" width="2.6640625" style="70" customWidth="1"/>
    <col min="25" max="25" width="3.6640625" style="70" customWidth="1"/>
    <col min="26" max="27" width="2.6640625" style="70" customWidth="1"/>
    <col min="28" max="36" width="6.6640625" style="70" hidden="1" customWidth="1"/>
    <col min="37" max="40" width="12.6640625" style="70" hidden="1" customWidth="1"/>
    <col min="41" max="41" width="25.6640625" style="70" hidden="1" customWidth="1"/>
    <col min="42" max="42" width="10.6640625" style="166" hidden="1" customWidth="1"/>
    <col min="43" max="43" width="6.6640625" style="166" hidden="1" customWidth="1"/>
    <col min="44" max="44" width="6.6640625" style="217" hidden="1" customWidth="1"/>
    <col min="45" max="45" width="6.6640625" style="166" hidden="1" customWidth="1"/>
    <col min="46" max="46" width="6.6640625" style="70" hidden="1" customWidth="1"/>
    <col min="47" max="47" width="6.6640625" style="166" hidden="1" customWidth="1"/>
    <col min="48" max="48" width="6.6640625" style="217" hidden="1" customWidth="1"/>
    <col min="49" max="49" width="6.6640625" style="166" hidden="1" customWidth="1"/>
    <col min="50" max="50" width="6.6640625" style="70" hidden="1" customWidth="1"/>
    <col min="51" max="51" width="6.6640625" style="166" hidden="1" customWidth="1"/>
    <col min="52" max="52" width="6.6640625" style="217" hidden="1" customWidth="1"/>
    <col min="53" max="53" width="6.6640625" style="166" hidden="1" customWidth="1"/>
    <col min="54" max="54" width="4.6640625" style="70" customWidth="1"/>
    <col min="55" max="16384" width="9.109375" style="70"/>
  </cols>
  <sheetData>
    <row r="1" spans="1:59" ht="15" customHeight="1" x14ac:dyDescent="0.3">
      <c r="A1" s="116" t="str">
        <f>Voorblad!A1</f>
        <v>wit</v>
      </c>
      <c r="B1" s="116">
        <f>Voorblad!B1</f>
        <v>246</v>
      </c>
      <c r="C1" s="116">
        <f>Voorblad!C1</f>
        <v>255</v>
      </c>
      <c r="D1" s="116">
        <f>Voorblad!D1</f>
        <v>0</v>
      </c>
    </row>
    <row r="2" spans="1:59" ht="15" customHeight="1" x14ac:dyDescent="0.3">
      <c r="A2" s="218"/>
      <c r="B2" s="79"/>
      <c r="C2" s="79"/>
      <c r="D2" s="79"/>
      <c r="E2" s="79"/>
      <c r="F2" s="79"/>
      <c r="G2" s="79"/>
      <c r="H2" s="79"/>
      <c r="I2" s="79"/>
      <c r="J2" s="79"/>
      <c r="K2" s="79"/>
      <c r="L2" s="79"/>
      <c r="M2" s="79"/>
      <c r="N2" s="79"/>
      <c r="O2" s="79"/>
      <c r="P2" s="79"/>
      <c r="Q2" s="79"/>
      <c r="R2" s="79"/>
      <c r="S2" s="79"/>
      <c r="T2" s="79"/>
      <c r="U2" s="79"/>
      <c r="V2" s="79"/>
      <c r="W2" s="79"/>
      <c r="X2" s="79"/>
      <c r="Y2" s="79"/>
      <c r="Z2" s="79"/>
      <c r="AA2" s="79"/>
      <c r="AB2" s="1244" t="s">
        <v>203</v>
      </c>
      <c r="AC2" s="1244"/>
      <c r="AD2" s="1244"/>
      <c r="AE2" s="1244"/>
      <c r="AF2" s="1244"/>
      <c r="AG2" s="1244"/>
      <c r="AH2" s="1242" t="s">
        <v>174</v>
      </c>
      <c r="AI2" s="1242"/>
      <c r="AJ2" s="1242"/>
      <c r="AK2" s="1243" t="s">
        <v>202</v>
      </c>
      <c r="AL2" s="1243"/>
      <c r="AM2" s="1243"/>
      <c r="AN2" s="1243"/>
      <c r="AO2" s="1243"/>
      <c r="AP2" s="114"/>
      <c r="AQ2" s="1236" t="s">
        <v>66</v>
      </c>
      <c r="AR2" s="1237"/>
      <c r="AS2" s="1237"/>
      <c r="AT2" s="1237"/>
      <c r="AU2" s="1237"/>
      <c r="AV2" s="1237"/>
      <c r="AW2" s="1237"/>
      <c r="AX2" s="1237"/>
      <c r="AY2" s="1237"/>
      <c r="AZ2" s="1237"/>
      <c r="BA2" s="1238"/>
      <c r="BC2" s="1065" t="str">
        <f ca="1">Taal01!$B$41</f>
        <v>Finalewedstrijden</v>
      </c>
      <c r="BD2" s="1065"/>
      <c r="BE2" s="1065"/>
      <c r="BF2" s="1065"/>
      <c r="BG2" s="1065"/>
    </row>
    <row r="3" spans="1:59" ht="15" customHeight="1" x14ac:dyDescent="0.3">
      <c r="A3" s="218"/>
      <c r="B3" s="79"/>
      <c r="C3" s="1017"/>
      <c r="D3" s="1028" t="str">
        <f ca="1">Taal04!B7&amp;" - "&amp;Taal04!B10</f>
        <v>Excel Deelname Formulier - Finalewedstrijden</v>
      </c>
      <c r="E3" s="1018"/>
      <c r="F3" s="1018"/>
      <c r="G3" s="1018"/>
      <c r="H3" s="1018"/>
      <c r="I3" s="1018"/>
      <c r="J3" s="1018"/>
      <c r="K3" s="1018"/>
      <c r="L3" s="1018"/>
      <c r="M3" s="1018"/>
      <c r="N3" s="1018"/>
      <c r="O3" s="1018"/>
      <c r="P3" s="1018"/>
      <c r="Q3" s="1018"/>
      <c r="R3" s="1018"/>
      <c r="S3" s="1018"/>
      <c r="T3" s="1018"/>
      <c r="U3" s="1018"/>
      <c r="V3" s="1018"/>
      <c r="W3" s="1018"/>
      <c r="X3" s="1018"/>
      <c r="Y3" s="1029" t="str">
        <f ca="1">IF(Reglement!M3="","",Reglement!M3)</f>
        <v>EK2020: SV Marum jeugd JO7 t/m JO11</v>
      </c>
      <c r="Z3" s="1020"/>
      <c r="AA3" s="79"/>
      <c r="AB3" s="1244"/>
      <c r="AC3" s="1244"/>
      <c r="AD3" s="1244"/>
      <c r="AE3" s="1244"/>
      <c r="AF3" s="1244"/>
      <c r="AG3" s="1244"/>
      <c r="AH3" s="1242"/>
      <c r="AI3" s="1242"/>
      <c r="AJ3" s="1242"/>
      <c r="AK3" s="1243"/>
      <c r="AL3" s="1243"/>
      <c r="AM3" s="1243"/>
      <c r="AN3" s="1243"/>
      <c r="AO3" s="1243"/>
      <c r="AP3" s="114"/>
      <c r="AQ3" s="1239"/>
      <c r="AR3" s="1240"/>
      <c r="AS3" s="1240"/>
      <c r="AT3" s="1240"/>
      <c r="AU3" s="1240"/>
      <c r="AV3" s="1240"/>
      <c r="AW3" s="1240"/>
      <c r="AX3" s="1240"/>
      <c r="AY3" s="1240"/>
      <c r="AZ3" s="1240"/>
      <c r="BA3" s="1241"/>
      <c r="BC3" s="1065"/>
      <c r="BD3" s="1065"/>
      <c r="BE3" s="1065"/>
      <c r="BF3" s="1065"/>
      <c r="BG3" s="1065"/>
    </row>
    <row r="4" spans="1:59" ht="15" customHeight="1" x14ac:dyDescent="0.3">
      <c r="A4" s="218"/>
      <c r="B4" s="79"/>
      <c r="C4" s="72"/>
      <c r="D4" s="56"/>
      <c r="E4" s="72"/>
      <c r="F4" s="72"/>
      <c r="G4" s="72"/>
      <c r="H4" s="72"/>
      <c r="I4" s="72"/>
      <c r="J4" s="72"/>
      <c r="K4" s="72"/>
      <c r="L4" s="72"/>
      <c r="M4" s="72"/>
      <c r="N4" s="72"/>
      <c r="O4" s="72"/>
      <c r="P4" s="72"/>
      <c r="Q4" s="72"/>
      <c r="R4" s="72"/>
      <c r="S4" s="72"/>
      <c r="T4" s="72"/>
      <c r="U4" s="72"/>
      <c r="V4" s="72"/>
      <c r="W4" s="72"/>
      <c r="X4" s="72"/>
      <c r="Y4" s="76"/>
      <c r="Z4" s="72"/>
      <c r="AA4" s="79"/>
      <c r="AB4" s="1244"/>
      <c r="AC4" s="1244"/>
      <c r="AD4" s="1244"/>
      <c r="AE4" s="1244"/>
      <c r="AF4" s="1244"/>
      <c r="AG4" s="1244"/>
      <c r="AH4" s="1242"/>
      <c r="AI4" s="1242"/>
      <c r="AJ4" s="1242"/>
      <c r="AK4" s="1243"/>
      <c r="AL4" s="1243"/>
      <c r="AM4" s="1243"/>
      <c r="AN4" s="1243"/>
      <c r="AO4" s="1243"/>
      <c r="AP4" s="114"/>
      <c r="AQ4" s="1233" t="s">
        <v>325</v>
      </c>
      <c r="AR4" s="1234"/>
      <c r="AS4" s="1234"/>
      <c r="AT4" s="1234"/>
      <c r="AU4" s="1234"/>
      <c r="AV4" s="1234"/>
      <c r="AW4" s="1234"/>
      <c r="AX4" s="1234"/>
      <c r="AY4" s="1234"/>
      <c r="AZ4" s="1234"/>
      <c r="BA4" s="1235"/>
      <c r="BC4" s="1065"/>
      <c r="BD4" s="1065"/>
      <c r="BE4" s="1065"/>
      <c r="BF4" s="1065"/>
      <c r="BG4" s="1065"/>
    </row>
    <row r="5" spans="1:59" ht="15" customHeight="1" x14ac:dyDescent="0.3">
      <c r="A5" s="218"/>
      <c r="B5" s="79"/>
      <c r="C5" s="1017"/>
      <c r="D5" s="1028" t="str">
        <f ca="1">Taal04!B64</f>
        <v>De Finalewedstrijden</v>
      </c>
      <c r="E5" s="1018"/>
      <c r="F5" s="1018"/>
      <c r="G5" s="1018"/>
      <c r="H5" s="1018"/>
      <c r="I5" s="1018"/>
      <c r="J5" s="1018"/>
      <c r="K5" s="1018"/>
      <c r="L5" s="1018"/>
      <c r="M5" s="1018"/>
      <c r="N5" s="1018"/>
      <c r="O5" s="1018"/>
      <c r="P5" s="1018"/>
      <c r="Q5" s="1018"/>
      <c r="R5" s="1018"/>
      <c r="S5" s="1018"/>
      <c r="T5" s="1018"/>
      <c r="U5" s="1018"/>
      <c r="V5" s="1018"/>
      <c r="W5" s="1018"/>
      <c r="X5" s="1018"/>
      <c r="Y5" s="1018"/>
      <c r="Z5" s="1020"/>
      <c r="AA5" s="79"/>
      <c r="AB5" s="113"/>
      <c r="AC5" s="113"/>
      <c r="AD5" s="113"/>
      <c r="AE5" s="113"/>
      <c r="AF5" s="113"/>
      <c r="AG5" s="113"/>
      <c r="AH5" s="1248" t="s">
        <v>384</v>
      </c>
      <c r="AI5" s="1248"/>
      <c r="AJ5" s="1248"/>
      <c r="AK5" s="1245"/>
      <c r="AL5" s="1245"/>
      <c r="AM5" s="1245"/>
      <c r="AN5" s="1245"/>
      <c r="AO5" s="1245"/>
      <c r="AP5" s="1246" t="s">
        <v>195</v>
      </c>
      <c r="AQ5" s="826"/>
      <c r="AR5" s="818"/>
      <c r="AS5" s="818"/>
      <c r="AT5" s="818"/>
      <c r="AU5" s="818"/>
      <c r="AV5" s="818"/>
      <c r="AW5" s="818"/>
      <c r="AX5" s="818"/>
      <c r="AY5" s="818"/>
      <c r="AZ5" s="818"/>
      <c r="BA5" s="827"/>
    </row>
    <row r="6" spans="1:59" ht="15" customHeight="1" x14ac:dyDescent="0.3">
      <c r="A6" s="218"/>
      <c r="B6" s="436"/>
      <c r="C6" s="437"/>
      <c r="D6" s="458"/>
      <c r="E6" s="438"/>
      <c r="F6" s="438"/>
      <c r="G6" s="438"/>
      <c r="H6" s="438"/>
      <c r="I6" s="438"/>
      <c r="J6" s="438"/>
      <c r="K6" s="438"/>
      <c r="L6" s="438"/>
      <c r="M6" s="438"/>
      <c r="N6" s="438"/>
      <c r="O6" s="438"/>
      <c r="P6" s="438"/>
      <c r="Q6" s="438"/>
      <c r="R6" s="438"/>
      <c r="S6" s="438"/>
      <c r="T6" s="438"/>
      <c r="U6" s="438"/>
      <c r="V6" s="438"/>
      <c r="W6" s="438"/>
      <c r="X6" s="438"/>
      <c r="Y6" s="438"/>
      <c r="Z6" s="439"/>
      <c r="AA6" s="436"/>
      <c r="AB6" s="168">
        <v>1</v>
      </c>
      <c r="AC6" s="113" t="str">
        <f ca="1">Taal04!B34</f>
        <v>suggesties altijd weergeven</v>
      </c>
      <c r="AD6" s="113"/>
      <c r="AE6" s="113"/>
      <c r="AF6" s="113"/>
      <c r="AG6" s="113"/>
      <c r="AH6" s="459"/>
      <c r="AI6" s="460">
        <f>Reglement!Q81</f>
        <v>1</v>
      </c>
      <c r="AJ6" s="459"/>
      <c r="AK6" s="1245"/>
      <c r="AL6" s="1245"/>
      <c r="AM6" s="1245"/>
      <c r="AN6" s="1245"/>
      <c r="AO6" s="1245"/>
      <c r="AP6" s="1246"/>
      <c r="AQ6" s="826"/>
      <c r="AR6" s="818"/>
      <c r="AS6" s="818"/>
      <c r="AT6" s="818"/>
      <c r="AU6" s="818"/>
      <c r="AV6" s="818"/>
      <c r="AW6" s="818"/>
      <c r="AX6" s="818"/>
      <c r="AY6" s="818"/>
      <c r="AZ6" s="818"/>
      <c r="BA6" s="827"/>
    </row>
    <row r="7" spans="1:59" ht="15" customHeight="1" x14ac:dyDescent="0.3">
      <c r="A7" s="218"/>
      <c r="B7" s="436"/>
      <c r="C7" s="440"/>
      <c r="D7" s="893" t="str">
        <f ca="1">IF($AI$6=1,IF(AJ62=1,Taal04!B68,Taal04!B65),Voorblad!C15)</f>
        <v>Voorspel de landen en de uitslag van de Finalewedstrijden en vul deze in op dit blad.</v>
      </c>
      <c r="E7" s="449"/>
      <c r="F7" s="449"/>
      <c r="G7" s="449"/>
      <c r="H7" s="449"/>
      <c r="I7" s="449"/>
      <c r="J7" s="449"/>
      <c r="K7" s="449"/>
      <c r="L7" s="449"/>
      <c r="M7" s="449"/>
      <c r="N7" s="449"/>
      <c r="O7" s="449"/>
      <c r="P7" s="449"/>
      <c r="Q7" s="449"/>
      <c r="R7" s="449"/>
      <c r="S7" s="449"/>
      <c r="T7" s="449"/>
      <c r="U7" s="449"/>
      <c r="V7" s="449"/>
      <c r="W7" s="449"/>
      <c r="X7" s="449"/>
      <c r="Y7" s="449"/>
      <c r="Z7" s="442"/>
      <c r="AA7" s="436"/>
      <c r="AB7" s="168">
        <v>2</v>
      </c>
      <c r="AC7" s="113" t="str">
        <f ca="1">Taal04!B35</f>
        <v>suggesties verbergen na keuze</v>
      </c>
      <c r="AD7" s="113"/>
      <c r="AE7" s="113"/>
      <c r="AF7" s="113"/>
      <c r="AG7" s="113"/>
      <c r="AH7" s="459"/>
      <c r="AI7" s="459"/>
      <c r="AJ7" s="459"/>
      <c r="AK7" s="5"/>
      <c r="AL7" s="5"/>
      <c r="AM7" s="5"/>
      <c r="AN7" s="5"/>
      <c r="AO7" s="5"/>
      <c r="AP7" s="203"/>
      <c r="AQ7" s="826"/>
      <c r="AR7" s="818"/>
      <c r="AS7" s="818"/>
      <c r="AT7" s="818"/>
      <c r="AU7" s="818"/>
      <c r="AV7" s="818"/>
      <c r="AW7" s="818"/>
      <c r="AX7" s="818"/>
      <c r="AY7" s="818"/>
      <c r="AZ7" s="818"/>
      <c r="BA7" s="827"/>
    </row>
    <row r="8" spans="1:59" ht="15" customHeight="1" x14ac:dyDescent="0.5">
      <c r="A8" s="218"/>
      <c r="B8" s="79"/>
      <c r="C8" s="440"/>
      <c r="D8" s="449"/>
      <c r="E8" s="449"/>
      <c r="F8" s="449"/>
      <c r="G8" s="449"/>
      <c r="H8" s="449"/>
      <c r="I8" s="449"/>
      <c r="J8" s="449"/>
      <c r="K8" s="449"/>
      <c r="L8" s="505"/>
      <c r="M8" s="505"/>
      <c r="N8" s="505"/>
      <c r="O8" s="505"/>
      <c r="P8" s="505"/>
      <c r="Q8" s="505"/>
      <c r="R8" s="505"/>
      <c r="S8" s="505"/>
      <c r="T8" s="505"/>
      <c r="U8" s="505"/>
      <c r="V8" s="505"/>
      <c r="W8" s="505"/>
      <c r="X8" s="505"/>
      <c r="Y8" s="505"/>
      <c r="Z8" s="442"/>
      <c r="AA8" s="79"/>
      <c r="AB8" s="168">
        <v>3</v>
      </c>
      <c r="AC8" s="113" t="str">
        <f ca="1">Taal04!B36</f>
        <v>suggesties niet weergeven</v>
      </c>
      <c r="AD8" s="113"/>
      <c r="AE8" s="113"/>
      <c r="AF8" s="113"/>
      <c r="AG8" s="113"/>
      <c r="AH8" s="1247" t="s">
        <v>200</v>
      </c>
      <c r="AI8" s="1247"/>
      <c r="AJ8" s="1247"/>
      <c r="AK8" s="809"/>
      <c r="AL8" s="809"/>
      <c r="AM8" s="809"/>
      <c r="AN8" s="809"/>
      <c r="AO8" s="809"/>
      <c r="AP8" s="203"/>
      <c r="AQ8" s="826"/>
      <c r="AR8" s="818"/>
      <c r="AS8" s="818"/>
      <c r="AT8" s="818"/>
      <c r="AU8" s="818"/>
      <c r="AV8" s="818"/>
      <c r="AW8" s="818"/>
      <c r="AX8" s="818"/>
      <c r="AY8" s="818"/>
      <c r="AZ8" s="818"/>
      <c r="BA8" s="827"/>
    </row>
    <row r="9" spans="1:59" ht="15" customHeight="1" x14ac:dyDescent="0.5">
      <c r="A9" s="220"/>
      <c r="B9" s="79"/>
      <c r="C9" s="9"/>
      <c r="D9" s="1227" t="s">
        <v>181</v>
      </c>
      <c r="E9" s="1228"/>
      <c r="F9" s="1228"/>
      <c r="G9" s="1228"/>
      <c r="H9" s="1228"/>
      <c r="I9" s="1228"/>
      <c r="J9" s="1228"/>
      <c r="K9" s="892" t="s">
        <v>896</v>
      </c>
      <c r="L9" s="1229" t="str">
        <f ca="1">IF($AG$71=1,Taal04!B69,Taal04!B70)</f>
        <v>Om u op weg te helpen kan op basis van voorgaande voorspellingen, mits volledig ingevuld, u een suggestie gegeven worden. U bent niet verplicht deze suggestie op te volgen. Voor de achste finales wordt de voorspelde eindstand van de groepen gebruikt.</v>
      </c>
      <c r="M9" s="1229"/>
      <c r="N9" s="1229"/>
      <c r="O9" s="1229"/>
      <c r="P9" s="1229"/>
      <c r="Q9" s="1229"/>
      <c r="R9" s="1229"/>
      <c r="S9" s="1229"/>
      <c r="T9" s="1229"/>
      <c r="U9" s="1229"/>
      <c r="V9" s="1229"/>
      <c r="W9" s="1229"/>
      <c r="X9" s="1229"/>
      <c r="Y9" s="1229"/>
      <c r="Z9" s="456"/>
      <c r="AA9" s="79"/>
      <c r="AB9" s="454">
        <f ca="1">IF(COUNTIF(Taal04!34:34,D9)&gt;0,1,IF(COUNTIF(Taal04!35:35,D9)&gt;0,2,3))</f>
        <v>1</v>
      </c>
      <c r="AC9" s="889" t="s">
        <v>179</v>
      </c>
      <c r="AD9" s="113"/>
      <c r="AE9" s="113"/>
      <c r="AF9" s="113"/>
      <c r="AG9" s="113"/>
      <c r="AH9" s="1247"/>
      <c r="AI9" s="1247"/>
      <c r="AJ9" s="1247"/>
      <c r="AK9" s="809"/>
      <c r="AL9" s="809"/>
      <c r="AM9" s="809"/>
      <c r="AN9" s="809"/>
      <c r="AO9" s="809"/>
      <c r="AP9" s="203"/>
      <c r="AQ9" s="826"/>
      <c r="AR9" s="818"/>
      <c r="AS9" s="818"/>
      <c r="AT9" s="818"/>
      <c r="AU9" s="818"/>
      <c r="AV9" s="818"/>
      <c r="AW9" s="818"/>
      <c r="AX9" s="818"/>
      <c r="AY9" s="818"/>
      <c r="AZ9" s="818"/>
      <c r="BA9" s="827"/>
    </row>
    <row r="10" spans="1:59" ht="15" customHeight="1" x14ac:dyDescent="0.5">
      <c r="A10" s="220"/>
      <c r="B10" s="79"/>
      <c r="C10" s="9"/>
      <c r="D10" s="42"/>
      <c r="E10" s="42"/>
      <c r="F10" s="42"/>
      <c r="G10" s="42"/>
      <c r="H10" s="714"/>
      <c r="I10" s="714"/>
      <c r="J10" s="714"/>
      <c r="K10" s="714"/>
      <c r="L10" s="1229"/>
      <c r="M10" s="1229"/>
      <c r="N10" s="1229"/>
      <c r="O10" s="1229"/>
      <c r="P10" s="1229"/>
      <c r="Q10" s="1229"/>
      <c r="R10" s="1229"/>
      <c r="S10" s="1229"/>
      <c r="T10" s="1229"/>
      <c r="U10" s="1229"/>
      <c r="V10" s="1229"/>
      <c r="W10" s="1229"/>
      <c r="X10" s="1229"/>
      <c r="Y10" s="1229"/>
      <c r="Z10" s="456"/>
      <c r="AA10" s="79"/>
      <c r="AB10" s="221"/>
      <c r="AC10" s="222"/>
      <c r="AD10" s="113"/>
      <c r="AE10" s="113"/>
      <c r="AF10" s="113"/>
      <c r="AG10" s="113"/>
      <c r="AH10" s="1247"/>
      <c r="AI10" s="1247"/>
      <c r="AJ10" s="1247"/>
      <c r="AK10" s="171"/>
      <c r="AL10" s="171"/>
      <c r="AM10" s="171"/>
      <c r="AN10" s="171"/>
      <c r="AO10" s="171"/>
      <c r="AP10" s="203"/>
      <c r="AQ10" s="826"/>
      <c r="AR10" s="818"/>
      <c r="AS10" s="818"/>
      <c r="AT10" s="818"/>
      <c r="AU10" s="818"/>
      <c r="AV10" s="818"/>
      <c r="AW10" s="818"/>
      <c r="AX10" s="818"/>
      <c r="AY10" s="818"/>
      <c r="AZ10" s="818"/>
      <c r="BA10" s="827"/>
    </row>
    <row r="11" spans="1:59" ht="30" customHeight="1" x14ac:dyDescent="0.3">
      <c r="A11" s="220"/>
      <c r="B11" s="79"/>
      <c r="C11" s="9"/>
      <c r="D11" s="1230" t="str">
        <f ca="1">Taal04!$B$27</f>
        <v>Achtste Finale</v>
      </c>
      <c r="E11" s="1230"/>
      <c r="F11" s="1230"/>
      <c r="G11" s="1230"/>
      <c r="H11" s="1230"/>
      <c r="I11" s="1230"/>
      <c r="J11" s="1230"/>
      <c r="K11" s="1230"/>
      <c r="L11" s="1229"/>
      <c r="M11" s="1229"/>
      <c r="N11" s="1229"/>
      <c r="O11" s="1229"/>
      <c r="P11" s="1229"/>
      <c r="Q11" s="1229"/>
      <c r="R11" s="1229"/>
      <c r="S11" s="1229"/>
      <c r="T11" s="1229"/>
      <c r="U11" s="1229"/>
      <c r="V11" s="1229"/>
      <c r="W11" s="1229"/>
      <c r="X11" s="1229"/>
      <c r="Y11" s="1229"/>
      <c r="Z11" s="456"/>
      <c r="AA11" s="79"/>
      <c r="AB11" s="221"/>
      <c r="AC11" s="222" t="str">
        <f>IF($AL$59="GOED",IF(AO14="FOUT",0,IF($AF$59=AD14,IF(W14&gt;Y14,1,0),0)+IF($AF$59=AF14,IF(W14&lt;Y14,1,0),0))+IF(AO16="FOUT",0,IF($AF$59=AD16,IF(W16&gt;Y16,1,0),0)+IF($AF$59=AF16,IF(W16&lt;Y16,1,0),0))+IF(AO18="FOUT",0,IF($AF$59=AD18,IF(W18&gt;Y18,1,0),0)+IF($AF$59=AF18,IF(W18&lt;Y18,1,0),0))+IF(AO20="FOUT",0,IF($AF$59=AD20,IF(W20&gt;Y20,1,0),0)+IF($AF$59=AF20,IF(W20&lt;Y20,1,0),0))+IF(AO22="FOUT",0,IF($AF$59=AD22,IF(W22&gt;Y22,1,0),0)+IF($AF$59=AF22,IF(W22&lt;Y22,1,0),0))+IF(AO24="FOUT",0,IF($AF$59=AD24,IF(W24&gt;Y24,1,0),0)+IF($AF$59=AF24,IF(W24&lt;Y24,1,0),0))+IF(AO26="FOUT",0,IF($AF$59=AD26,IF(W26&gt;Y26,1,0),0)+IF($AF$59=AF26,IF(W26&lt;Y26,1,0),0))+IF(AO28="FOUT",0,IF($AF$59=AD28,IF(W28&gt;Y28,1,0),0)+IF($AF$59=AF28,IF(W28&lt;Y28,1,0),0)),"")</f>
        <v/>
      </c>
      <c r="AD11" s="113"/>
      <c r="AE11" s="113"/>
      <c r="AF11" s="113"/>
      <c r="AG11" s="113"/>
      <c r="AH11" s="894"/>
      <c r="AI11" s="895">
        <f>IF(Reglement!G129="A",1,0)</f>
        <v>0</v>
      </c>
      <c r="AJ11" s="894"/>
      <c r="AK11" s="1245" t="s">
        <v>1038</v>
      </c>
      <c r="AL11" s="1245"/>
      <c r="AM11" s="1245"/>
      <c r="AN11" s="1245"/>
      <c r="AO11" s="1245"/>
      <c r="AP11" s="203"/>
      <c r="AQ11" s="826"/>
      <c r="AR11" s="818"/>
      <c r="AS11" s="818"/>
      <c r="AT11" s="818"/>
      <c r="AU11" s="818"/>
      <c r="AV11" s="818"/>
      <c r="AW11" s="818"/>
      <c r="AX11" s="818"/>
      <c r="AY11" s="818"/>
      <c r="AZ11" s="818"/>
      <c r="BA11" s="827"/>
    </row>
    <row r="12" spans="1:59" ht="15" customHeight="1" x14ac:dyDescent="0.3">
      <c r="A12" s="220"/>
      <c r="B12" s="79"/>
      <c r="C12" s="9"/>
      <c r="D12" s="1230"/>
      <c r="E12" s="1230"/>
      <c r="F12" s="1230"/>
      <c r="G12" s="1230"/>
      <c r="H12" s="1230"/>
      <c r="I12" s="1230"/>
      <c r="J12" s="1230"/>
      <c r="K12" s="1230"/>
      <c r="L12" s="872"/>
      <c r="M12" s="872"/>
      <c r="N12" s="872"/>
      <c r="O12" s="872"/>
      <c r="P12" s="872"/>
      <c r="Q12" s="872"/>
      <c r="R12" s="872"/>
      <c r="S12" s="872"/>
      <c r="T12" s="872"/>
      <c r="U12" s="872"/>
      <c r="V12" s="872"/>
      <c r="W12" s="872"/>
      <c r="X12" s="872"/>
      <c r="Y12" s="215" t="str">
        <f ca="1">Taal04!$B$25</f>
        <v>Alle tijden zijn Midden-Europese Tijd (UCT+1)</v>
      </c>
      <c r="Z12" s="442"/>
      <c r="AA12" s="79"/>
      <c r="AB12" s="221"/>
      <c r="AC12" s="222"/>
      <c r="AD12" s="113"/>
      <c r="AE12" s="113"/>
      <c r="AF12" s="113"/>
      <c r="AG12" s="113"/>
      <c r="AH12" s="898"/>
      <c r="AI12" s="899" t="s">
        <v>201</v>
      </c>
      <c r="AJ12" s="898"/>
      <c r="AK12" s="1245"/>
      <c r="AL12" s="1245"/>
      <c r="AM12" s="1245"/>
      <c r="AN12" s="1245"/>
      <c r="AO12" s="1245"/>
      <c r="AP12" s="203"/>
      <c r="AQ12" s="828"/>
      <c r="AR12" s="819"/>
      <c r="AS12" s="819"/>
      <c r="AT12" s="819"/>
      <c r="AU12" s="819"/>
      <c r="AV12" s="819"/>
      <c r="AW12" s="819"/>
      <c r="AX12" s="819"/>
      <c r="AY12" s="819"/>
      <c r="AZ12" s="819"/>
      <c r="BA12" s="829"/>
    </row>
    <row r="13" spans="1:59" ht="15" customHeight="1" x14ac:dyDescent="0.3">
      <c r="A13" s="220"/>
      <c r="B13" s="79"/>
      <c r="C13" s="9"/>
      <c r="D13" s="72"/>
      <c r="E13" s="172" t="str">
        <f ca="1">Taal04!$B$20</f>
        <v>Datum</v>
      </c>
      <c r="F13" s="172" t="str">
        <f ca="1">Taal04!$B$21</f>
        <v>Tijd</v>
      </c>
      <c r="G13" s="1226" t="str">
        <f ca="1">Taal04!$B$22</f>
        <v>Wedstrijd</v>
      </c>
      <c r="H13" s="1226"/>
      <c r="I13" s="1226"/>
      <c r="J13" s="1226"/>
      <c r="K13" s="1226"/>
      <c r="L13" s="1226"/>
      <c r="M13" s="1226"/>
      <c r="N13" s="1226"/>
      <c r="O13" s="1226"/>
      <c r="P13" s="1226"/>
      <c r="Q13" s="1226"/>
      <c r="R13" s="1226"/>
      <c r="S13" s="1226"/>
      <c r="T13" s="1226"/>
      <c r="U13" s="1226"/>
      <c r="V13" s="72"/>
      <c r="W13" s="1173" t="str">
        <f ca="1">Taal04!$B$24</f>
        <v>Eindstand</v>
      </c>
      <c r="X13" s="1174"/>
      <c r="Y13" s="1174"/>
      <c r="Z13" s="11"/>
      <c r="AA13" s="79"/>
      <c r="AB13" s="12"/>
      <c r="AC13" s="300" t="s">
        <v>0</v>
      </c>
      <c r="AD13" s="300" t="s">
        <v>19</v>
      </c>
      <c r="AE13" s="300" t="s">
        <v>0</v>
      </c>
      <c r="AF13" s="300" t="s">
        <v>19</v>
      </c>
      <c r="AG13" s="12"/>
      <c r="AH13" s="504" t="s">
        <v>73</v>
      </c>
      <c r="AI13" s="12"/>
      <c r="AJ13" s="504" t="s">
        <v>73</v>
      </c>
      <c r="AK13" s="4" t="s">
        <v>26</v>
      </c>
      <c r="AL13" s="4" t="s">
        <v>27</v>
      </c>
      <c r="AM13" s="13" t="s">
        <v>24</v>
      </c>
      <c r="AN13" s="13" t="s">
        <v>25</v>
      </c>
      <c r="AO13" s="173" t="s">
        <v>0</v>
      </c>
      <c r="AP13" s="203"/>
      <c r="AQ13" s="364"/>
      <c r="AR13" s="366" t="s">
        <v>2</v>
      </c>
      <c r="AS13" s="814"/>
      <c r="AT13" s="366" t="s">
        <v>1010</v>
      </c>
      <c r="AU13" s="814"/>
      <c r="AV13" s="366" t="s">
        <v>1011</v>
      </c>
      <c r="AW13" s="814"/>
      <c r="AX13" s="366" t="s">
        <v>1007</v>
      </c>
      <c r="AY13" s="814"/>
      <c r="AZ13" s="366" t="s">
        <v>72</v>
      </c>
      <c r="BA13" s="815"/>
    </row>
    <row r="14" spans="1:59" ht="15" customHeight="1" x14ac:dyDescent="0.3">
      <c r="A14" s="220"/>
      <c r="B14" s="79"/>
      <c r="C14" s="9"/>
      <c r="D14" s="14">
        <v>38</v>
      </c>
      <c r="E14" s="23">
        <f>DATE(2021,6,26)+TIME(18,0,0)</f>
        <v>44373.75</v>
      </c>
      <c r="F14" s="161">
        <f>E14+TIME(0,0,0)</f>
        <v>44373.75</v>
      </c>
      <c r="G14" s="1223" t="str">
        <f ca="1">" "&amp;Taal04!$B$75&amp;" A"</f>
        <v xml:space="preserve"> Nr.2 Groep A</v>
      </c>
      <c r="H14" s="1223"/>
      <c r="I14" s="1223"/>
      <c r="J14" s="1223"/>
      <c r="K14" s="1223"/>
      <c r="L14" s="813"/>
      <c r="M14" s="24"/>
      <c r="N14" s="811" t="str">
        <f>IF(AK14="LEEG","▼   ","")&amp;"-  "</f>
        <v xml:space="preserve">▼   -  </v>
      </c>
      <c r="O14" s="1223" t="str">
        <f ca="1">" "&amp;Taal04!$B$75&amp;" B"</f>
        <v xml:space="preserve"> Nr.2 Groep B</v>
      </c>
      <c r="P14" s="1223"/>
      <c r="Q14" s="1223"/>
      <c r="R14" s="1223"/>
      <c r="S14" s="1223"/>
      <c r="T14" s="1223"/>
      <c r="U14" s="812"/>
      <c r="V14" s="811" t="str">
        <f>IF(AL14="LEEG","▼   ","")&amp;": "</f>
        <v xml:space="preserve">▼   : </v>
      </c>
      <c r="W14" s="900"/>
      <c r="X14" s="223" t="s">
        <v>12</v>
      </c>
      <c r="Y14" s="900"/>
      <c r="Z14" s="11"/>
      <c r="AA14" s="79"/>
      <c r="AB14" s="12"/>
      <c r="AC14" s="343" t="str">
        <f>IF(ISBLANK(L14),"OO",IF(TYPE(VLOOKUP(L14,Taal02!$C$100:$D$419,2,FALSE))=16,"XX",VLOOKUP(L14,Taal02!$C$100:$D$419,2,FALSE)))</f>
        <v>OO</v>
      </c>
      <c r="AD14" s="300" t="str">
        <f>IF(AC14="OO","LEEG",IF(AC14="XX","FOUT",VLOOKUP(AC14,Voorblad!$X$65:$Z$98,3,FALSE)))</f>
        <v>LEEG</v>
      </c>
      <c r="AE14" s="343" t="str">
        <f>IF(ISBLANK(U14),"OO",IF(TYPE(VLOOKUP(U14,Taal02!$C$100:$D$419,2,FALSE))=16,"XX",VLOOKUP(U14,Taal02!$C$100:$D$419,2,FALSE)))</f>
        <v>OO</v>
      </c>
      <c r="AF14" s="300" t="str">
        <f>IF(AE14="OO","LEEG",IF(AE14="XX","FOUT",VLOOKUP(AE14,Voorblad!$X$65:$Z$98,3,FALSE)))</f>
        <v>LEEG</v>
      </c>
      <c r="AG14" s="12"/>
      <c r="AH14" s="504" t="s">
        <v>111</v>
      </c>
      <c r="AI14" s="504" t="s">
        <v>12</v>
      </c>
      <c r="AJ14" s="504" t="s">
        <v>115</v>
      </c>
      <c r="AK14" s="6" t="str">
        <f>IF(AD14="LEEG","LEEG",IF(TYPE(AD14)=2,IF(LEN(AD14)=2,IF(AND($AI$11=0,AH15="DUBBEL"),"ONGELDIG","GOED"),"ONGELDIG"),"ONGELDIG"))</f>
        <v>LEEG</v>
      </c>
      <c r="AL14" s="6" t="str">
        <f>IF(AF14="LEEG","LEEG",IF(TYPE(AF14)=2,IF(LEN(AF14)=2,IF(AND($AI$11=0,AJ15="DUBBEL"),"ONGELDIG","GOED"),"ONGELDIG"),"ONGELDIG"))</f>
        <v>LEEG</v>
      </c>
      <c r="AM14" s="6" t="str">
        <f>IF(ISBLANK(W14),"LEEG",IF(TYPE(W14)=1,IF(AND(W14&lt;10,W14&gt;=0),IF(W14=ROUND(W14,0),"GOED","ONGELDIG"),"ONGELDIG"),"ONGELDIG"))</f>
        <v>LEEG</v>
      </c>
      <c r="AN14" s="6" t="str">
        <f>IF(ISBLANK(Y14),"LEEG",IF(TYPE(Y14)=1,IF(AND(Y14&lt;10,Y14&gt;=0),IF(Y14=ROUND(Y14,0),"GOED","ONGELDIG"),"ONGELDIG"),"ONGELDIG"))</f>
        <v>LEEG</v>
      </c>
      <c r="AO14" s="201" t="str">
        <f>IF(AK14="GOED",IF(AL14="GOED",IF(AM14="GOED",IF(AN14="GOED",AD14&amp;AF14&amp;W14&amp;Y14&amp;"|","FOUT"),"FOUT"),"FOUT"),"FOUT")</f>
        <v>FOUT</v>
      </c>
      <c r="AP14" s="203">
        <f>LEN(AO14)</f>
        <v>4</v>
      </c>
      <c r="AQ14" s="368" t="str">
        <f ca="1">VLOOKUP(AR14,Voorblad!$X$67:$Z$98,2,FALSE)</f>
        <v>Turkije</v>
      </c>
      <c r="AR14" s="370" t="s">
        <v>110</v>
      </c>
      <c r="AS14" s="368" t="str">
        <f ca="1">VLOOKUP(AT14,Voorblad!$X$67:$Z$98,2,FALSE)</f>
        <v>Duitsland</v>
      </c>
      <c r="AT14" s="370" t="str">
        <f t="shared" ref="AT14:AT25" ca="1" si="0">RIGHT(LEFT($AL$88,$BA14),2)</f>
        <v>F4</v>
      </c>
      <c r="AU14" s="368" t="str">
        <f ca="1">VLOOKUP(AV14,Voorblad!$X$67:$Z$98,2,FALSE)</f>
        <v>Duitsland</v>
      </c>
      <c r="AV14" s="370" t="str">
        <f t="shared" ref="AV14:AV29" ca="1" si="1">RIGHT(LEFT($AL$89,$BA14),2)</f>
        <v>F4</v>
      </c>
      <c r="AW14" s="368" t="str">
        <f ca="1">VLOOKUP(AX14,Voorblad!$X$67:$Z$98,2,FALSE)</f>
        <v>België</v>
      </c>
      <c r="AX14" s="370" t="str">
        <f t="shared" ref="AX14:AX25" ca="1" si="2">RIGHT(LEFT($AL$91,$BA14),2)</f>
        <v>B3</v>
      </c>
      <c r="AY14" s="368" t="str">
        <f ca="1">VLOOKUP(AZ14,Voorblad!$X$67:$Z$98,2,FALSE)</f>
        <v>België</v>
      </c>
      <c r="AZ14" s="370" t="str">
        <f t="shared" ref="AZ14:AZ29" ca="1" si="3">RIGHT(LEFT($AL$93,$BA14),2)</f>
        <v>B3</v>
      </c>
      <c r="BA14" s="816">
        <v>2</v>
      </c>
    </row>
    <row r="15" spans="1:59" ht="18.899999999999999" customHeight="1" x14ac:dyDescent="0.3">
      <c r="A15" s="220"/>
      <c r="B15" s="79"/>
      <c r="C15" s="9"/>
      <c r="D15" s="463"/>
      <c r="E15" s="463"/>
      <c r="F15" s="463"/>
      <c r="G15" s="1224" t="str">
        <f ca="1">IF($AB$9=1," "&amp;AC15,IF($AB$9=2,IF(AC14="OO"," "&amp;AC15,""),""))</f>
        <v xml:space="preserve"> </v>
      </c>
      <c r="H15" s="1224"/>
      <c r="I15" s="1224"/>
      <c r="J15" s="1224"/>
      <c r="K15" s="1224"/>
      <c r="L15" s="1224"/>
      <c r="M15" s="463"/>
      <c r="N15" s="463"/>
      <c r="O15" s="1224" t="str">
        <f ca="1">IF($AB$9=1," "&amp;AE15,IF($AB$9=2,IF(AE14="OO"," "&amp;AE15,""),""))</f>
        <v xml:space="preserve"> </v>
      </c>
      <c r="P15" s="1224"/>
      <c r="Q15" s="1224"/>
      <c r="R15" s="1224"/>
      <c r="S15" s="1224"/>
      <c r="T15" s="1224"/>
      <c r="U15" s="1224"/>
      <c r="V15" s="72"/>
      <c r="W15" s="444"/>
      <c r="X15" s="58"/>
      <c r="Y15" s="444"/>
      <c r="Z15" s="11"/>
      <c r="AA15" s="79"/>
      <c r="AB15" s="12"/>
      <c r="AC15" s="1231" t="str">
        <f ca="1">AM86</f>
        <v/>
      </c>
      <c r="AD15" s="1231"/>
      <c r="AE15" s="1231" t="str">
        <f ca="1">AO86</f>
        <v/>
      </c>
      <c r="AF15" s="1231"/>
      <c r="AG15" s="873" t="str">
        <f>IF(AO14="FOUT","",IF(W14&gt;Y14,AC14,IF(W14&lt;Y14,AE14,AC14&amp;AE14)))</f>
        <v/>
      </c>
      <c r="AH15" s="513" t="str">
        <f>IF(AD14="LEEG","LEEG",IF(AD14= "FOUT","ONGELDIG",IF(LEN(SUBSTITUTE(SUBSTITUTE("|"&amp;$AD$14&amp;"|"&amp;$AF$14&amp;"|"&amp;$AD$16&amp;"|"&amp;$AF$16&amp;"|"&amp;$AD$18&amp;"|"&amp;$AF$18&amp;"|"&amp;$AD$20&amp;"|"&amp;$AF$20&amp;"|"&amp;$AD$22&amp;"|"&amp;$AF$22&amp;"|"&amp;$AD$24&amp;"|"&amp;$AF$24&amp;"|"&amp;$AD$26&amp;"|"&amp;$AF$26&amp;"|"&amp;$AD$28&amp;"|"&amp;$AF$28&amp;"|","LEEG","##"),AD14,"CONTROLE"))=$AJ$30,"GOED","DUBBEL")))</f>
        <v>LEEG</v>
      </c>
      <c r="AI15" s="12"/>
      <c r="AJ15" s="513" t="str">
        <f>IF(AF14="LEEG","LEEG",IF(AF14= "FOUT","ONGELDIG",IF(LEN(SUBSTITUTE(SUBSTITUTE("|"&amp;$AD$14&amp;"|"&amp;$AF$14&amp;"|"&amp;$AD$16&amp;"|"&amp;$AF$16&amp;"|"&amp;$AD$18&amp;"|"&amp;$AF$18&amp;"|"&amp;$AD$20&amp;"|"&amp;$AF$20&amp;"|"&amp;$AD$22&amp;"|"&amp;$AF$22&amp;"|"&amp;$AD$24&amp;"|"&amp;$AF$24&amp;"|"&amp;$AD$26&amp;"|"&amp;$AF$26&amp;"|"&amp;$AD$28&amp;"|"&amp;$AF$28&amp;"|","LEEG","##"),AF14,"CONTROLE"))=$AJ$30,"GOED","DUBBEL")))</f>
        <v>LEEG</v>
      </c>
      <c r="AK15" s="6"/>
      <c r="AL15" s="6"/>
      <c r="AM15" s="6"/>
      <c r="AN15" s="6"/>
      <c r="AO15" s="201"/>
      <c r="AP15" s="203"/>
      <c r="AQ15" s="368" t="str">
        <f ca="1">VLOOKUP(AR15,Voorblad!$X$67:$Z$98,2,FALSE)</f>
        <v>Italië</v>
      </c>
      <c r="AR15" s="370" t="str">
        <f>AR13&amp;2</f>
        <v>A2</v>
      </c>
      <c r="AS15" s="368" t="str">
        <f ca="1">VLOOKUP(AT15,Voorblad!$X$67:$Z$98,2,FALSE)</f>
        <v>Engeland</v>
      </c>
      <c r="AT15" s="370" t="str">
        <f t="shared" ca="1" si="0"/>
        <v>D1</v>
      </c>
      <c r="AU15" s="368" t="str">
        <f ca="1">VLOOKUP(AV15,Voorblad!$X$67:$Z$98,2,FALSE)</f>
        <v>Engeland</v>
      </c>
      <c r="AV15" s="370" t="str">
        <f t="shared" ca="1" si="1"/>
        <v>D1</v>
      </c>
      <c r="AW15" s="368" t="str">
        <f ca="1">VLOOKUP(AX15,Voorblad!$X$67:$Z$98,2,FALSE)</f>
        <v>Denemarken</v>
      </c>
      <c r="AX15" s="370" t="str">
        <f t="shared" ca="1" si="2"/>
        <v>B1</v>
      </c>
      <c r="AY15" s="368" t="str">
        <f ca="1">VLOOKUP(AZ15,Voorblad!$X$67:$Z$98,2,FALSE)</f>
        <v>Denemarken</v>
      </c>
      <c r="AZ15" s="370" t="str">
        <f t="shared" ca="1" si="3"/>
        <v>B1</v>
      </c>
      <c r="BA15" s="817">
        <f t="shared" ref="BA15:BA29" si="4">BA14+2</f>
        <v>4</v>
      </c>
    </row>
    <row r="16" spans="1:59" ht="15" customHeight="1" x14ac:dyDescent="0.3">
      <c r="A16" s="220"/>
      <c r="B16" s="79"/>
      <c r="C16" s="9"/>
      <c r="D16" s="14">
        <f>D14-1</f>
        <v>37</v>
      </c>
      <c r="E16" s="23">
        <f>DATE(2021,6,26)+TIME(21,0,0)</f>
        <v>44373.875</v>
      </c>
      <c r="F16" s="161">
        <f>E16+TIME(0,0,0)</f>
        <v>44373.875</v>
      </c>
      <c r="G16" s="1223" t="str">
        <f ca="1">" "&amp;Taal04!$B$74&amp;" A"</f>
        <v xml:space="preserve"> Nr.1 Groep A</v>
      </c>
      <c r="H16" s="1223"/>
      <c r="I16" s="1223"/>
      <c r="J16" s="1223"/>
      <c r="K16" s="1223"/>
      <c r="L16" s="813"/>
      <c r="M16" s="810"/>
      <c r="N16" s="811" t="str">
        <f>IF(AK16="LEEG","▼   ","")&amp;"-  "</f>
        <v xml:space="preserve">▼   -  </v>
      </c>
      <c r="O16" s="1223" t="str">
        <f ca="1">" "&amp;Taal04!$B$75&amp;" C"</f>
        <v xml:space="preserve"> Nr.2 Groep C</v>
      </c>
      <c r="P16" s="1223"/>
      <c r="Q16" s="1223"/>
      <c r="R16" s="1223"/>
      <c r="S16" s="1223"/>
      <c r="T16" s="1223"/>
      <c r="U16" s="813"/>
      <c r="V16" s="811" t="str">
        <f>IF(AL16="LEEG","▼   ","")&amp;": "</f>
        <v xml:space="preserve">▼   : </v>
      </c>
      <c r="W16" s="900"/>
      <c r="X16" s="650" t="s">
        <v>12</v>
      </c>
      <c r="Y16" s="900"/>
      <c r="Z16" s="11"/>
      <c r="AA16" s="79"/>
      <c r="AB16" s="12"/>
      <c r="AC16" s="343" t="str">
        <f>IF(ISBLANK(L16),"OO",IF(TYPE(VLOOKUP(L16,Taal02!$C$100:$D$419,2,FALSE))=16,"XX",VLOOKUP(L16,Taal02!$C$100:$D$419,2,FALSE)))</f>
        <v>OO</v>
      </c>
      <c r="AD16" s="300" t="str">
        <f>IF(AC16="OO","LEEG",IF(AC16="XX","FOUT",VLOOKUP(AC16,Voorblad!$X$65:$Z$98,3,FALSE)))</f>
        <v>LEEG</v>
      </c>
      <c r="AE16" s="343" t="str">
        <f>IF(ISBLANK(U16),"OO",IF(TYPE(VLOOKUP(U16,Taal02!$C$100:$D$419,2,FALSE))=16,"XX",VLOOKUP(U16,Taal02!$C$100:$D$419,2,FALSE)))</f>
        <v>OO</v>
      </c>
      <c r="AF16" s="300" t="str">
        <f>IF(AE16="OO","LEEG",IF(AE16="XX","FOUT",VLOOKUP(AE16,Voorblad!$X$65:$Z$98,3,FALSE)))</f>
        <v>LEEG</v>
      </c>
      <c r="AG16" s="12"/>
      <c r="AH16" s="504" t="s">
        <v>110</v>
      </c>
      <c r="AI16" s="504" t="s">
        <v>12</v>
      </c>
      <c r="AJ16" s="504" t="s">
        <v>119</v>
      </c>
      <c r="AK16" s="6" t="str">
        <f>IF(AD16="LEEG","LEEG",IF(TYPE(AD16)=2,IF(LEN(AD16)=2,IF(AND($AI$11=0,AH17="DUBBEL"),"ONGELDIG","GOED"),"ONGELDIG"),"ONGELDIG"))</f>
        <v>LEEG</v>
      </c>
      <c r="AL16" s="6" t="str">
        <f>IF(AF16="LEEG","LEEG",IF(TYPE(AF16)=2,IF(LEN(AF16)=2,IF(AND($AI$11=0,AJ17="DUBBEL"),"ONGELDIG","GOED"),"ONGELDIG"),"ONGELDIG"))</f>
        <v>LEEG</v>
      </c>
      <c r="AM16" s="6" t="str">
        <f>IF(ISBLANK(W16),"LEEG",IF(TYPE(W16)=1,IF(AND(W16&lt;10,W16&gt;=0),IF(W16=ROUND(W16,0),"GOED","ONGELDIG"),"ONGELDIG"),"ONGELDIG"))</f>
        <v>LEEG</v>
      </c>
      <c r="AN16" s="6" t="str">
        <f>IF(ISBLANK(Y16),"LEEG",IF(TYPE(Y16)=1,IF(AND(Y16&lt;10,Y16&gt;=0),IF(Y16=ROUND(Y16,0),"GOED","ONGELDIG"),"ONGELDIG"),"ONGELDIG"))</f>
        <v>LEEG</v>
      </c>
      <c r="AO16" s="201" t="str">
        <f>IF(AK16="GOED",IF(AL16="GOED",IF(AM16="GOED",IF(AN16="GOED",AD16&amp;AF16&amp;W16&amp;Y16&amp;"|","FOUT"),"FOUT"),"FOUT"),"FOUT")</f>
        <v>FOUT</v>
      </c>
      <c r="AP16" s="203">
        <f>LEN(AO16)</f>
        <v>4</v>
      </c>
      <c r="AQ16" s="368" t="str">
        <f ca="1">VLOOKUP(AR16,Voorblad!$X$67:$Z$98,2,FALSE)</f>
        <v>Wales</v>
      </c>
      <c r="AR16" s="370" t="str">
        <f>AR13&amp;3</f>
        <v>A3</v>
      </c>
      <c r="AS16" s="368" t="str">
        <f ca="1">VLOOKUP(AT16,Voorblad!$X$67:$Z$98,2,FALSE)</f>
        <v>Frankrijk</v>
      </c>
      <c r="AT16" s="370" t="str">
        <f t="shared" ca="1" si="0"/>
        <v>F3</v>
      </c>
      <c r="AU16" s="368" t="str">
        <f ca="1">VLOOKUP(AV16,Voorblad!$X$67:$Z$98,2,FALSE)</f>
        <v>Frankrijk</v>
      </c>
      <c r="AV16" s="370" t="str">
        <f t="shared" ca="1" si="1"/>
        <v>F3</v>
      </c>
      <c r="AW16" s="368" t="str">
        <f ca="1">VLOOKUP(AX16,Voorblad!$X$67:$Z$98,2,FALSE)</f>
        <v>Finland</v>
      </c>
      <c r="AX16" s="370" t="str">
        <f t="shared" ca="1" si="2"/>
        <v>B2</v>
      </c>
      <c r="AY16" s="368" t="str">
        <f ca="1">VLOOKUP(AZ16,Voorblad!$X$67:$Z$98,2,FALSE)</f>
        <v>Engeland</v>
      </c>
      <c r="AZ16" s="370" t="str">
        <f t="shared" ca="1" si="3"/>
        <v>D1</v>
      </c>
      <c r="BA16" s="817">
        <f t="shared" si="4"/>
        <v>6</v>
      </c>
    </row>
    <row r="17" spans="1:53" ht="18.899999999999999" customHeight="1" x14ac:dyDescent="0.3">
      <c r="A17" s="220"/>
      <c r="B17" s="79"/>
      <c r="C17" s="9"/>
      <c r="D17" s="463"/>
      <c r="E17" s="463"/>
      <c r="F17" s="463"/>
      <c r="G17" s="1224" t="str">
        <f ca="1">IF($AB$9=1," "&amp;AC17,IF($AB$9=2,IF(AC16="OO"," "&amp;AC17,""),""))</f>
        <v xml:space="preserve"> </v>
      </c>
      <c r="H17" s="1224"/>
      <c r="I17" s="1224"/>
      <c r="J17" s="1224"/>
      <c r="K17" s="1224"/>
      <c r="L17" s="1224"/>
      <c r="M17" s="463"/>
      <c r="N17" s="463"/>
      <c r="O17" s="1224" t="str">
        <f ca="1">IF($AB$9=1," "&amp;AE17,IF($AB$9=2,IF(AE16="OO"," "&amp;AE17,""),""))</f>
        <v xml:space="preserve"> </v>
      </c>
      <c r="P17" s="1224"/>
      <c r="Q17" s="1224"/>
      <c r="R17" s="1224"/>
      <c r="S17" s="1224"/>
      <c r="T17" s="1224"/>
      <c r="U17" s="1224"/>
      <c r="V17" s="72"/>
      <c r="W17" s="444"/>
      <c r="X17" s="58"/>
      <c r="Y17" s="444"/>
      <c r="Z17" s="11"/>
      <c r="AA17" s="79"/>
      <c r="AB17" s="12"/>
      <c r="AC17" s="1231" t="str">
        <f ca="1">AM87</f>
        <v/>
      </c>
      <c r="AD17" s="1231"/>
      <c r="AE17" s="1231" t="str">
        <f ca="1">AO87</f>
        <v/>
      </c>
      <c r="AF17" s="1231"/>
      <c r="AG17" s="873" t="str">
        <f>IF(AO16="FOUT","",IF(W16&gt;Y16,AC16,IF(W16&lt;Y16,AE16,AC16&amp;AE16)))</f>
        <v/>
      </c>
      <c r="AH17" s="513" t="str">
        <f>IF(AD16="LEEG","LEEG",IF(AD16= "FOUT","ONGELDIG",IF(LEN(SUBSTITUTE(SUBSTITUTE("|"&amp;$AD$14&amp;"|"&amp;$AF$14&amp;"|"&amp;$AD$16&amp;"|"&amp;$AF$16&amp;"|"&amp;$AD$18&amp;"|"&amp;$AF$18&amp;"|"&amp;$AD$20&amp;"|"&amp;$AF$20&amp;"|"&amp;$AD$22&amp;"|"&amp;$AF$22&amp;"|"&amp;$AD$24&amp;"|"&amp;$AF$24&amp;"|"&amp;$AD$26&amp;"|"&amp;$AF$26&amp;"|"&amp;$AD$28&amp;"|"&amp;$AF$28&amp;"|","LEEG","##"),AD16,"CONTROLE"))=$AJ$30,"GOED","DUBBEL")))</f>
        <v>LEEG</v>
      </c>
      <c r="AI17" s="12"/>
      <c r="AJ17" s="513" t="str">
        <f>IF(AF16="LEEG","LEEG",IF(AF16= "FOUT","ONGELDIG",IF(LEN(SUBSTITUTE(SUBSTITUTE("|"&amp;$AD$14&amp;"|"&amp;$AF$14&amp;"|"&amp;$AD$16&amp;"|"&amp;$AF$16&amp;"|"&amp;$AD$18&amp;"|"&amp;$AF$18&amp;"|"&amp;$AD$20&amp;"|"&amp;$AF$20&amp;"|"&amp;$AD$22&amp;"|"&amp;$AF$22&amp;"|"&amp;$AD$24&amp;"|"&amp;$AF$24&amp;"|"&amp;$AD$26&amp;"|"&amp;$AF$26&amp;"|"&amp;$AD$28&amp;"|"&amp;$AF$28&amp;"|","LEEG","##"),AF16,"CONTROLE"))=$AJ$30,"GOED","DUBBEL")))</f>
        <v>LEEG</v>
      </c>
      <c r="AK17" s="6"/>
      <c r="AL17" s="6"/>
      <c r="AM17" s="6"/>
      <c r="AN17" s="6"/>
      <c r="AO17" s="201"/>
      <c r="AP17" s="203"/>
      <c r="AQ17" s="371" t="str">
        <f ca="1">VLOOKUP(AR17,Voorblad!$X$67:$Z$98,2,FALSE)</f>
        <v>Zwitserland</v>
      </c>
      <c r="AR17" s="373" t="s">
        <v>113</v>
      </c>
      <c r="AS17" s="368" t="str">
        <f ca="1">VLOOKUP(AT17,Voorblad!$X$67:$Z$98,2,FALSE)</f>
        <v>Hongarije</v>
      </c>
      <c r="AT17" s="370" t="str">
        <f t="shared" ca="1" si="0"/>
        <v>F1</v>
      </c>
      <c r="AU17" s="368" t="str">
        <f ca="1">VLOOKUP(AV17,Voorblad!$X$67:$Z$98,2,FALSE)</f>
        <v>Hongarije</v>
      </c>
      <c r="AV17" s="370" t="str">
        <f t="shared" ca="1" si="1"/>
        <v>F1</v>
      </c>
      <c r="AW17" s="368" t="str">
        <f ca="1">VLOOKUP(AX17,Voorblad!$X$67:$Z$98,2,FALSE)</f>
        <v>Italië</v>
      </c>
      <c r="AX17" s="370" t="str">
        <f t="shared" ca="1" si="2"/>
        <v>A2</v>
      </c>
      <c r="AY17" s="368" t="str">
        <f ca="1">VLOOKUP(AZ17,Voorblad!$X$67:$Z$98,2,FALSE)</f>
        <v>Finland</v>
      </c>
      <c r="AZ17" s="370" t="str">
        <f t="shared" ca="1" si="3"/>
        <v>B2</v>
      </c>
      <c r="BA17" s="817">
        <f t="shared" si="4"/>
        <v>8</v>
      </c>
    </row>
    <row r="18" spans="1:53" ht="15" customHeight="1" x14ac:dyDescent="0.3">
      <c r="A18" s="220"/>
      <c r="B18" s="79"/>
      <c r="C18" s="9"/>
      <c r="D18" s="14">
        <f>D16+3</f>
        <v>40</v>
      </c>
      <c r="E18" s="23">
        <f>E14+1</f>
        <v>44374.75</v>
      </c>
      <c r="F18" s="161">
        <f>E18+TIME(0,0,0)</f>
        <v>44374.75</v>
      </c>
      <c r="G18" s="1223" t="str">
        <f ca="1">" "&amp;Taal04!$B$74&amp;" C"</f>
        <v xml:space="preserve"> Nr.1 Groep C</v>
      </c>
      <c r="H18" s="1223"/>
      <c r="I18" s="1223"/>
      <c r="J18" s="1223"/>
      <c r="K18" s="1223"/>
      <c r="L18" s="813"/>
      <c r="M18" s="810"/>
      <c r="N18" s="811" t="str">
        <f>IF(AK18="LEEG","▼   ","")&amp;"-  "</f>
        <v xml:space="preserve">▼   -  </v>
      </c>
      <c r="O18" s="1223" t="str">
        <f ca="1">" "&amp;Taal04!$B$76&amp;" D/E/F ¹"</f>
        <v xml:space="preserve"> Nr.3 Groep D/E/F ¹</v>
      </c>
      <c r="P18" s="1223"/>
      <c r="Q18" s="1223"/>
      <c r="R18" s="1223"/>
      <c r="S18" s="1223"/>
      <c r="T18" s="1223"/>
      <c r="U18" s="813"/>
      <c r="V18" s="811" t="str">
        <f>IF(AL18="LEEG","▼   ","")&amp;": "</f>
        <v xml:space="preserve">▼   : </v>
      </c>
      <c r="W18" s="900"/>
      <c r="X18" s="650" t="s">
        <v>12</v>
      </c>
      <c r="Y18" s="900"/>
      <c r="Z18" s="11"/>
      <c r="AA18" s="79"/>
      <c r="AB18" s="12"/>
      <c r="AC18" s="343" t="str">
        <f>IF(ISBLANK(L18),"OO",IF(TYPE(VLOOKUP(L18,Taal02!$C$100:$D$419,2,FALSE))=16,"XX",VLOOKUP(L18,Taal02!$C$100:$D$419,2,FALSE)))</f>
        <v>OO</v>
      </c>
      <c r="AD18" s="300" t="str">
        <f>IF(AC18="OO","LEEG",IF(AC18="XX","FOUT",VLOOKUP(AC18,Voorblad!$X$65:$Z$98,3,FALSE)))</f>
        <v>LEEG</v>
      </c>
      <c r="AE18" s="343" t="str">
        <f>IF(ISBLANK(U18),"OO",IF(TYPE(VLOOKUP(U18,Taal02!$C$100:$D$419,2,FALSE))=16,"XX",VLOOKUP(U18,Taal02!$C$100:$D$419,2,FALSE)))</f>
        <v>OO</v>
      </c>
      <c r="AF18" s="300" t="str">
        <f>IF(AE18="OO","LEEG",IF(AE18="XX","FOUT",VLOOKUP(AE18,Voorblad!$X$65:$Z$98,3,FALSE)))</f>
        <v>LEEG</v>
      </c>
      <c r="AG18" s="12"/>
      <c r="AH18" s="504" t="s">
        <v>118</v>
      </c>
      <c r="AI18" s="504" t="s">
        <v>12</v>
      </c>
      <c r="AJ18" s="504" t="s">
        <v>1034</v>
      </c>
      <c r="AK18" s="6" t="str">
        <f>IF(AD18="LEEG","LEEG",IF(TYPE(AD18)=2,IF(LEN(AD18)=2,IF(AND($AI$11=0,AH19="DUBBEL"),"ONGELDIG","GOED"),"ONGELDIG"),"ONGELDIG"))</f>
        <v>LEEG</v>
      </c>
      <c r="AL18" s="6" t="str">
        <f>IF(AF18="LEEG","LEEG",IF(TYPE(AF18)=2,IF(LEN(AF18)=2,IF(AND($AI$11=0,AJ19="DUBBEL"),"ONGELDIG","GOED"),"ONGELDIG"),"ONGELDIG"))</f>
        <v>LEEG</v>
      </c>
      <c r="AM18" s="6" t="str">
        <f>IF(ISBLANK(W18),"LEEG",IF(TYPE(W18)=1,IF(AND(W18&lt;10,W18&gt;=0),IF(W18=ROUND(W18,0),"GOED","ONGELDIG"),"ONGELDIG"),"ONGELDIG"))</f>
        <v>LEEG</v>
      </c>
      <c r="AN18" s="6" t="str">
        <f>IF(ISBLANK(Y18),"LEEG",IF(TYPE(Y18)=1,IF(AND(Y18&lt;10,Y18&gt;=0),IF(Y18=ROUND(Y18,0),"GOED","ONGELDIG"),"ONGELDIG"),"ONGELDIG"))</f>
        <v>LEEG</v>
      </c>
      <c r="AO18" s="201" t="str">
        <f>IF(AK18="GOED",IF(AL18="GOED",IF(AM18="GOED",IF(AN18="GOED",AD18&amp;AF18&amp;W18&amp;Y18&amp;"|","FOUT"),"FOUT"),"FOUT"),"FOUT")</f>
        <v>FOUT</v>
      </c>
      <c r="AP18" s="203">
        <f>LEN(AO18)</f>
        <v>4</v>
      </c>
      <c r="AQ18" s="364"/>
      <c r="AR18" s="366" t="s">
        <v>3</v>
      </c>
      <c r="AS18" s="368" t="str">
        <f ca="1">VLOOKUP(AT18,Voorblad!$X$67:$Z$98,2,FALSE)</f>
        <v>Kroatië</v>
      </c>
      <c r="AT18" s="370" t="str">
        <f t="shared" ca="1" si="0"/>
        <v>D2</v>
      </c>
      <c r="AU18" s="368" t="str">
        <f ca="1">VLOOKUP(AV18,Voorblad!$X$67:$Z$98,2,FALSE)</f>
        <v>Italië</v>
      </c>
      <c r="AV18" s="370" t="str">
        <f t="shared" ca="1" si="1"/>
        <v>A2</v>
      </c>
      <c r="AW18" s="368" t="str">
        <f ca="1">VLOOKUP(AX18,Voorblad!$X$67:$Z$98,2,FALSE)</f>
        <v>Nederland</v>
      </c>
      <c r="AX18" s="370" t="str">
        <f t="shared" ca="1" si="2"/>
        <v>C1</v>
      </c>
      <c r="AY18" s="368" t="str">
        <f ca="1">VLOOKUP(AZ18,Voorblad!$X$67:$Z$98,2,FALSE)</f>
        <v>Italië</v>
      </c>
      <c r="AZ18" s="370" t="str">
        <f t="shared" ca="1" si="3"/>
        <v>A2</v>
      </c>
      <c r="BA18" s="817">
        <f t="shared" si="4"/>
        <v>10</v>
      </c>
    </row>
    <row r="19" spans="1:53" ht="18.899999999999999" customHeight="1" x14ac:dyDescent="0.3">
      <c r="A19" s="220"/>
      <c r="B19" s="79"/>
      <c r="C19" s="9"/>
      <c r="D19" s="463"/>
      <c r="E19" s="463"/>
      <c r="F19" s="463"/>
      <c r="G19" s="1224" t="str">
        <f ca="1">IF($AB$9=1," "&amp;AC19,IF($AB$9=2,IF(AC18="OO"," "&amp;AC19,""),""))</f>
        <v xml:space="preserve"> </v>
      </c>
      <c r="H19" s="1224"/>
      <c r="I19" s="1224"/>
      <c r="J19" s="1224"/>
      <c r="K19" s="1224"/>
      <c r="L19" s="1224"/>
      <c r="M19" s="463"/>
      <c r="N19" s="463"/>
      <c r="O19" s="1224" t="str">
        <f ca="1">IF($AB$9=1," "&amp;AE19,IF($AB$9=2,IF(AE18="OO"," "&amp;AE19,""),""))</f>
        <v xml:space="preserve"> </v>
      </c>
      <c r="P19" s="1224"/>
      <c r="Q19" s="1224"/>
      <c r="R19" s="1224"/>
      <c r="S19" s="1224"/>
      <c r="T19" s="1224"/>
      <c r="U19" s="1224"/>
      <c r="V19" s="72"/>
      <c r="W19" s="444"/>
      <c r="X19" s="58"/>
      <c r="Y19" s="444"/>
      <c r="Z19" s="11"/>
      <c r="AA19" s="79"/>
      <c r="AB19" s="12"/>
      <c r="AC19" s="1231" t="str">
        <f ca="1">AM88</f>
        <v/>
      </c>
      <c r="AD19" s="1231"/>
      <c r="AE19" s="1231" t="str">
        <f ca="1">AO88</f>
        <v/>
      </c>
      <c r="AF19" s="1231"/>
      <c r="AG19" s="873" t="str">
        <f>IF(AO18="FOUT","",IF(W18&gt;Y18,AC18,IF(W18&lt;Y18,AE18,AC18&amp;AE18)))</f>
        <v/>
      </c>
      <c r="AH19" s="513" t="str">
        <f>IF(AD18="LEEG","LEEG",IF(AD18= "FOUT","ONGELDIG",IF(LEN(SUBSTITUTE(SUBSTITUTE("|"&amp;$AD$14&amp;"|"&amp;$AF$14&amp;"|"&amp;$AD$16&amp;"|"&amp;$AF$16&amp;"|"&amp;$AD$18&amp;"|"&amp;$AF$18&amp;"|"&amp;$AD$20&amp;"|"&amp;$AF$20&amp;"|"&amp;$AD$22&amp;"|"&amp;$AF$22&amp;"|"&amp;$AD$24&amp;"|"&amp;$AF$24&amp;"|"&amp;$AD$26&amp;"|"&amp;$AF$26&amp;"|"&amp;$AD$28&amp;"|"&amp;$AF$28&amp;"|","LEEG","##"),AD18,"CONTROLE"))=$AJ$30,"GOED","DUBBEL")))</f>
        <v>LEEG</v>
      </c>
      <c r="AI19" s="12"/>
      <c r="AJ19" s="513" t="str">
        <f>IF(AF18="LEEG","LEEG",IF(AF18= "FOUT","ONGELDIG",IF(LEN(SUBSTITUTE(SUBSTITUTE("|"&amp;$AD$14&amp;"|"&amp;$AF$14&amp;"|"&amp;$AD$16&amp;"|"&amp;$AF$16&amp;"|"&amp;$AD$18&amp;"|"&amp;$AF$18&amp;"|"&amp;$AD$20&amp;"|"&amp;$AF$20&amp;"|"&amp;$AD$22&amp;"|"&amp;$AF$22&amp;"|"&amp;$AD$24&amp;"|"&amp;$AF$24&amp;"|"&amp;$AD$26&amp;"|"&amp;$AF$26&amp;"|"&amp;$AD$28&amp;"|"&amp;$AF$28&amp;"|","LEEG","##"),AF18,"CONTROLE"))=$AJ$30,"GOED","DUBBEL")))</f>
        <v>LEEG</v>
      </c>
      <c r="AK19" s="6"/>
      <c r="AL19" s="6"/>
      <c r="AM19" s="6"/>
      <c r="AN19" s="6"/>
      <c r="AO19" s="201"/>
      <c r="AP19" s="203"/>
      <c r="AQ19" s="368" t="str">
        <f ca="1">VLOOKUP(AR19,Voorblad!$X$67:$Z$98,2,FALSE)</f>
        <v>Denemarken</v>
      </c>
      <c r="AR19" s="370" t="str">
        <f>AR18&amp;1</f>
        <v>B1</v>
      </c>
      <c r="AS19" s="368" t="str">
        <f ca="1">VLOOKUP(AT19,Voorblad!$X$67:$Z$98,2,FALSE)</f>
        <v>Polen</v>
      </c>
      <c r="AT19" s="370" t="str">
        <f t="shared" ca="1" si="0"/>
        <v>E3</v>
      </c>
      <c r="AU19" s="368" t="str">
        <f ca="1">VLOOKUP(AV19,Voorblad!$X$67:$Z$98,2,FALSE)</f>
        <v>Kroatië</v>
      </c>
      <c r="AV19" s="370" t="str">
        <f t="shared" ca="1" si="1"/>
        <v>D2</v>
      </c>
      <c r="AW19" s="368" t="str">
        <f ca="1">VLOOKUP(AX19,Voorblad!$X$67:$Z$98,2,FALSE)</f>
        <v>N.-Macedonië</v>
      </c>
      <c r="AX19" s="370" t="str">
        <f t="shared" ca="1" si="2"/>
        <v>C4</v>
      </c>
      <c r="AY19" s="368" t="str">
        <f ca="1">VLOOKUP(AZ19,Voorblad!$X$67:$Z$98,2,FALSE)</f>
        <v>Kroatië</v>
      </c>
      <c r="AZ19" s="370" t="str">
        <f t="shared" ca="1" si="3"/>
        <v>D2</v>
      </c>
      <c r="BA19" s="817">
        <f t="shared" si="4"/>
        <v>12</v>
      </c>
    </row>
    <row r="20" spans="1:53" ht="15" customHeight="1" x14ac:dyDescent="0.3">
      <c r="A20" s="220"/>
      <c r="B20" s="79"/>
      <c r="C20" s="9"/>
      <c r="D20" s="14">
        <f>D18-1</f>
        <v>39</v>
      </c>
      <c r="E20" s="23">
        <f>E16+1</f>
        <v>44374.875</v>
      </c>
      <c r="F20" s="161">
        <f>E20+TIME(0,0,0)</f>
        <v>44374.875</v>
      </c>
      <c r="G20" s="1223" t="str">
        <f ca="1">" "&amp;Taal04!$B$74&amp;" B"</f>
        <v xml:space="preserve"> Nr.1 Groep B</v>
      </c>
      <c r="H20" s="1223"/>
      <c r="I20" s="1223"/>
      <c r="J20" s="1223"/>
      <c r="K20" s="1223"/>
      <c r="L20" s="812"/>
      <c r="M20" s="810"/>
      <c r="N20" s="811" t="str">
        <f>IF(AK20="LEEG","▼   ","")&amp;"-  "</f>
        <v xml:space="preserve">▼   -  </v>
      </c>
      <c r="O20" s="1223" t="str">
        <f ca="1">" "&amp;Taal04!$B$76&amp;" A/D/E/F ¹"</f>
        <v xml:space="preserve"> Nr.3 Groep A/D/E/F ¹</v>
      </c>
      <c r="P20" s="1223"/>
      <c r="Q20" s="1223"/>
      <c r="R20" s="1223"/>
      <c r="S20" s="1223"/>
      <c r="T20" s="1223"/>
      <c r="U20" s="813"/>
      <c r="V20" s="811" t="str">
        <f>IF(AL20="LEEG","▼   ","")&amp;": "</f>
        <v xml:space="preserve">▼   : </v>
      </c>
      <c r="W20" s="900"/>
      <c r="X20" s="650" t="s">
        <v>12</v>
      </c>
      <c r="Y20" s="900"/>
      <c r="Z20" s="11"/>
      <c r="AA20" s="79"/>
      <c r="AB20" s="12"/>
      <c r="AC20" s="343" t="str">
        <f>IF(ISBLANK(L20),"OO",IF(TYPE(VLOOKUP(L20,Taal02!$C$100:$D$419,2,FALSE))=16,"XX",VLOOKUP(L20,Taal02!$C$100:$D$419,2,FALSE)))</f>
        <v>OO</v>
      </c>
      <c r="AD20" s="300" t="str">
        <f>IF(AC20="OO","LEEG",IF(AC20="XX","FOUT",VLOOKUP(AC20,Voorblad!$X$65:$Z$98,3,FALSE)))</f>
        <v>LEEG</v>
      </c>
      <c r="AE20" s="343" t="str">
        <f>IF(ISBLANK(U20),"OO",IF(TYPE(VLOOKUP(U20,Taal02!$C$100:$D$419,2,FALSE))=16,"XX",VLOOKUP(U20,Taal02!$C$100:$D$419,2,FALSE)))</f>
        <v>OO</v>
      </c>
      <c r="AF20" s="300" t="str">
        <f>IF(AE20="OO","LEEG",IF(AE20="XX","FOUT",VLOOKUP(AE20,Voorblad!$X$65:$Z$98,3,FALSE)))</f>
        <v>LEEG</v>
      </c>
      <c r="AG20" s="12"/>
      <c r="AH20" s="504" t="s">
        <v>114</v>
      </c>
      <c r="AI20" s="504" t="s">
        <v>12</v>
      </c>
      <c r="AJ20" s="504" t="s">
        <v>1035</v>
      </c>
      <c r="AK20" s="6" t="str">
        <f>IF(AD20="LEEG","LEEG",IF(TYPE(AD20)=2,IF(LEN(AD20)=2,IF(AND($AI$11=0,AH21="DUBBEL"),"ONGELDIG","GOED"),"ONGELDIG"),"ONGELDIG"))</f>
        <v>LEEG</v>
      </c>
      <c r="AL20" s="6" t="str">
        <f>IF(AF20="LEEG","LEEG",IF(TYPE(AF20)=2,IF(LEN(AF20)=2,IF(AND($AI$11=0,AJ21="DUBBEL"),"ONGELDIG","GOED"),"ONGELDIG"),"ONGELDIG"))</f>
        <v>LEEG</v>
      </c>
      <c r="AM20" s="6" t="str">
        <f>IF(ISBLANK(W20),"LEEG",IF(TYPE(W20)=1,IF(AND(W20&lt;10,W20&gt;=0),IF(W20=ROUND(W20,0),"GOED","ONGELDIG"),"ONGELDIG"),"ONGELDIG"))</f>
        <v>LEEG</v>
      </c>
      <c r="AN20" s="6" t="str">
        <f>IF(ISBLANK(Y20),"LEEG",IF(TYPE(Y20)=1,IF(AND(Y20&lt;10,Y20&gt;=0),IF(Y20=ROUND(Y20,0),"GOED","ONGELDIG"),"ONGELDIG"),"ONGELDIG"))</f>
        <v>LEEG</v>
      </c>
      <c r="AO20" s="201" t="str">
        <f>IF(AK20="GOED",IF(AL20="GOED",IF(AM20="GOED",IF(AN20="GOED",AD20&amp;AF20&amp;W20&amp;Y20&amp;"|","FOUT"),"FOUT"),"FOUT"),"FOUT")</f>
        <v>FOUT</v>
      </c>
      <c r="AP20" s="203">
        <f>LEN(AO20)</f>
        <v>4</v>
      </c>
      <c r="AQ20" s="368" t="str">
        <f ca="1">VLOOKUP(AR20,Voorblad!$X$67:$Z$98,2,FALSE)</f>
        <v>Finland</v>
      </c>
      <c r="AR20" s="370" t="str">
        <f>AR18&amp;2</f>
        <v>B2</v>
      </c>
      <c r="AS20" s="368" t="str">
        <f ca="1">VLOOKUP(AT20,Voorblad!$X$67:$Z$98,2,FALSE)</f>
        <v>Portugal</v>
      </c>
      <c r="AT20" s="370" t="str">
        <f t="shared" ca="1" si="0"/>
        <v>F2</v>
      </c>
      <c r="AU20" s="368" t="str">
        <f ca="1">VLOOKUP(AV20,Voorblad!$X$67:$Z$98,2,FALSE)</f>
        <v>Polen</v>
      </c>
      <c r="AV20" s="370" t="str">
        <f t="shared" ca="1" si="1"/>
        <v>E3</v>
      </c>
      <c r="AW20" s="368" t="str">
        <f ca="1">VLOOKUP(AX20,Voorblad!$X$67:$Z$98,2,FALSE)</f>
        <v>Oekraïne</v>
      </c>
      <c r="AX20" s="370" t="str">
        <f t="shared" ca="1" si="2"/>
        <v>C2</v>
      </c>
      <c r="AY20" s="368" t="str">
        <f ca="1">VLOOKUP(AZ20,Voorblad!$X$67:$Z$98,2,FALSE)</f>
        <v>Nederland</v>
      </c>
      <c r="AZ20" s="370" t="str">
        <f t="shared" ca="1" si="3"/>
        <v>C1</v>
      </c>
      <c r="BA20" s="817">
        <f t="shared" si="4"/>
        <v>14</v>
      </c>
    </row>
    <row r="21" spans="1:53" ht="18.899999999999999" customHeight="1" x14ac:dyDescent="0.5">
      <c r="A21" s="220"/>
      <c r="B21" s="79"/>
      <c r="C21" s="9"/>
      <c r="D21" s="463"/>
      <c r="E21" s="463"/>
      <c r="F21" s="463"/>
      <c r="G21" s="1224" t="str">
        <f ca="1">IF($AB$9=1," "&amp;AC21,IF($AB$9=2,IF(AC20="OO"," "&amp;AC21,""),""))</f>
        <v xml:space="preserve"> </v>
      </c>
      <c r="H21" s="1224"/>
      <c r="I21" s="1224"/>
      <c r="J21" s="1224"/>
      <c r="K21" s="1224"/>
      <c r="L21" s="1224"/>
      <c r="M21" s="463"/>
      <c r="N21" s="463"/>
      <c r="O21" s="1224" t="str">
        <f ca="1">IF($AB$9=1," "&amp;AE21,IF($AB$9=2,IF(AE20="OO"," "&amp;AE21,""),""))</f>
        <v xml:space="preserve"> </v>
      </c>
      <c r="P21" s="1224"/>
      <c r="Q21" s="1224"/>
      <c r="R21" s="1224"/>
      <c r="S21" s="1224"/>
      <c r="T21" s="1224"/>
      <c r="U21" s="1224"/>
      <c r="V21" s="72"/>
      <c r="W21" s="444"/>
      <c r="X21" s="72"/>
      <c r="Y21" s="444"/>
      <c r="Z21" s="219"/>
      <c r="AA21" s="79"/>
      <c r="AB21" s="12"/>
      <c r="AC21" s="1231" t="str">
        <f ca="1">AM89</f>
        <v/>
      </c>
      <c r="AD21" s="1231"/>
      <c r="AE21" s="1231" t="str">
        <f ca="1">AO89</f>
        <v/>
      </c>
      <c r="AF21" s="1231"/>
      <c r="AG21" s="873" t="str">
        <f>IF(AO20="FOUT","",IF(W20&gt;Y20,AC20,IF(W20&lt;Y20,AE20,AC20&amp;AE20)))</f>
        <v/>
      </c>
      <c r="AH21" s="513" t="str">
        <f>IF(AD20="LEEG","LEEG",IF(AD20= "FOUT","ONGELDIG",IF(LEN(SUBSTITUTE(SUBSTITUTE("|"&amp;$AD$14&amp;"|"&amp;$AF$14&amp;"|"&amp;$AD$16&amp;"|"&amp;$AF$16&amp;"|"&amp;$AD$18&amp;"|"&amp;$AF$18&amp;"|"&amp;$AD$20&amp;"|"&amp;$AF$20&amp;"|"&amp;$AD$22&amp;"|"&amp;$AF$22&amp;"|"&amp;$AD$24&amp;"|"&amp;$AF$24&amp;"|"&amp;$AD$26&amp;"|"&amp;$AF$26&amp;"|"&amp;$AD$28&amp;"|"&amp;$AF$28&amp;"|","LEEG","##"),AD20,"CONTROLE"))=$AJ$30,"GOED","DUBBEL")))</f>
        <v>LEEG</v>
      </c>
      <c r="AI21" s="12"/>
      <c r="AJ21" s="513" t="str">
        <f>IF(AF20="LEEG","LEEG",IF(AF20= "FOUT","ONGELDIG",IF(LEN(SUBSTITUTE(SUBSTITUTE("|"&amp;$AD$14&amp;"|"&amp;$AF$14&amp;"|"&amp;$AD$16&amp;"|"&amp;$AF$16&amp;"|"&amp;$AD$18&amp;"|"&amp;$AF$18&amp;"|"&amp;$AD$20&amp;"|"&amp;$AF$20&amp;"|"&amp;$AD$22&amp;"|"&amp;$AF$22&amp;"|"&amp;$AD$24&amp;"|"&amp;$AF$24&amp;"|"&amp;$AD$26&amp;"|"&amp;$AF$26&amp;"|"&amp;$AD$28&amp;"|"&amp;$AF$28&amp;"|","LEEG","##"),AF20,"CONTROLE"))=$AJ$30,"GOED","DUBBEL")))</f>
        <v>LEEG</v>
      </c>
      <c r="AK21" s="171"/>
      <c r="AL21" s="171"/>
      <c r="AM21" s="171"/>
      <c r="AN21" s="171"/>
      <c r="AO21" s="171"/>
      <c r="AP21" s="203"/>
      <c r="AQ21" s="368" t="str">
        <f ca="1">VLOOKUP(AR21,Voorblad!$X$67:$Z$98,2,FALSE)</f>
        <v>België</v>
      </c>
      <c r="AR21" s="370" t="str">
        <f>AR18&amp;3</f>
        <v>B3</v>
      </c>
      <c r="AS21" s="368" t="str">
        <f ca="1">VLOOKUP(AT21,Voorblad!$X$67:$Z$98,2,FALSE)</f>
        <v>Schotland</v>
      </c>
      <c r="AT21" s="370" t="str">
        <f t="shared" ca="1" si="0"/>
        <v>D3</v>
      </c>
      <c r="AU21" s="368" t="str">
        <f ca="1">VLOOKUP(AV21,Voorblad!$X$67:$Z$98,2,FALSE)</f>
        <v>Portugal</v>
      </c>
      <c r="AV21" s="370" t="str">
        <f t="shared" ca="1" si="1"/>
        <v>F2</v>
      </c>
      <c r="AW21" s="368" t="str">
        <f ca="1">VLOOKUP(AX21,Voorblad!$X$67:$Z$98,2,FALSE)</f>
        <v>Oostenrijk</v>
      </c>
      <c r="AX21" s="370" t="str">
        <f t="shared" ca="1" si="2"/>
        <v>C3</v>
      </c>
      <c r="AY21" s="368" t="str">
        <f ca="1">VLOOKUP(AZ21,Voorblad!$X$67:$Z$98,2,FALSE)</f>
        <v>N.-Macedonië</v>
      </c>
      <c r="AZ21" s="370" t="str">
        <f t="shared" ca="1" si="3"/>
        <v>C4</v>
      </c>
      <c r="BA21" s="817">
        <f t="shared" si="4"/>
        <v>16</v>
      </c>
    </row>
    <row r="22" spans="1:53" ht="15" customHeight="1" x14ac:dyDescent="0.3">
      <c r="A22" s="220"/>
      <c r="B22" s="79"/>
      <c r="C22" s="9"/>
      <c r="D22" s="14">
        <f>D20+3</f>
        <v>42</v>
      </c>
      <c r="E22" s="23">
        <f>E18+1</f>
        <v>44375.75</v>
      </c>
      <c r="F22" s="161">
        <f>E22+TIME(0,0,0)</f>
        <v>44375.75</v>
      </c>
      <c r="G22" s="1223" t="str">
        <f ca="1">" "&amp;Taal04!$B$75&amp;" D"</f>
        <v xml:space="preserve"> Nr.2 Groep D</v>
      </c>
      <c r="H22" s="1223"/>
      <c r="I22" s="1223"/>
      <c r="J22" s="1223"/>
      <c r="K22" s="1223"/>
      <c r="L22" s="812"/>
      <c r="M22" s="810"/>
      <c r="N22" s="811" t="str">
        <f>IF(AK22="LEEG","▼   ","")&amp;"-  "</f>
        <v xml:space="preserve">▼   -  </v>
      </c>
      <c r="O22" s="1223" t="str">
        <f ca="1">" "&amp;Taal04!$B$75&amp;" E"</f>
        <v xml:space="preserve"> Nr.2 Groep E</v>
      </c>
      <c r="P22" s="1223"/>
      <c r="Q22" s="1223"/>
      <c r="R22" s="1223"/>
      <c r="S22" s="1223"/>
      <c r="T22" s="1223"/>
      <c r="U22" s="812"/>
      <c r="V22" s="811" t="str">
        <f>IF(AL22="LEEG","▼   ","")&amp;": "</f>
        <v xml:space="preserve">▼   : </v>
      </c>
      <c r="W22" s="900"/>
      <c r="X22" s="650" t="s">
        <v>12</v>
      </c>
      <c r="Y22" s="900"/>
      <c r="Z22" s="219"/>
      <c r="AA22" s="79"/>
      <c r="AB22" s="12"/>
      <c r="AC22" s="343" t="str">
        <f>IF(ISBLANK(L22),"OO",IF(TYPE(VLOOKUP(L22,Taal02!$C$100:$D$419,2,FALSE))=16,"XX",VLOOKUP(L22,Taal02!$C$100:$D$419,2,FALSE)))</f>
        <v>OO</v>
      </c>
      <c r="AD22" s="300" t="str">
        <f>IF(AC22="OO","LEEG",IF(AC22="XX","FOUT",VLOOKUP(AC22,Voorblad!$X$65:$Z$98,3,FALSE)))</f>
        <v>LEEG</v>
      </c>
      <c r="AE22" s="343" t="str">
        <f>IF(ISBLANK(U22),"OO",IF(TYPE(VLOOKUP(U22,Taal02!$C$100:$D$419,2,FALSE))=16,"XX",VLOOKUP(U22,Taal02!$C$100:$D$419,2,FALSE)))</f>
        <v>OO</v>
      </c>
      <c r="AF22" s="300" t="str">
        <f>IF(AE22="OO","LEEG",IF(AE22="XX","FOUT",VLOOKUP(AE22,Voorblad!$X$65:$Z$98,3,FALSE)))</f>
        <v>LEEG</v>
      </c>
      <c r="AG22" s="12"/>
      <c r="AH22" s="504" t="s">
        <v>122</v>
      </c>
      <c r="AI22" s="504" t="s">
        <v>12</v>
      </c>
      <c r="AJ22" s="504" t="s">
        <v>126</v>
      </c>
      <c r="AK22" s="6" t="str">
        <f>IF(AD22="LEEG","LEEG",IF(TYPE(AD22)=2,IF(LEN(AD22)=2,IF(AND($AI$11=0,AH23="DUBBEL"),"ONGELDIG","GOED"),"ONGELDIG"),"ONGELDIG"))</f>
        <v>LEEG</v>
      </c>
      <c r="AL22" s="6" t="str">
        <f>IF(AF22="LEEG","LEEG",IF(TYPE(AF22)=2,IF(LEN(AF22)=2,IF(AND($AI$11=0,AJ23="DUBBEL"),"ONGELDIG","GOED"),"ONGELDIG"),"ONGELDIG"))</f>
        <v>LEEG</v>
      </c>
      <c r="AM22" s="6" t="str">
        <f>IF(ISBLANK(W22),"LEEG",IF(TYPE(W22)=1,IF(AND(W22&lt;10,W22&gt;=0),IF(W22=ROUND(W22,0),"GOED","ONGELDIG"),"ONGELDIG"),"ONGELDIG"))</f>
        <v>LEEG</v>
      </c>
      <c r="AN22" s="6" t="str">
        <f>IF(ISBLANK(Y22),"LEEG",IF(TYPE(Y22)=1,IF(AND(Y22&lt;10,Y22&gt;=0),IF(Y22=ROUND(Y22,0),"GOED","ONGELDIG"),"ONGELDIG"),"ONGELDIG"))</f>
        <v>LEEG</v>
      </c>
      <c r="AO22" s="201" t="str">
        <f>IF(AK22="GOED",IF(AL22="GOED",IF(AM22="GOED",IF(AN22="GOED",AD22&amp;AF22&amp;W22&amp;Y22&amp;"|","FOUT"),"FOUT"),"FOUT"),"FOUT")</f>
        <v>FOUT</v>
      </c>
      <c r="AP22" s="203">
        <f>LEN(AO22)</f>
        <v>4</v>
      </c>
      <c r="AQ22" s="371" t="str">
        <f ca="1">VLOOKUP(AR22,Voorblad!$X$67:$Z$98,2,FALSE)</f>
        <v>Rusland</v>
      </c>
      <c r="AR22" s="373" t="str">
        <f>AR18&amp;4</f>
        <v>B4</v>
      </c>
      <c r="AS22" s="368" t="str">
        <f ca="1">VLOOKUP(AT22,Voorblad!$X$67:$Z$98,2,FALSE)</f>
        <v>Slowakije</v>
      </c>
      <c r="AT22" s="370" t="str">
        <f t="shared" ca="1" si="0"/>
        <v>E4</v>
      </c>
      <c r="AU22" s="368" t="str">
        <f ca="1">VLOOKUP(AV22,Voorblad!$X$67:$Z$98,2,FALSE)</f>
        <v>Schotland</v>
      </c>
      <c r="AV22" s="370" t="str">
        <f t="shared" ca="1" si="1"/>
        <v>D3</v>
      </c>
      <c r="AW22" s="368" t="str">
        <f ca="1">VLOOKUP(AX22,Voorblad!$X$67:$Z$98,2,FALSE)</f>
        <v>Rusland</v>
      </c>
      <c r="AX22" s="370" t="str">
        <f t="shared" ca="1" si="2"/>
        <v>B4</v>
      </c>
      <c r="AY22" s="368" t="str">
        <f ca="1">VLOOKUP(AZ22,Voorblad!$X$67:$Z$98,2,FALSE)</f>
        <v>Oekraïne</v>
      </c>
      <c r="AZ22" s="370" t="str">
        <f t="shared" ca="1" si="3"/>
        <v>C2</v>
      </c>
      <c r="BA22" s="817">
        <f t="shared" si="4"/>
        <v>18</v>
      </c>
    </row>
    <row r="23" spans="1:53" ht="18.899999999999999" customHeight="1" x14ac:dyDescent="0.3">
      <c r="A23" s="220"/>
      <c r="B23" s="79"/>
      <c r="C23" s="9"/>
      <c r="D23" s="463"/>
      <c r="E23" s="463"/>
      <c r="F23" s="463"/>
      <c r="G23" s="1224" t="str">
        <f ca="1">IF($AB$9=1," "&amp;AC23,IF($AB$9=2,IF(AC22="OO"," "&amp;AC23,""),""))</f>
        <v xml:space="preserve"> </v>
      </c>
      <c r="H23" s="1224"/>
      <c r="I23" s="1224"/>
      <c r="J23" s="1224"/>
      <c r="K23" s="1224"/>
      <c r="L23" s="1224"/>
      <c r="M23" s="463"/>
      <c r="N23" s="463"/>
      <c r="O23" s="1224" t="str">
        <f ca="1">IF($AB$9=1," "&amp;AE23,IF($AB$9=2,IF(AE22="OO"," "&amp;AE23,""),""))</f>
        <v xml:space="preserve"> </v>
      </c>
      <c r="P23" s="1224"/>
      <c r="Q23" s="1224"/>
      <c r="R23" s="1224"/>
      <c r="S23" s="1224"/>
      <c r="T23" s="1224"/>
      <c r="U23" s="1224"/>
      <c r="V23" s="72"/>
      <c r="W23" s="444"/>
      <c r="X23" s="58"/>
      <c r="Y23" s="444"/>
      <c r="Z23" s="219"/>
      <c r="AA23" s="79"/>
      <c r="AB23" s="12"/>
      <c r="AC23" s="1231" t="str">
        <f ca="1">AM90</f>
        <v/>
      </c>
      <c r="AD23" s="1231"/>
      <c r="AE23" s="1231" t="str">
        <f ca="1">AO90</f>
        <v/>
      </c>
      <c r="AF23" s="1231"/>
      <c r="AG23" s="873" t="str">
        <f>IF(AO22="FOUT","",IF(W22&gt;Y22,AC22,IF(W22&lt;Y22,AE22,AC22&amp;AE22)))</f>
        <v/>
      </c>
      <c r="AH23" s="513" t="str">
        <f>IF(AD22="LEEG","LEEG",IF(AD22= "FOUT","ONGELDIG",IF(LEN(SUBSTITUTE(SUBSTITUTE("|"&amp;$AD$14&amp;"|"&amp;$AF$14&amp;"|"&amp;$AD$16&amp;"|"&amp;$AF$16&amp;"|"&amp;$AD$18&amp;"|"&amp;$AF$18&amp;"|"&amp;$AD$20&amp;"|"&amp;$AF$20&amp;"|"&amp;$AD$22&amp;"|"&amp;$AF$22&amp;"|"&amp;$AD$24&amp;"|"&amp;$AF$24&amp;"|"&amp;$AD$26&amp;"|"&amp;$AF$26&amp;"|"&amp;$AD$28&amp;"|"&amp;$AF$28&amp;"|","LEEG","##"),AD22,"CONTROLE"))=$AJ$30,"GOED","DUBBEL")))</f>
        <v>LEEG</v>
      </c>
      <c r="AI23" s="12"/>
      <c r="AJ23" s="513" t="str">
        <f>IF(AF22="LEEG","LEEG",IF(AF22= "FOUT","ONGELDIG",IF(LEN(SUBSTITUTE(SUBSTITUTE("|"&amp;$AD$14&amp;"|"&amp;$AF$14&amp;"|"&amp;$AD$16&amp;"|"&amp;$AF$16&amp;"|"&amp;$AD$18&amp;"|"&amp;$AF$18&amp;"|"&amp;$AD$20&amp;"|"&amp;$AF$20&amp;"|"&amp;$AD$22&amp;"|"&amp;$AF$22&amp;"|"&amp;$AD$24&amp;"|"&amp;$AF$24&amp;"|"&amp;$AD$26&amp;"|"&amp;$AF$26&amp;"|"&amp;$AD$28&amp;"|"&amp;$AF$28&amp;"|","LEEG","##"),AF22,"CONTROLE"))=$AJ$30,"GOED","DUBBEL")))</f>
        <v>LEEG</v>
      </c>
      <c r="AK23" s="6"/>
      <c r="AL23" s="6"/>
      <c r="AM23" s="6"/>
      <c r="AN23" s="6"/>
      <c r="AO23" s="201"/>
      <c r="AP23" s="203"/>
      <c r="AQ23" s="364"/>
      <c r="AR23" s="366" t="s">
        <v>4</v>
      </c>
      <c r="AS23" s="368" t="str">
        <f ca="1">VLOOKUP(AT23,Voorblad!$X$67:$Z$98,2,FALSE)</f>
        <v>Spanje</v>
      </c>
      <c r="AT23" s="370" t="str">
        <f t="shared" ca="1" si="0"/>
        <v>E1</v>
      </c>
      <c r="AU23" s="368" t="str">
        <f ca="1">VLOOKUP(AV23,Voorblad!$X$67:$Z$98,2,FALSE)</f>
        <v>Slowakije</v>
      </c>
      <c r="AV23" s="370" t="str">
        <f t="shared" ca="1" si="1"/>
        <v>E4</v>
      </c>
      <c r="AW23" s="368" t="str">
        <f ca="1">VLOOKUP(AX23,Voorblad!$X$67:$Z$98,2,FALSE)</f>
        <v>Turkije</v>
      </c>
      <c r="AX23" s="370" t="str">
        <f t="shared" ca="1" si="2"/>
        <v>A1</v>
      </c>
      <c r="AY23" s="368" t="str">
        <f ca="1">VLOOKUP(AZ23,Voorblad!$X$67:$Z$98,2,FALSE)</f>
        <v>Oostenrijk</v>
      </c>
      <c r="AZ23" s="370" t="str">
        <f t="shared" ca="1" si="3"/>
        <v>C3</v>
      </c>
      <c r="BA23" s="817">
        <f t="shared" si="4"/>
        <v>20</v>
      </c>
    </row>
    <row r="24" spans="1:53" ht="15" customHeight="1" x14ac:dyDescent="0.3">
      <c r="A24" s="220"/>
      <c r="B24" s="79"/>
      <c r="C24" s="9"/>
      <c r="D24" s="14">
        <f>D22-1</f>
        <v>41</v>
      </c>
      <c r="E24" s="23">
        <f>E20+1</f>
        <v>44375.875</v>
      </c>
      <c r="F24" s="161">
        <f>E24+TIME(0,0,0)</f>
        <v>44375.875</v>
      </c>
      <c r="G24" s="1223" t="str">
        <f ca="1">" "&amp;Taal04!$B$74&amp;" F"</f>
        <v xml:space="preserve"> Nr.1 Groep F</v>
      </c>
      <c r="H24" s="1223"/>
      <c r="I24" s="1223"/>
      <c r="J24" s="1223"/>
      <c r="K24" s="1223"/>
      <c r="L24" s="812"/>
      <c r="M24" s="810"/>
      <c r="N24" s="811" t="str">
        <f>IF(AK24="LEEG","▼   ","")&amp;"-  "</f>
        <v xml:space="preserve">▼   -  </v>
      </c>
      <c r="O24" s="1223" t="str">
        <f ca="1">" "&amp;Taal04!$B$76&amp;" A/B/C ¹"</f>
        <v xml:space="preserve"> Nr.3 Groep A/B/C ¹</v>
      </c>
      <c r="P24" s="1223"/>
      <c r="Q24" s="1223"/>
      <c r="R24" s="1223"/>
      <c r="S24" s="1223"/>
      <c r="T24" s="1223"/>
      <c r="U24" s="813"/>
      <c r="V24" s="811" t="str">
        <f>IF(AL24="LEEG","▼   ","")&amp;": "</f>
        <v xml:space="preserve">▼   : </v>
      </c>
      <c r="W24" s="900"/>
      <c r="X24" s="650" t="s">
        <v>12</v>
      </c>
      <c r="Y24" s="900"/>
      <c r="Z24" s="219"/>
      <c r="AA24" s="79"/>
      <c r="AB24" s="12"/>
      <c r="AC24" s="343" t="str">
        <f>IF(ISBLANK(L24),"OO",IF(TYPE(VLOOKUP(L24,Taal02!$C$100:$D$419,2,FALSE))=16,"XX",VLOOKUP(L24,Taal02!$C$100:$D$419,2,FALSE)))</f>
        <v>OO</v>
      </c>
      <c r="AD24" s="300" t="str">
        <f>IF(AC24="OO","LEEG",IF(AC24="XX","FOUT",VLOOKUP(AC24,Voorblad!$X$65:$Z$98,3,FALSE)))</f>
        <v>LEEG</v>
      </c>
      <c r="AE24" s="343" t="str">
        <f>IF(ISBLANK(U24),"OO",IF(TYPE(VLOOKUP(U24,Taal02!$C$100:$D$419,2,FALSE))=16,"XX",VLOOKUP(U24,Taal02!$C$100:$D$419,2,FALSE)))</f>
        <v>OO</v>
      </c>
      <c r="AF24" s="300" t="str">
        <f>IF(AE24="OO","LEEG",IF(AE24="XX","FOUT",VLOOKUP(AE24,Voorblad!$X$65:$Z$98,3,FALSE)))</f>
        <v>LEEG</v>
      </c>
      <c r="AG24" s="12"/>
      <c r="AH24" s="504" t="s">
        <v>130</v>
      </c>
      <c r="AI24" s="504" t="s">
        <v>12</v>
      </c>
      <c r="AJ24" s="504" t="s">
        <v>1036</v>
      </c>
      <c r="AK24" s="6" t="str">
        <f>IF(AD24="LEEG","LEEG",IF(TYPE(AD24)=2,IF(LEN(AD24)=2,IF(AND($AI$11=0,AH25="DUBBEL"),"ONGELDIG","GOED"),"ONGELDIG"),"ONGELDIG"))</f>
        <v>LEEG</v>
      </c>
      <c r="AL24" s="6" t="str">
        <f>IF(AF24="LEEG","LEEG",IF(TYPE(AF24)=2,IF(LEN(AF24)=2,IF(AND($AI$11=0,AJ25="DUBBEL"),"ONGELDIG","GOED"),"ONGELDIG"),"ONGELDIG"))</f>
        <v>LEEG</v>
      </c>
      <c r="AM24" s="6" t="str">
        <f>IF(ISBLANK(W24),"LEEG",IF(TYPE(W24)=1,IF(AND(W24&lt;10,W24&gt;=0),IF(W24=ROUND(W24,0),"GOED","ONGELDIG"),"ONGELDIG"),"ONGELDIG"))</f>
        <v>LEEG</v>
      </c>
      <c r="AN24" s="6" t="str">
        <f>IF(ISBLANK(Y24),"LEEG",IF(TYPE(Y24)=1,IF(AND(Y24&lt;10,Y24&gt;=0),IF(Y24=ROUND(Y24,0),"GOED","ONGELDIG"),"ONGELDIG"),"ONGELDIG"))</f>
        <v>LEEG</v>
      </c>
      <c r="AO24" s="201" t="str">
        <f>IF(AK24="GOED",IF(AL24="GOED",IF(AM24="GOED",IF(AN24="GOED",AD24&amp;AF24&amp;W24&amp;Y24&amp;"|","FOUT"),"FOUT"),"FOUT"),"FOUT")</f>
        <v>FOUT</v>
      </c>
      <c r="AP24" s="203">
        <f>LEN(AO24)</f>
        <v>4</v>
      </c>
      <c r="AQ24" s="368" t="str">
        <f ca="1">VLOOKUP(AR24,Voorblad!$X$67:$Z$98,2,FALSE)</f>
        <v>Nederland</v>
      </c>
      <c r="AR24" s="370" t="str">
        <f>AR23&amp;1</f>
        <v>C1</v>
      </c>
      <c r="AS24" s="368" t="str">
        <f ca="1">VLOOKUP(AT24,Voorblad!$X$67:$Z$98,2,FALSE)</f>
        <v>Tsjechië</v>
      </c>
      <c r="AT24" s="370" t="str">
        <f t="shared" ca="1" si="0"/>
        <v>D4</v>
      </c>
      <c r="AU24" s="368" t="str">
        <f ca="1">VLOOKUP(AV24,Voorblad!$X$67:$Z$98,2,FALSE)</f>
        <v>Spanje</v>
      </c>
      <c r="AV24" s="370" t="str">
        <f t="shared" ca="1" si="1"/>
        <v>E1</v>
      </c>
      <c r="AW24" s="368" t="str">
        <f ca="1">VLOOKUP(AX24,Voorblad!$X$67:$Z$98,2,FALSE)</f>
        <v>Wales</v>
      </c>
      <c r="AX24" s="370" t="str">
        <f t="shared" ca="1" si="2"/>
        <v>A3</v>
      </c>
      <c r="AY24" s="368" t="str">
        <f ca="1">VLOOKUP(AZ24,Voorblad!$X$67:$Z$98,2,FALSE)</f>
        <v>Rusland</v>
      </c>
      <c r="AZ24" s="370" t="str">
        <f t="shared" ca="1" si="3"/>
        <v>B4</v>
      </c>
      <c r="BA24" s="817">
        <f t="shared" si="4"/>
        <v>22</v>
      </c>
    </row>
    <row r="25" spans="1:53" ht="18.899999999999999" customHeight="1" x14ac:dyDescent="0.3">
      <c r="A25" s="220"/>
      <c r="B25" s="79"/>
      <c r="C25" s="9"/>
      <c r="D25" s="463"/>
      <c r="E25" s="463"/>
      <c r="F25" s="463"/>
      <c r="G25" s="1224" t="str">
        <f ca="1">IF($AB$9=1," "&amp;AC25,IF($AB$9=2,IF(AC24="OO"," "&amp;AC25,""),""))</f>
        <v xml:space="preserve"> </v>
      </c>
      <c r="H25" s="1224"/>
      <c r="I25" s="1224"/>
      <c r="J25" s="1224"/>
      <c r="K25" s="1224"/>
      <c r="L25" s="1224"/>
      <c r="M25" s="463"/>
      <c r="N25" s="463"/>
      <c r="O25" s="1224" t="str">
        <f ca="1">IF($AB$9=1," "&amp;AE25,IF($AB$9=2,IF(AE24="OO"," "&amp;AE25,""),""))</f>
        <v xml:space="preserve"> </v>
      </c>
      <c r="P25" s="1224"/>
      <c r="Q25" s="1224"/>
      <c r="R25" s="1224"/>
      <c r="S25" s="1224"/>
      <c r="T25" s="1224"/>
      <c r="U25" s="1224"/>
      <c r="V25" s="72"/>
      <c r="W25" s="444"/>
      <c r="X25" s="58"/>
      <c r="Y25" s="444"/>
      <c r="Z25" s="219"/>
      <c r="AA25" s="79"/>
      <c r="AB25" s="12"/>
      <c r="AC25" s="1231" t="str">
        <f ca="1">AM91</f>
        <v/>
      </c>
      <c r="AD25" s="1231"/>
      <c r="AE25" s="1231" t="str">
        <f ca="1">AO91</f>
        <v/>
      </c>
      <c r="AF25" s="1231"/>
      <c r="AG25" s="873" t="str">
        <f>IF(AO24="FOUT","",IF(W24&gt;Y24,AC24,IF(W24&lt;Y24,AE24,AC24&amp;AE24)))</f>
        <v/>
      </c>
      <c r="AH25" s="513" t="str">
        <f>IF(AD24="LEEG","LEEG",IF(AD24= "FOUT","ONGELDIG",IF(LEN(SUBSTITUTE(SUBSTITUTE("|"&amp;$AD$14&amp;"|"&amp;$AF$14&amp;"|"&amp;$AD$16&amp;"|"&amp;$AF$16&amp;"|"&amp;$AD$18&amp;"|"&amp;$AF$18&amp;"|"&amp;$AD$20&amp;"|"&amp;$AF$20&amp;"|"&amp;$AD$22&amp;"|"&amp;$AF$22&amp;"|"&amp;$AD$24&amp;"|"&amp;$AF$24&amp;"|"&amp;$AD$26&amp;"|"&amp;$AF$26&amp;"|"&amp;$AD$28&amp;"|"&amp;$AF$28&amp;"|","LEEG","##"),AD24,"CONTROLE"))=$AJ$30,"GOED","DUBBEL")))</f>
        <v>LEEG</v>
      </c>
      <c r="AI25" s="12"/>
      <c r="AJ25" s="513" t="str">
        <f>IF(AF24="LEEG","LEEG",IF(AF24= "FOUT","ONGELDIG",IF(LEN(SUBSTITUTE(SUBSTITUTE("|"&amp;$AD$14&amp;"|"&amp;$AF$14&amp;"|"&amp;$AD$16&amp;"|"&amp;$AF$16&amp;"|"&amp;$AD$18&amp;"|"&amp;$AF$18&amp;"|"&amp;$AD$20&amp;"|"&amp;$AF$20&amp;"|"&amp;$AD$22&amp;"|"&amp;$AF$22&amp;"|"&amp;$AD$24&amp;"|"&amp;$AF$24&amp;"|"&amp;$AD$26&amp;"|"&amp;$AF$26&amp;"|"&amp;$AD$28&amp;"|"&amp;$AF$28&amp;"|","LEEG","##"),AF24,"CONTROLE"))=$AJ$30,"GOED","DUBBEL")))</f>
        <v>LEEG</v>
      </c>
      <c r="AK25" s="6"/>
      <c r="AL25" s="6"/>
      <c r="AM25" s="6"/>
      <c r="AN25" s="6"/>
      <c r="AO25" s="201"/>
      <c r="AP25" s="203"/>
      <c r="AQ25" s="368" t="str">
        <f ca="1">VLOOKUP(AR25,Voorblad!$X$67:$Z$98,2,FALSE)</f>
        <v>Oekraïne</v>
      </c>
      <c r="AR25" s="370" t="str">
        <f>AR23&amp;2</f>
        <v>C2</v>
      </c>
      <c r="AS25" s="368" t="str">
        <f ca="1">VLOOKUP(AT25,Voorblad!$X$67:$Z$98,2,FALSE)</f>
        <v>Zweden</v>
      </c>
      <c r="AT25" s="370" t="str">
        <f t="shared" ca="1" si="0"/>
        <v>E2</v>
      </c>
      <c r="AU25" s="368" t="str">
        <f ca="1">VLOOKUP(AV25,Voorblad!$X$67:$Z$98,2,FALSE)</f>
        <v>Tsjechië</v>
      </c>
      <c r="AV25" s="370" t="str">
        <f t="shared" ca="1" si="1"/>
        <v>D4</v>
      </c>
      <c r="AW25" s="368" t="str">
        <f ca="1">VLOOKUP(AX25,Voorblad!$X$67:$Z$98,2,FALSE)</f>
        <v>Zwitserland</v>
      </c>
      <c r="AX25" s="370" t="str">
        <f t="shared" ca="1" si="2"/>
        <v>A4</v>
      </c>
      <c r="AY25" s="368" t="str">
        <f ca="1">VLOOKUP(AZ25,Voorblad!$X$67:$Z$98,2,FALSE)</f>
        <v>Schotland</v>
      </c>
      <c r="AZ25" s="370" t="str">
        <f t="shared" ca="1" si="3"/>
        <v>D3</v>
      </c>
      <c r="BA25" s="817">
        <f t="shared" si="4"/>
        <v>24</v>
      </c>
    </row>
    <row r="26" spans="1:53" ht="15" customHeight="1" x14ac:dyDescent="0.3">
      <c r="A26" s="220"/>
      <c r="B26" s="79"/>
      <c r="C26" s="9"/>
      <c r="D26" s="14">
        <f>D24+3</f>
        <v>44</v>
      </c>
      <c r="E26" s="23">
        <f>E22+1</f>
        <v>44376.75</v>
      </c>
      <c r="F26" s="161">
        <f>E26+TIME(0,0,0)</f>
        <v>44376.75</v>
      </c>
      <c r="G26" s="1223" t="str">
        <f ca="1">" "&amp;Taal04!$B$74&amp;" D"</f>
        <v xml:space="preserve"> Nr.1 Groep D</v>
      </c>
      <c r="H26" s="1223"/>
      <c r="I26" s="1223"/>
      <c r="J26" s="1223"/>
      <c r="K26" s="1223"/>
      <c r="L26" s="812"/>
      <c r="M26" s="810"/>
      <c r="N26" s="811" t="str">
        <f>IF(AK26="LEEG","▼   ","")&amp;"-  "</f>
        <v xml:space="preserve">▼   -  </v>
      </c>
      <c r="O26" s="1223" t="str">
        <f ca="1">" "&amp;Taal04!$B$75&amp;" F"</f>
        <v xml:space="preserve"> Nr.2 Groep F</v>
      </c>
      <c r="P26" s="1223"/>
      <c r="Q26" s="1223"/>
      <c r="R26" s="1223"/>
      <c r="S26" s="1223"/>
      <c r="T26" s="1223"/>
      <c r="U26" s="812"/>
      <c r="V26" s="811" t="str">
        <f>IF(AL26="LEEG","▼   ","")&amp;": "</f>
        <v xml:space="preserve">▼   : </v>
      </c>
      <c r="W26" s="900"/>
      <c r="X26" s="650" t="s">
        <v>12</v>
      </c>
      <c r="Y26" s="900"/>
      <c r="Z26" s="219"/>
      <c r="AA26" s="79"/>
      <c r="AB26" s="12"/>
      <c r="AC26" s="343" t="str">
        <f>IF(ISBLANK(L26),"OO",IF(TYPE(VLOOKUP(L26,Taal02!$C$100:$D$419,2,FALSE))=16,"XX",VLOOKUP(L26,Taal02!$C$100:$D$419,2,FALSE)))</f>
        <v>OO</v>
      </c>
      <c r="AD26" s="300" t="str">
        <f>IF(AC26="OO","LEEG",IF(AC26="XX","FOUT",VLOOKUP(AC26,Voorblad!$X$65:$Z$98,3,FALSE)))</f>
        <v>LEEG</v>
      </c>
      <c r="AE26" s="343" t="str">
        <f>IF(ISBLANK(U26),"OO",IF(TYPE(VLOOKUP(U26,Taal02!$C$100:$D$419,2,FALSE))=16,"XX",VLOOKUP(U26,Taal02!$C$100:$D$419,2,FALSE)))</f>
        <v>OO</v>
      </c>
      <c r="AF26" s="300" t="str">
        <f>IF(AE26="OO","LEEG",IF(AE26="XX","FOUT",VLOOKUP(AE26,Voorblad!$X$65:$Z$98,3,FALSE)))</f>
        <v>LEEG</v>
      </c>
      <c r="AG26" s="12"/>
      <c r="AH26" s="504" t="s">
        <v>121</v>
      </c>
      <c r="AI26" s="504" t="s">
        <v>12</v>
      </c>
      <c r="AJ26" s="504" t="s">
        <v>131</v>
      </c>
      <c r="AK26" s="6" t="str">
        <f>IF(AD26="LEEG","LEEG",IF(TYPE(AD26)=2,IF(LEN(AD26)=2,IF(AND($AI$11=0,AH27="DUBBEL"),"ONGELDIG","GOED"),"ONGELDIG"),"ONGELDIG"))</f>
        <v>LEEG</v>
      </c>
      <c r="AL26" s="6" t="str">
        <f>IF(AF26="LEEG","LEEG",IF(TYPE(AF26)=2,IF(LEN(AF26)=2,IF(AND($AI$11=0,AJ27="DUBBEL"),"ONGELDIG","GOED"),"ONGELDIG"),"ONGELDIG"))</f>
        <v>LEEG</v>
      </c>
      <c r="AM26" s="6" t="str">
        <f>IF(ISBLANK(W26),"LEEG",IF(TYPE(W26)=1,IF(AND(W26&lt;10,W26&gt;=0),IF(W26=ROUND(W26,0),"GOED","ONGELDIG"),"ONGELDIG"),"ONGELDIG"))</f>
        <v>LEEG</v>
      </c>
      <c r="AN26" s="6" t="str">
        <f>IF(ISBLANK(Y26),"LEEG",IF(TYPE(Y26)=1,IF(AND(Y26&lt;10,Y26&gt;=0),IF(Y26=ROUND(Y26,0),"GOED","ONGELDIG"),"ONGELDIG"),"ONGELDIG"))</f>
        <v>LEEG</v>
      </c>
      <c r="AO26" s="201" t="str">
        <f>IF(AK26="GOED",IF(AL26="GOED",IF(AM26="GOED",IF(AN26="GOED",AD26&amp;AF26&amp;W26&amp;Y26&amp;"|","FOUT"),"FOUT"),"FOUT"),"FOUT")</f>
        <v>FOUT</v>
      </c>
      <c r="AP26" s="203">
        <f>LEN(AO26)</f>
        <v>4</v>
      </c>
      <c r="AQ26" s="368" t="str">
        <f ca="1">VLOOKUP(AR26,Voorblad!$X$67:$Z$98,2,FALSE)</f>
        <v>Oostenrijk</v>
      </c>
      <c r="AR26" s="370" t="str">
        <f>AR23&amp;3</f>
        <v>C3</v>
      </c>
      <c r="AS26" s="368"/>
      <c r="AT26" s="370"/>
      <c r="AU26" s="368" t="str">
        <f ca="1">VLOOKUP(AV26,Voorblad!$X$67:$Z$98,2,FALSE)</f>
        <v>Turkije</v>
      </c>
      <c r="AV26" s="370" t="str">
        <f t="shared" ca="1" si="1"/>
        <v>A1</v>
      </c>
      <c r="AW26" s="368"/>
      <c r="AX26" s="370"/>
      <c r="AY26" s="368" t="str">
        <f ca="1">VLOOKUP(AZ26,Voorblad!$X$67:$Z$98,2,FALSE)</f>
        <v>Tsjechië</v>
      </c>
      <c r="AZ26" s="370" t="str">
        <f t="shared" ca="1" si="3"/>
        <v>D4</v>
      </c>
      <c r="BA26" s="370">
        <f t="shared" si="4"/>
        <v>26</v>
      </c>
    </row>
    <row r="27" spans="1:53" ht="18.899999999999999" customHeight="1" x14ac:dyDescent="0.3">
      <c r="A27" s="220"/>
      <c r="B27" s="79"/>
      <c r="C27" s="9"/>
      <c r="D27" s="463"/>
      <c r="E27" s="463"/>
      <c r="F27" s="463"/>
      <c r="G27" s="1224" t="str">
        <f ca="1">IF($AB$9=1," "&amp;AC27,IF($AB$9=2,IF(AC26="OO"," "&amp;AC27,""),""))</f>
        <v xml:space="preserve"> </v>
      </c>
      <c r="H27" s="1224"/>
      <c r="I27" s="1224"/>
      <c r="J27" s="1224"/>
      <c r="K27" s="1224"/>
      <c r="L27" s="1224"/>
      <c r="M27" s="463"/>
      <c r="N27" s="463"/>
      <c r="O27" s="1224" t="str">
        <f ca="1">IF($AB$9=1," "&amp;AE27,IF($AB$9=2,IF(AE26="OO"," "&amp;AE27,""),""))</f>
        <v xml:space="preserve"> </v>
      </c>
      <c r="P27" s="1224"/>
      <c r="Q27" s="1224"/>
      <c r="R27" s="1224"/>
      <c r="S27" s="1224"/>
      <c r="T27" s="1224"/>
      <c r="U27" s="1224"/>
      <c r="V27" s="72"/>
      <c r="W27" s="444"/>
      <c r="X27" s="58"/>
      <c r="Y27" s="444"/>
      <c r="Z27" s="219"/>
      <c r="AA27" s="79"/>
      <c r="AB27" s="12"/>
      <c r="AC27" s="1231" t="str">
        <f ca="1">AM92</f>
        <v/>
      </c>
      <c r="AD27" s="1231"/>
      <c r="AE27" s="1231" t="str">
        <f ca="1">AO92</f>
        <v/>
      </c>
      <c r="AF27" s="1231"/>
      <c r="AG27" s="873" t="str">
        <f>IF(AO26="FOUT","",IF(W26&gt;Y26,AC26,IF(W26&lt;Y26,AE26,AC26&amp;AE26)))</f>
        <v/>
      </c>
      <c r="AH27" s="513" t="str">
        <f>IF(AD26="LEEG","LEEG",IF(AD26= "FOUT","ONGELDIG",IF(LEN(SUBSTITUTE(SUBSTITUTE("|"&amp;$AD$14&amp;"|"&amp;$AF$14&amp;"|"&amp;$AD$16&amp;"|"&amp;$AF$16&amp;"|"&amp;$AD$18&amp;"|"&amp;$AF$18&amp;"|"&amp;$AD$20&amp;"|"&amp;$AF$20&amp;"|"&amp;$AD$22&amp;"|"&amp;$AF$22&amp;"|"&amp;$AD$24&amp;"|"&amp;$AF$24&amp;"|"&amp;$AD$26&amp;"|"&amp;$AF$26&amp;"|"&amp;$AD$28&amp;"|"&amp;$AF$28&amp;"|","LEEG","##"),AD26,"CONTROLE"))=$AJ$30,"GOED","DUBBEL")))</f>
        <v>LEEG</v>
      </c>
      <c r="AI27" s="12"/>
      <c r="AJ27" s="513" t="str">
        <f>IF(AF26="LEEG","LEEG",IF(AF26= "FOUT","ONGELDIG",IF(LEN(SUBSTITUTE(SUBSTITUTE("|"&amp;$AD$14&amp;"|"&amp;$AF$14&amp;"|"&amp;$AD$16&amp;"|"&amp;$AF$16&amp;"|"&amp;$AD$18&amp;"|"&amp;$AF$18&amp;"|"&amp;$AD$20&amp;"|"&amp;$AF$20&amp;"|"&amp;$AD$22&amp;"|"&amp;$AF$22&amp;"|"&amp;$AD$24&amp;"|"&amp;$AF$24&amp;"|"&amp;$AD$26&amp;"|"&amp;$AF$26&amp;"|"&amp;$AD$28&amp;"|"&amp;$AF$28&amp;"|","LEEG","##"),AF26,"CONTROLE"))=$AJ$30,"GOED","DUBBEL")))</f>
        <v>LEEG</v>
      </c>
      <c r="AK27" s="6"/>
      <c r="AL27" s="6"/>
      <c r="AM27" s="6"/>
      <c r="AN27" s="6"/>
      <c r="AO27" s="201"/>
      <c r="AP27" s="203"/>
      <c r="AQ27" s="371" t="str">
        <f ca="1">VLOOKUP(AR27,Voorblad!$X$67:$Z$98,2,FALSE)</f>
        <v>N.-Macedonië</v>
      </c>
      <c r="AR27" s="373" t="str">
        <f>AR23&amp;4</f>
        <v>C4</v>
      </c>
      <c r="AS27" s="368"/>
      <c r="AT27" s="370"/>
      <c r="AU27" s="368" t="str">
        <f ca="1">VLOOKUP(AV27,Voorblad!$X$67:$Z$98,2,FALSE)</f>
        <v>Wales</v>
      </c>
      <c r="AV27" s="370" t="str">
        <f t="shared" ca="1" si="1"/>
        <v>A3</v>
      </c>
      <c r="AW27" s="368"/>
      <c r="AX27" s="370"/>
      <c r="AY27" s="368" t="str">
        <f ca="1">VLOOKUP(AZ27,Voorblad!$X$67:$Z$98,2,FALSE)</f>
        <v>Turkije</v>
      </c>
      <c r="AZ27" s="370" t="str">
        <f t="shared" ca="1" si="3"/>
        <v>A1</v>
      </c>
      <c r="BA27" s="370">
        <f t="shared" si="4"/>
        <v>28</v>
      </c>
    </row>
    <row r="28" spans="1:53" ht="15" customHeight="1" x14ac:dyDescent="0.3">
      <c r="A28" s="220"/>
      <c r="B28" s="79"/>
      <c r="C28" s="9"/>
      <c r="D28" s="14">
        <f>D26-1</f>
        <v>43</v>
      </c>
      <c r="E28" s="23">
        <f>E24+1</f>
        <v>44376.875</v>
      </c>
      <c r="F28" s="161">
        <f>E28+TIME(0,0,0)</f>
        <v>44376.875</v>
      </c>
      <c r="G28" s="1223" t="str">
        <f ca="1">" "&amp;Taal04!$B$74&amp;" E"</f>
        <v xml:space="preserve"> Nr.1 Groep E</v>
      </c>
      <c r="H28" s="1223"/>
      <c r="I28" s="1223"/>
      <c r="J28" s="1223"/>
      <c r="K28" s="1223"/>
      <c r="L28" s="812"/>
      <c r="M28" s="810"/>
      <c r="N28" s="811" t="str">
        <f>IF(AK28="LEEG","▼   ","")&amp;"-  "</f>
        <v xml:space="preserve">▼   -  </v>
      </c>
      <c r="O28" s="1223" t="str">
        <f ca="1">" "&amp;Taal04!$B$76&amp;" A/B/C/D ¹"</f>
        <v xml:space="preserve"> Nr.3 Groep A/B/C/D ¹</v>
      </c>
      <c r="P28" s="1223"/>
      <c r="Q28" s="1223"/>
      <c r="R28" s="1223"/>
      <c r="S28" s="1223"/>
      <c r="T28" s="1223"/>
      <c r="U28" s="813"/>
      <c r="V28" s="811" t="str">
        <f>IF(AL28="LEEG","▼   ","")&amp;": "</f>
        <v xml:space="preserve">▼   : </v>
      </c>
      <c r="W28" s="900"/>
      <c r="X28" s="650" t="s">
        <v>12</v>
      </c>
      <c r="Y28" s="900"/>
      <c r="Z28" s="219"/>
      <c r="AA28" s="79"/>
      <c r="AB28" s="12"/>
      <c r="AC28" s="343" t="str">
        <f>IF(ISBLANK(L28),"OO",IF(TYPE(VLOOKUP(L28,Taal02!$C$100:$D$419,2,FALSE))=16,"XX",VLOOKUP(L28,Taal02!$C$100:$D$419,2,FALSE)))</f>
        <v>OO</v>
      </c>
      <c r="AD28" s="300" t="str">
        <f>IF(AC28="OO","LEEG",IF(AC28="XX","FOUT",VLOOKUP(AC28,Voorblad!$X$65:$Z$98,3,FALSE)))</f>
        <v>LEEG</v>
      </c>
      <c r="AE28" s="343" t="str">
        <f>IF(ISBLANK(U28),"OO",IF(TYPE(VLOOKUP(U28,Taal02!$C$100:$D$419,2,FALSE))=16,"XX",VLOOKUP(U28,Taal02!$C$100:$D$419,2,FALSE)))</f>
        <v>OO</v>
      </c>
      <c r="AF28" s="300" t="str">
        <f>IF(AE28="OO","LEEG",IF(AE28="XX","FOUT",VLOOKUP(AE28,Voorblad!$X$65:$Z$98,3,FALSE)))</f>
        <v>LEEG</v>
      </c>
      <c r="AG28" s="12"/>
      <c r="AH28" s="504" t="s">
        <v>125</v>
      </c>
      <c r="AI28" s="504" t="s">
        <v>12</v>
      </c>
      <c r="AJ28" s="504" t="s">
        <v>1037</v>
      </c>
      <c r="AK28" s="6" t="str">
        <f>IF(AD28="LEEG","LEEG",IF(TYPE(AD28)=2,IF(LEN(AD28)=2,IF(AND($AI$11=0,AH29="DUBBEL"),"ONGELDIG","GOED"),"ONGELDIG"),"ONGELDIG"))</f>
        <v>LEEG</v>
      </c>
      <c r="AL28" s="6" t="str">
        <f>IF(AF28="LEEG","LEEG",IF(TYPE(AF28)=2,IF(LEN(AF28)=2,IF(AND($AI$11=0,AJ29="DUBBEL"),"ONGELDIG","GOED"),"ONGELDIG"),"ONGELDIG"))</f>
        <v>LEEG</v>
      </c>
      <c r="AM28" s="6" t="str">
        <f>IF(ISBLANK(W28),"LEEG",IF(TYPE(W28)=1,IF(AND(W28&lt;10,W28&gt;=0),IF(W28=ROUND(W28,0),"GOED","ONGELDIG"),"ONGELDIG"),"ONGELDIG"))</f>
        <v>LEEG</v>
      </c>
      <c r="AN28" s="6" t="str">
        <f>IF(ISBLANK(Y28),"LEEG",IF(TYPE(Y28)=1,IF(AND(Y28&lt;10,Y28&gt;=0),IF(Y28=ROUND(Y28,0),"GOED","ONGELDIG"),"ONGELDIG"),"ONGELDIG"))</f>
        <v>LEEG</v>
      </c>
      <c r="AO28" s="201" t="str">
        <f>IF(AK28="GOED",IF(AL28="GOED",IF(AM28="GOED",IF(AN28="GOED",AD28&amp;AF28&amp;W28&amp;Y28&amp;"|","FOUT"),"FOUT"),"FOUT"),"FOUT")</f>
        <v>FOUT</v>
      </c>
      <c r="AP28" s="203">
        <f>LEN(AO28)</f>
        <v>4</v>
      </c>
      <c r="AQ28" s="364"/>
      <c r="AR28" s="375" t="s">
        <v>5</v>
      </c>
      <c r="AS28" s="368"/>
      <c r="AT28" s="370"/>
      <c r="AU28" s="368" t="str">
        <f ca="1">VLOOKUP(AV28,Voorblad!$X$67:$Z$98,2,FALSE)</f>
        <v>Zweden</v>
      </c>
      <c r="AV28" s="370" t="str">
        <f t="shared" ca="1" si="1"/>
        <v>E2</v>
      </c>
      <c r="AW28" s="368"/>
      <c r="AX28" s="370"/>
      <c r="AY28" s="368" t="str">
        <f ca="1">VLOOKUP(AZ28,Voorblad!$X$67:$Z$98,2,FALSE)</f>
        <v>Wales</v>
      </c>
      <c r="AZ28" s="370" t="str">
        <f t="shared" ca="1" si="3"/>
        <v>A3</v>
      </c>
      <c r="BA28" s="370">
        <f t="shared" si="4"/>
        <v>30</v>
      </c>
    </row>
    <row r="29" spans="1:53" ht="15" customHeight="1" x14ac:dyDescent="0.5">
      <c r="A29" s="218"/>
      <c r="B29" s="79"/>
      <c r="C29" s="9"/>
      <c r="D29" s="72"/>
      <c r="E29" s="72"/>
      <c r="F29" s="72"/>
      <c r="G29" s="1225" t="str">
        <f ca="1">IF($AB$9=1," "&amp;AC29,IF($AB$9=2,IF(AC28="OO"," "&amp;AC29,""),""))</f>
        <v xml:space="preserve"> </v>
      </c>
      <c r="H29" s="1225"/>
      <c r="I29" s="1225"/>
      <c r="J29" s="1225"/>
      <c r="K29" s="1225"/>
      <c r="L29" s="1225"/>
      <c r="M29" s="438"/>
      <c r="N29" s="438"/>
      <c r="O29" s="1225" t="str">
        <f ca="1">IF($AB$9=1," "&amp;AE29,IF($AB$9=2,IF(AE28="OO"," "&amp;AE29,""),""))</f>
        <v xml:space="preserve"> </v>
      </c>
      <c r="P29" s="1225"/>
      <c r="Q29" s="1225"/>
      <c r="R29" s="1225"/>
      <c r="S29" s="1225"/>
      <c r="T29" s="1225"/>
      <c r="U29" s="1225"/>
      <c r="V29" s="72"/>
      <c r="W29" s="72"/>
      <c r="X29" s="72"/>
      <c r="Y29" s="72"/>
      <c r="Z29" s="219"/>
      <c r="AA29" s="79"/>
      <c r="AB29" s="12"/>
      <c r="AC29" s="1231" t="str">
        <f ca="1">AM93</f>
        <v/>
      </c>
      <c r="AD29" s="1231"/>
      <c r="AE29" s="1231" t="str">
        <f ca="1">AO93</f>
        <v/>
      </c>
      <c r="AF29" s="1231"/>
      <c r="AG29" s="873" t="str">
        <f>IF(AO28="FOUT","",IF(W28&gt;Y28,AC28,IF(W28&lt;Y28,AE28,AC28&amp;AE28)))</f>
        <v/>
      </c>
      <c r="AH29" s="513" t="str">
        <f>IF(AD28="LEEG","LEEG",IF(AD28= "FOUT","ONGELDIG",IF(LEN(SUBSTITUTE(SUBSTITUTE("|"&amp;$AD$14&amp;"|"&amp;$AF$14&amp;"|"&amp;$AD$16&amp;"|"&amp;$AF$16&amp;"|"&amp;$AD$18&amp;"|"&amp;$AF$18&amp;"|"&amp;$AD$20&amp;"|"&amp;$AF$20&amp;"|"&amp;$AD$22&amp;"|"&amp;$AF$22&amp;"|"&amp;$AD$24&amp;"|"&amp;$AF$24&amp;"|"&amp;$AD$26&amp;"|"&amp;$AF$26&amp;"|"&amp;$AD$28&amp;"|"&amp;$AF$28&amp;"|","LEEG","##"),AD28,"CONTROLE"))=$AJ$30,"GOED","DUBBEL")))</f>
        <v>LEEG</v>
      </c>
      <c r="AI29" s="12"/>
      <c r="AJ29" s="513" t="str">
        <f>IF(AF28="LEEG","LEEG",IF(AF28= "FOUT","ONGELDIG",IF(LEN(SUBSTITUTE(SUBSTITUTE("|"&amp;$AD$14&amp;"|"&amp;$AF$14&amp;"|"&amp;$AD$16&amp;"|"&amp;$AF$16&amp;"|"&amp;$AD$18&amp;"|"&amp;$AF$18&amp;"|"&amp;$AD$20&amp;"|"&amp;$AF$20&amp;"|"&amp;$AD$22&amp;"|"&amp;$AF$22&amp;"|"&amp;$AD$24&amp;"|"&amp;$AF$24&amp;"|"&amp;$AD$26&amp;"|"&amp;$AF$26&amp;"|"&amp;$AD$28&amp;"|"&amp;$AF$28&amp;"|","LEEG","##"),AF28,"CONTROLE"))=$AJ$30,"GOED","DUBBEL")))</f>
        <v>LEEG</v>
      </c>
      <c r="AK29" s="171"/>
      <c r="AL29" s="171"/>
      <c r="AM29" s="171"/>
      <c r="AN29" s="171"/>
      <c r="AO29" s="171"/>
      <c r="AP29" s="203"/>
      <c r="AQ29" s="368" t="str">
        <f ca="1">VLOOKUP(AR29,Voorblad!$X$67:$Z$98,2,FALSE)</f>
        <v>Engeland</v>
      </c>
      <c r="AR29" s="370" t="str">
        <f>AR28&amp;1</f>
        <v>D1</v>
      </c>
      <c r="AS29" s="368"/>
      <c r="AT29" s="370"/>
      <c r="AU29" s="368" t="str">
        <f ca="1">VLOOKUP(AV29,Voorblad!$X$67:$Z$98,2,FALSE)</f>
        <v>Zwitserland</v>
      </c>
      <c r="AV29" s="370" t="str">
        <f t="shared" ca="1" si="1"/>
        <v>A4</v>
      </c>
      <c r="AW29" s="368"/>
      <c r="AX29" s="370"/>
      <c r="AY29" s="368" t="str">
        <f ca="1">VLOOKUP(AZ29,Voorblad!$X$67:$Z$98,2,FALSE)</f>
        <v>Zwitserland</v>
      </c>
      <c r="AZ29" s="370" t="str">
        <f t="shared" ca="1" si="3"/>
        <v>A4</v>
      </c>
      <c r="BA29" s="373">
        <f t="shared" si="4"/>
        <v>32</v>
      </c>
    </row>
    <row r="30" spans="1:53" ht="15" customHeight="1" x14ac:dyDescent="0.5">
      <c r="A30" s="721"/>
      <c r="B30" s="464"/>
      <c r="C30" s="440"/>
      <c r="D30" s="78"/>
      <c r="E30" s="505"/>
      <c r="F30" s="505"/>
      <c r="G30" s="505"/>
      <c r="H30" s="505"/>
      <c r="I30" s="505"/>
      <c r="J30" s="505"/>
      <c r="K30" s="505"/>
      <c r="L30" s="505"/>
      <c r="M30" s="505"/>
      <c r="N30" s="505"/>
      <c r="O30" s="505"/>
      <c r="P30" s="505"/>
      <c r="Q30" s="505"/>
      <c r="R30" s="505"/>
      <c r="S30" s="505"/>
      <c r="T30" s="505"/>
      <c r="U30" s="505"/>
      <c r="V30" s="505"/>
      <c r="W30" s="505"/>
      <c r="X30" s="505"/>
      <c r="Y30" s="505"/>
      <c r="Z30" s="508"/>
      <c r="AA30" s="464"/>
      <c r="AB30" s="12"/>
      <c r="AC30" s="513"/>
      <c r="AD30" s="513"/>
      <c r="AE30" s="513"/>
      <c r="AF30" s="513"/>
      <c r="AG30" s="12"/>
      <c r="AH30" s="513"/>
      <c r="AI30" s="12"/>
      <c r="AJ30" s="512">
        <f>16*3+1+LEN("CONTROLE")-2</f>
        <v>55</v>
      </c>
      <c r="AK30" s="507"/>
      <c r="AL30" s="507"/>
      <c r="AM30" s="507"/>
      <c r="AN30" s="507"/>
      <c r="AO30" s="507"/>
      <c r="AP30" s="203"/>
      <c r="AQ30" s="368" t="str">
        <f ca="1">VLOOKUP(AR30,Voorblad!$X$67:$Z$98,2,FALSE)</f>
        <v>Kroatië</v>
      </c>
      <c r="AR30" s="370" t="str">
        <f>AR28&amp;2</f>
        <v>D2</v>
      </c>
      <c r="AS30" s="830"/>
      <c r="AT30" s="831" t="s">
        <v>1025</v>
      </c>
      <c r="AU30" s="830"/>
      <c r="AV30" s="831" t="s">
        <v>6</v>
      </c>
      <c r="AW30" s="830"/>
      <c r="AX30" s="831" t="s">
        <v>1026</v>
      </c>
      <c r="AY30" s="830"/>
      <c r="AZ30" s="831" t="s">
        <v>1027</v>
      </c>
      <c r="BA30" s="834"/>
    </row>
    <row r="31" spans="1:53" ht="15" customHeight="1" x14ac:dyDescent="0.5">
      <c r="A31" s="707" t="str">
        <f>IF(A30="H","H","")</f>
        <v/>
      </c>
      <c r="B31" s="464"/>
      <c r="C31" s="440"/>
      <c r="D31" s="78" t="s">
        <v>439</v>
      </c>
      <c r="E31" s="1273" t="str">
        <f ca="1">Taal04!B71</f>
        <v>Via onderstaande link kunt u de criteria vinden voor het bepalen van de 4 beste nummers 3 in de groepsfase.</v>
      </c>
      <c r="F31" s="1273"/>
      <c r="G31" s="1273"/>
      <c r="H31" s="1273"/>
      <c r="I31" s="1273"/>
      <c r="J31" s="1273"/>
      <c r="K31" s="1273"/>
      <c r="L31" s="1273"/>
      <c r="M31" s="1273"/>
      <c r="N31" s="1273"/>
      <c r="O31" s="1273"/>
      <c r="P31" s="1273"/>
      <c r="Q31" s="1273"/>
      <c r="R31" s="1273"/>
      <c r="S31" s="1273"/>
      <c r="T31" s="1273"/>
      <c r="U31" s="1273"/>
      <c r="V31" s="1273"/>
      <c r="W31" s="1273"/>
      <c r="X31" s="1273"/>
      <c r="Y31" s="1273"/>
      <c r="Z31" s="508"/>
      <c r="AA31" s="464"/>
      <c r="AB31" s="12"/>
      <c r="AC31" s="808"/>
      <c r="AD31" s="513"/>
      <c r="AE31" s="513"/>
      <c r="AF31" s="513"/>
      <c r="AG31" s="12"/>
      <c r="AH31" s="513"/>
      <c r="AI31" s="12"/>
      <c r="AJ31" s="513"/>
      <c r="AK31" s="507"/>
      <c r="AL31" s="507"/>
      <c r="AM31" s="507"/>
      <c r="AN31" s="507"/>
      <c r="AO31" s="507"/>
      <c r="AP31" s="203"/>
      <c r="AQ31" s="368" t="str">
        <f ca="1">VLOOKUP(AR31,Voorblad!$X$67:$Z$98,2,FALSE)</f>
        <v>Schotland</v>
      </c>
      <c r="AR31" s="370" t="str">
        <f>AR28&amp;3</f>
        <v>D3</v>
      </c>
      <c r="AS31" s="832" t="str">
        <f ca="1">VLOOKUP(AT31,Voorblad!$X$67:$Z$98,2,FALSE)</f>
        <v>België</v>
      </c>
      <c r="AT31" s="833" t="str">
        <f ca="1">RIGHT(LEFT($AK$96,$BA31),2)</f>
        <v>B3</v>
      </c>
      <c r="AU31" s="832" t="str">
        <f ca="1">VLOOKUP(AV31,Voorblad!$X$67:$Z$98,2,FALSE)</f>
        <v>Engeland</v>
      </c>
      <c r="AV31" s="833" t="str">
        <f ca="1">RIGHT(LEFT($AL$96,$BA31),2)</f>
        <v>D1</v>
      </c>
      <c r="AW31" s="832" t="str">
        <f ca="1">VLOOKUP(AX31,Voorblad!$X$67:$Z$98,2,FALSE)</f>
        <v>België</v>
      </c>
      <c r="AX31" s="833" t="str">
        <f ca="1">RIGHT(LEFT($AK$97,$BA31),2)</f>
        <v>B3</v>
      </c>
      <c r="AY31" s="832" t="str">
        <f ca="1">VLOOKUP(AZ31,Voorblad!$X$67:$Z$98,2,FALSE)</f>
        <v>Italië</v>
      </c>
      <c r="AZ31" s="833" t="str">
        <f ca="1">RIGHT(LEFT($AL$97,$BA31),2)</f>
        <v>A2</v>
      </c>
      <c r="BA31" s="835">
        <v>2</v>
      </c>
    </row>
    <row r="32" spans="1:53" ht="15" customHeight="1" x14ac:dyDescent="0.5">
      <c r="A32" s="707" t="str">
        <f t="shared" ref="A32:A33" si="5">IF(A31="H","H","")</f>
        <v/>
      </c>
      <c r="B32" s="464"/>
      <c r="C32" s="440"/>
      <c r="D32" s="505"/>
      <c r="E32" s="1273" t="str">
        <f ca="1">Taal04!B72</f>
        <v>Tevens vind u hier ook de verdeelsleutel voor het bepalen welk team in welke achtste finale speelt.</v>
      </c>
      <c r="F32" s="1273"/>
      <c r="G32" s="1273"/>
      <c r="H32" s="1273"/>
      <c r="I32" s="1273"/>
      <c r="J32" s="1273"/>
      <c r="K32" s="1273"/>
      <c r="L32" s="1273"/>
      <c r="M32" s="1273"/>
      <c r="N32" s="1273"/>
      <c r="O32" s="1273"/>
      <c r="P32" s="1273"/>
      <c r="Q32" s="1273"/>
      <c r="R32" s="1273"/>
      <c r="S32" s="1273"/>
      <c r="T32" s="1273"/>
      <c r="U32" s="1273"/>
      <c r="V32" s="1273"/>
      <c r="W32" s="1273"/>
      <c r="X32" s="1273"/>
      <c r="Y32" s="1273"/>
      <c r="Z32" s="508"/>
      <c r="AA32" s="464"/>
      <c r="AB32" s="12"/>
      <c r="AC32" s="808"/>
      <c r="AD32" s="513"/>
      <c r="AE32" s="513"/>
      <c r="AF32" s="513"/>
      <c r="AG32" s="12"/>
      <c r="AH32" s="513"/>
      <c r="AI32" s="12"/>
      <c r="AJ32" s="513"/>
      <c r="AK32" s="807"/>
      <c r="AL32" s="507"/>
      <c r="AM32" s="507"/>
      <c r="AN32" s="507"/>
      <c r="AO32" s="507"/>
      <c r="AP32" s="203"/>
      <c r="AQ32" s="371" t="str">
        <f ca="1">VLOOKUP(AR32,Voorblad!$X$67:$Z$98,2,FALSE)</f>
        <v>Tsjechië</v>
      </c>
      <c r="AR32" s="373" t="str">
        <f>AR28&amp;4</f>
        <v>D4</v>
      </c>
      <c r="AS32" s="832" t="str">
        <f ca="1">VLOOKUP(AT32,Voorblad!$X$67:$Z$98,2,FALSE)</f>
        <v>Denemarken</v>
      </c>
      <c r="AT32" s="833" t="str">
        <f t="shared" ref="AT32:AT46" ca="1" si="6">RIGHT(LEFT($AK$96,$BA32),2)</f>
        <v>B1</v>
      </c>
      <c r="AU32" s="832" t="str">
        <f ca="1">VLOOKUP(AV32,Voorblad!$X$67:$Z$98,2,FALSE)</f>
        <v>Kroatië</v>
      </c>
      <c r="AV32" s="833" t="str">
        <f t="shared" ref="AV32:AV38" ca="1" si="7">RIGHT(LEFT($AL$96,$BA32),2)</f>
        <v>D2</v>
      </c>
      <c r="AW32" s="832" t="str">
        <f ca="1">VLOOKUP(AX32,Voorblad!$X$67:$Z$98,2,FALSE)</f>
        <v>Denemarken</v>
      </c>
      <c r="AX32" s="833" t="str">
        <f t="shared" ref="AX32:AX50" ca="1" si="8">RIGHT(LEFT($AK$97,$BA32),2)</f>
        <v>B1</v>
      </c>
      <c r="AY32" s="832" t="str">
        <f ca="1">VLOOKUP(AZ32,Voorblad!$X$67:$Z$98,2,FALSE)</f>
        <v>Nederland</v>
      </c>
      <c r="AZ32" s="833" t="str">
        <f t="shared" ref="AZ32:AZ38" ca="1" si="9">RIGHT(LEFT($AL$97,$BA32),2)</f>
        <v>C1</v>
      </c>
      <c r="BA32" s="836">
        <f t="shared" ref="BA32:BA42" si="10">BA31+2</f>
        <v>4</v>
      </c>
    </row>
    <row r="33" spans="1:53" ht="15" customHeight="1" x14ac:dyDescent="0.5">
      <c r="A33" s="707" t="str">
        <f t="shared" si="5"/>
        <v/>
      </c>
      <c r="B33" s="464"/>
      <c r="C33" s="440"/>
      <c r="D33" s="1274" t="str">
        <f ca="1">Taal04!B73</f>
        <v>www.excel-pool.nl/4beste3</v>
      </c>
      <c r="E33" s="1274"/>
      <c r="F33" s="1274"/>
      <c r="G33" s="1274"/>
      <c r="H33" s="1274"/>
      <c r="I33" s="1274"/>
      <c r="J33" s="1274"/>
      <c r="K33" s="1274"/>
      <c r="L33" s="1274"/>
      <c r="M33" s="1274"/>
      <c r="N33" s="1274"/>
      <c r="O33" s="1274"/>
      <c r="P33" s="1274"/>
      <c r="Q33" s="1274"/>
      <c r="R33" s="1274"/>
      <c r="S33" s="1274"/>
      <c r="T33" s="1274"/>
      <c r="U33" s="1274"/>
      <c r="V33" s="1274"/>
      <c r="W33" s="1274"/>
      <c r="X33" s="1274"/>
      <c r="Y33" s="1274"/>
      <c r="Z33" s="508"/>
      <c r="AA33" s="464"/>
      <c r="AB33" s="12"/>
      <c r="AC33" s="808"/>
      <c r="AD33" s="513"/>
      <c r="AE33" s="513"/>
      <c r="AF33" s="513"/>
      <c r="AG33" s="12"/>
      <c r="AH33" s="513"/>
      <c r="AI33" s="12"/>
      <c r="AJ33" s="513"/>
      <c r="AK33" s="507"/>
      <c r="AL33" s="507"/>
      <c r="AM33" s="507"/>
      <c r="AN33" s="507"/>
      <c r="AO33" s="507"/>
      <c r="AP33" s="203"/>
      <c r="AQ33" s="364"/>
      <c r="AR33" s="366" t="s">
        <v>167</v>
      </c>
      <c r="AS33" s="832" t="str">
        <f ca="1">VLOOKUP(AT33,Voorblad!$X$67:$Z$98,2,FALSE)</f>
        <v>Duitsland</v>
      </c>
      <c r="AT33" s="833" t="str">
        <f t="shared" ca="1" si="6"/>
        <v>F4</v>
      </c>
      <c r="AU33" s="832" t="str">
        <f ca="1">VLOOKUP(AV33,Voorblad!$X$67:$Z$98,2,FALSE)</f>
        <v>Polen</v>
      </c>
      <c r="AV33" s="833" t="str">
        <f t="shared" ca="1" si="7"/>
        <v>E3</v>
      </c>
      <c r="AW33" s="832" t="str">
        <f ca="1">VLOOKUP(AX33,Voorblad!$X$67:$Z$98,2,FALSE)</f>
        <v>Duitsland</v>
      </c>
      <c r="AX33" s="833" t="str">
        <f t="shared" ca="1" si="8"/>
        <v>F4</v>
      </c>
      <c r="AY33" s="832" t="str">
        <f ca="1">VLOOKUP(AZ33,Voorblad!$X$67:$Z$98,2,FALSE)</f>
        <v>N.-Macedonië</v>
      </c>
      <c r="AZ33" s="833" t="str">
        <f t="shared" ca="1" si="9"/>
        <v>C4</v>
      </c>
      <c r="BA33" s="836">
        <f t="shared" si="10"/>
        <v>6</v>
      </c>
    </row>
    <row r="34" spans="1:53" ht="24" customHeight="1" x14ac:dyDescent="0.5">
      <c r="A34" s="220"/>
      <c r="B34" s="79"/>
      <c r="C34" s="9"/>
      <c r="D34" s="543" t="str">
        <f ca="1">Taal04!$B$28</f>
        <v>Kwartfinale</v>
      </c>
      <c r="E34" s="72"/>
      <c r="F34" s="72"/>
      <c r="G34" s="72"/>
      <c r="H34" s="72"/>
      <c r="I34" s="198"/>
      <c r="J34" s="198"/>
      <c r="K34" s="198"/>
      <c r="L34" s="198"/>
      <c r="M34" s="198"/>
      <c r="N34" s="198"/>
      <c r="O34" s="198"/>
      <c r="P34" s="198"/>
      <c r="Q34" s="198"/>
      <c r="R34" s="198"/>
      <c r="S34" s="198"/>
      <c r="T34" s="198"/>
      <c r="U34" s="198"/>
      <c r="V34" s="198"/>
      <c r="W34" s="198"/>
      <c r="X34" s="198"/>
      <c r="Y34" s="198"/>
      <c r="Z34" s="11"/>
      <c r="AA34" s="79"/>
      <c r="AB34" s="242"/>
      <c r="AC34" s="511"/>
      <c r="AD34" s="374"/>
      <c r="AE34" s="374"/>
      <c r="AF34" s="374"/>
      <c r="AG34" s="12"/>
      <c r="AH34" s="12"/>
      <c r="AI34" s="12"/>
      <c r="AJ34" s="513"/>
      <c r="AK34" s="1245" t="s">
        <v>15</v>
      </c>
      <c r="AL34" s="1245"/>
      <c r="AM34" s="1245"/>
      <c r="AN34" s="1245"/>
      <c r="AO34" s="1245"/>
      <c r="AP34" s="203"/>
      <c r="AQ34" s="368" t="str">
        <f ca="1">VLOOKUP(AR34,Voorblad!$X$67:$Z$98,2,FALSE)</f>
        <v>Spanje</v>
      </c>
      <c r="AR34" s="370" t="str">
        <f>AR33&amp;1</f>
        <v>E1</v>
      </c>
      <c r="AS34" s="832" t="str">
        <f ca="1">VLOOKUP(AT34,Voorblad!$X$67:$Z$98,2,FALSE)</f>
        <v>Finland</v>
      </c>
      <c r="AT34" s="833" t="str">
        <f t="shared" ca="1" si="6"/>
        <v>B2</v>
      </c>
      <c r="AU34" s="832" t="str">
        <f ca="1">VLOOKUP(AV34,Voorblad!$X$67:$Z$98,2,FALSE)</f>
        <v>Schotland</v>
      </c>
      <c r="AV34" s="833" t="str">
        <f t="shared" ca="1" si="7"/>
        <v>D3</v>
      </c>
      <c r="AW34" s="832" t="str">
        <f ca="1">VLOOKUP(AX34,Voorblad!$X$67:$Z$98,2,FALSE)</f>
        <v>Engeland</v>
      </c>
      <c r="AX34" s="833" t="str">
        <f t="shared" ca="1" si="8"/>
        <v>D1</v>
      </c>
      <c r="AY34" s="832" t="str">
        <f ca="1">VLOOKUP(AZ34,Voorblad!$X$67:$Z$98,2,FALSE)</f>
        <v>Oekraïne</v>
      </c>
      <c r="AZ34" s="833" t="str">
        <f t="shared" ca="1" si="9"/>
        <v>C2</v>
      </c>
      <c r="BA34" s="836">
        <f t="shared" si="10"/>
        <v>8</v>
      </c>
    </row>
    <row r="35" spans="1:53" ht="15" customHeight="1" x14ac:dyDescent="0.3">
      <c r="A35" s="220"/>
      <c r="B35" s="79"/>
      <c r="C35" s="9"/>
      <c r="D35" s="72"/>
      <c r="E35" s="167" t="str">
        <f ca="1">Taal04!$B$20</f>
        <v>Datum</v>
      </c>
      <c r="F35" s="167" t="str">
        <f ca="1">Taal04!$B$21</f>
        <v>Tijd</v>
      </c>
      <c r="G35" s="1226" t="str">
        <f ca="1">Taal04!$B$22</f>
        <v>Wedstrijd</v>
      </c>
      <c r="H35" s="1226"/>
      <c r="I35" s="1226"/>
      <c r="J35" s="1226"/>
      <c r="K35" s="1226"/>
      <c r="L35" s="1226"/>
      <c r="M35" s="1226"/>
      <c r="N35" s="1226"/>
      <c r="O35" s="1226"/>
      <c r="P35" s="1226"/>
      <c r="Q35" s="1226"/>
      <c r="R35" s="1226"/>
      <c r="S35" s="1226"/>
      <c r="T35" s="1226"/>
      <c r="U35" s="1226"/>
      <c r="V35" s="72"/>
      <c r="W35" s="1173" t="str">
        <f ca="1">Taal04!$B$24</f>
        <v>Eindstand</v>
      </c>
      <c r="X35" s="1174"/>
      <c r="Y35" s="1174"/>
      <c r="Z35" s="11"/>
      <c r="AA35" s="79"/>
      <c r="AB35" s="12"/>
      <c r="AC35" s="300" t="s">
        <v>18</v>
      </c>
      <c r="AD35" s="300" t="s">
        <v>19</v>
      </c>
      <c r="AE35" s="300" t="s">
        <v>18</v>
      </c>
      <c r="AF35" s="300" t="s">
        <v>19</v>
      </c>
      <c r="AG35" s="12"/>
      <c r="AH35" s="504" t="s">
        <v>73</v>
      </c>
      <c r="AI35" s="12"/>
      <c r="AJ35" s="504" t="s">
        <v>73</v>
      </c>
      <c r="AK35" s="4" t="s">
        <v>26</v>
      </c>
      <c r="AL35" s="4" t="s">
        <v>27</v>
      </c>
      <c r="AM35" s="13" t="s">
        <v>24</v>
      </c>
      <c r="AN35" s="13" t="s">
        <v>25</v>
      </c>
      <c r="AO35" s="165" t="s">
        <v>0</v>
      </c>
      <c r="AP35" s="203"/>
      <c r="AQ35" s="368" t="str">
        <f ca="1">VLOOKUP(AR35,Voorblad!$X$67:$Z$98,2,FALSE)</f>
        <v>Zweden</v>
      </c>
      <c r="AR35" s="370" t="str">
        <f>AR33&amp;2</f>
        <v>E2</v>
      </c>
      <c r="AS35" s="832" t="str">
        <f ca="1">VLOOKUP(AT35,Voorblad!$X$67:$Z$98,2,FALSE)</f>
        <v>Frankrijk</v>
      </c>
      <c r="AT35" s="833" t="str">
        <f t="shared" ca="1" si="6"/>
        <v>F3</v>
      </c>
      <c r="AU35" s="832" t="str">
        <f ca="1">VLOOKUP(AV35,Voorblad!$X$67:$Z$98,2,FALSE)</f>
        <v>Slowakije</v>
      </c>
      <c r="AV35" s="833" t="str">
        <f t="shared" ca="1" si="7"/>
        <v>E4</v>
      </c>
      <c r="AW35" s="832" t="str">
        <f ca="1">VLOOKUP(AX35,Voorblad!$X$67:$Z$98,2,FALSE)</f>
        <v>Finland</v>
      </c>
      <c r="AX35" s="833" t="str">
        <f t="shared" ca="1" si="8"/>
        <v>B2</v>
      </c>
      <c r="AY35" s="832" t="str">
        <f ca="1">VLOOKUP(AZ35,Voorblad!$X$67:$Z$98,2,FALSE)</f>
        <v>Oostenrijk</v>
      </c>
      <c r="AZ35" s="833" t="str">
        <f t="shared" ca="1" si="9"/>
        <v>C3</v>
      </c>
      <c r="BA35" s="836">
        <f t="shared" si="10"/>
        <v>10</v>
      </c>
    </row>
    <row r="36" spans="1:53" ht="15" customHeight="1" x14ac:dyDescent="0.3">
      <c r="A36" s="218"/>
      <c r="B36" s="79"/>
      <c r="C36" s="9"/>
      <c r="D36" s="14">
        <f>D28+2</f>
        <v>45</v>
      </c>
      <c r="E36" s="23">
        <f>E26+3</f>
        <v>44379.75</v>
      </c>
      <c r="F36" s="161">
        <f>E36+TIME(0,0,0)</f>
        <v>44379.75</v>
      </c>
      <c r="G36" s="1223" t="str">
        <f ca="1">" "&amp;Taal04!$B$77&amp;" "&amp;D24</f>
        <v xml:space="preserve"> Win. Wedstrijd 41</v>
      </c>
      <c r="H36" s="1223"/>
      <c r="I36" s="1223"/>
      <c r="J36" s="1223"/>
      <c r="K36" s="1223"/>
      <c r="L36" s="812"/>
      <c r="M36" s="810"/>
      <c r="N36" s="811" t="str">
        <f>IF(AK36="LEEG","▼   ","")&amp;"-  "</f>
        <v xml:space="preserve">▼   -  </v>
      </c>
      <c r="O36" s="1223" t="str">
        <f ca="1">" "&amp;Taal04!$B$77&amp;" "&amp;D22</f>
        <v xml:space="preserve"> Win. Wedstrijd 42</v>
      </c>
      <c r="P36" s="1223"/>
      <c r="Q36" s="1223"/>
      <c r="R36" s="1223"/>
      <c r="S36" s="1223"/>
      <c r="T36" s="1223"/>
      <c r="U36" s="812"/>
      <c r="V36" s="811" t="str">
        <f>IF(AL36="LEEG","▼   ","")&amp;": "</f>
        <v xml:space="preserve">▼   : </v>
      </c>
      <c r="W36" s="900"/>
      <c r="X36" s="652" t="s">
        <v>12</v>
      </c>
      <c r="Y36" s="900"/>
      <c r="Z36" s="510"/>
      <c r="AA36" s="503"/>
      <c r="AB36" s="12"/>
      <c r="AC36" s="343" t="str">
        <f>IF(ISBLANK(L36),"OO",IF(TYPE(VLOOKUP(L36,Taal02!$C$100:$D$419,2,FALSE))=16,"XX",VLOOKUP(L36,Taal02!$C$100:$D$419,2,FALSE)))</f>
        <v>OO</v>
      </c>
      <c r="AD36" s="300" t="str">
        <f>IF(AC36="OO","LEEG",IF(AC36="XX","FOUT",VLOOKUP(AC36,Voorblad!$X$65:$Z$98,3,FALSE)))</f>
        <v>LEEG</v>
      </c>
      <c r="AE36" s="343" t="str">
        <f>IF(ISBLANK(U36),"OO",IF(TYPE(VLOOKUP(U36,Taal02!$C$100:$D$419,2,FALSE))=16,"XX",VLOOKUP(U36,Taal02!$C$100:$D$419,2,FALSE)))</f>
        <v>OO</v>
      </c>
      <c r="AF36" s="300" t="str">
        <f>IF(AE36="OO","LEEG",IF(AE36="XX","FOUT",VLOOKUP(AE36,Voorblad!$X$65:$Z$98,3,FALSE)))</f>
        <v>LEEG</v>
      </c>
      <c r="AG36" s="12"/>
      <c r="AH36" s="504" t="s">
        <v>1025</v>
      </c>
      <c r="AI36" s="504" t="s">
        <v>12</v>
      </c>
      <c r="AJ36" s="504" t="s">
        <v>6</v>
      </c>
      <c r="AK36" s="6" t="str">
        <f>IF(AD36="LEEG","LEEG",IF(TYPE(AD36)=2,IF(LEN(AD36)=2,IF(AND($AI$11=0,AH37="DUBBEL"),"ONGELDIG","GOED"),"ONGELDIG"),"ONGELDIG"))</f>
        <v>LEEG</v>
      </c>
      <c r="AL36" s="6" t="str">
        <f>IF(AF36="LEEG","LEEG",IF(TYPE(AF36)=2,IF(LEN(AF36)=2,IF(AND($AI$11=0,AJ37="DUBBEL"),"ONGELDIG","GOED"),"ONGELDIG"),"ONGELDIG"))</f>
        <v>LEEG</v>
      </c>
      <c r="AM36" s="6" t="str">
        <f>IF(ISBLANK(W36),"LEEG",IF(TYPE(W36)=1,IF(AND(W36&lt;10,W36&gt;=0),IF(W36=ROUND(W36,0),"GOED","ONGELDIG"),"ONGELDIG"),"ONGELDIG"))</f>
        <v>LEEG</v>
      </c>
      <c r="AN36" s="6" t="str">
        <f>IF(ISBLANK(Y36),"LEEG",IF(TYPE(Y36)=1,IF(AND(Y36&lt;10,Y36&gt;=0),IF(Y36=ROUND(Y36,0),"GOED","ONGELDIG"),"ONGELDIG"),"ONGELDIG"))</f>
        <v>LEEG</v>
      </c>
      <c r="AO36" s="201" t="str">
        <f>IF(AK36="GOED",IF(AL36="GOED",IF(AM36="GOED",IF(AN36="GOED",AD36&amp;AF36&amp;W36&amp;Y36&amp;"|","FOUT"),"FOUT"),"FOUT"),"FOUT")</f>
        <v>FOUT</v>
      </c>
      <c r="AP36" s="203">
        <f>LEN(AO36)</f>
        <v>4</v>
      </c>
      <c r="AQ36" s="368" t="str">
        <f ca="1">VLOOKUP(AR36,Voorblad!$X$67:$Z$98,2,FALSE)</f>
        <v>Polen</v>
      </c>
      <c r="AR36" s="370" t="str">
        <f>AR33&amp;3</f>
        <v>E3</v>
      </c>
      <c r="AS36" s="832" t="str">
        <f ca="1">VLOOKUP(AT36,Voorblad!$X$67:$Z$98,2,FALSE)</f>
        <v>Hongarije</v>
      </c>
      <c r="AT36" s="833" t="str">
        <f t="shared" ca="1" si="6"/>
        <v>F1</v>
      </c>
      <c r="AU36" s="832" t="str">
        <f ca="1">VLOOKUP(AV36,Voorblad!$X$67:$Z$98,2,FALSE)</f>
        <v>Spanje</v>
      </c>
      <c r="AV36" s="833" t="str">
        <f t="shared" ca="1" si="7"/>
        <v>E1</v>
      </c>
      <c r="AW36" s="832" t="str">
        <f ca="1">VLOOKUP(AX36,Voorblad!$X$67:$Z$98,2,FALSE)</f>
        <v>Frankrijk</v>
      </c>
      <c r="AX36" s="833" t="str">
        <f t="shared" ca="1" si="8"/>
        <v>F3</v>
      </c>
      <c r="AY36" s="832" t="str">
        <f ca="1">VLOOKUP(AZ36,Voorblad!$X$67:$Z$98,2,FALSE)</f>
        <v>Turkije</v>
      </c>
      <c r="AZ36" s="833" t="str">
        <f t="shared" ca="1" si="9"/>
        <v>A1</v>
      </c>
      <c r="BA36" s="836">
        <f t="shared" si="10"/>
        <v>12</v>
      </c>
    </row>
    <row r="37" spans="1:53" ht="18.899999999999999" customHeight="1" x14ac:dyDescent="0.3">
      <c r="A37" s="218"/>
      <c r="B37" s="79"/>
      <c r="C37" s="9"/>
      <c r="D37" s="463"/>
      <c r="E37" s="463"/>
      <c r="F37" s="463"/>
      <c r="G37" s="1225" t="str">
        <f ca="1">IF($AB$9=1," "&amp;AC37,IF($AB$9=2,IF(AC36="OO"," "&amp;AC37,""),""))</f>
        <v xml:space="preserve"> </v>
      </c>
      <c r="H37" s="1225"/>
      <c r="I37" s="1225"/>
      <c r="J37" s="1225"/>
      <c r="K37" s="1225"/>
      <c r="L37" s="1225"/>
      <c r="M37" s="438"/>
      <c r="N37" s="438"/>
      <c r="O37" s="1225" t="str">
        <f ca="1">IF($AB$9=1," "&amp;AE37,IF($AB$9=2,IF(AE36="OO"," "&amp;AE37,""),""))</f>
        <v xml:space="preserve"> </v>
      </c>
      <c r="P37" s="1225"/>
      <c r="Q37" s="1225"/>
      <c r="R37" s="1225"/>
      <c r="S37" s="1225"/>
      <c r="T37" s="1225"/>
      <c r="U37" s="1225"/>
      <c r="V37" s="72"/>
      <c r="W37" s="444"/>
      <c r="X37" s="58"/>
      <c r="Y37" s="444"/>
      <c r="Z37" s="11"/>
      <c r="AA37" s="79"/>
      <c r="AB37" s="12"/>
      <c r="AC37" s="1231" t="str">
        <f ca="1">AM96</f>
        <v/>
      </c>
      <c r="AD37" s="1231"/>
      <c r="AE37" s="1231" t="str">
        <f ca="1">AO96</f>
        <v/>
      </c>
      <c r="AF37" s="1231"/>
      <c r="AG37" s="873" t="str">
        <f>IF(AO36="FOUT","",IF(W36&gt;Y36,AC36,IF(W36&lt;Y36,AE36,AC36&amp;AE36)))</f>
        <v/>
      </c>
      <c r="AH37" s="513" t="str">
        <f>IF(AD36="LEEG","LEEG",IF(AD36= "FOUT","ONGELDIG",IF(LEN(SUBSTITUTE(SUBSTITUTE("|"&amp;$AD$36&amp;"|"&amp;$AF$36&amp;"|"&amp;$AD$38&amp;"|"&amp;$AF$38&amp;"|"&amp;$AD$40&amp;"|"&amp;$AF$40&amp;"|"&amp;$AD$42&amp;"|"&amp;$AF$42&amp;"|","LEEG","##"),AD36,"CONTROLE"))=$AJ$44,"GOED","DUBBEL")))</f>
        <v>LEEG</v>
      </c>
      <c r="AI37" s="12"/>
      <c r="AJ37" s="513" t="str">
        <f>IF(AF36="LEEG","LEEG",IF(AF36= "FOUT","ONGELDIG",IF(LEN(SUBSTITUTE(SUBSTITUTE("|"&amp;$AD$36&amp;"|"&amp;$AF$36&amp;"|"&amp;$AD$38&amp;"|"&amp;$AF$38&amp;"|"&amp;$AD$40&amp;"|"&amp;$AF$40&amp;"|"&amp;$AD$42&amp;"|"&amp;$AF$42&amp;"|","LEEG","##"),AF36,"CONTROLE"))=$AJ$44,"GOED","DUBBEL")))</f>
        <v>LEEG</v>
      </c>
      <c r="AK37" s="6"/>
      <c r="AL37" s="6"/>
      <c r="AM37" s="6"/>
      <c r="AN37" s="6"/>
      <c r="AO37" s="201"/>
      <c r="AP37" s="203"/>
      <c r="AQ37" s="371" t="str">
        <f ca="1">VLOOKUP(AR37,Voorblad!$X$67:$Z$98,2,FALSE)</f>
        <v>Slowakije</v>
      </c>
      <c r="AR37" s="373" t="str">
        <f>AR33&amp;4</f>
        <v>E4</v>
      </c>
      <c r="AS37" s="832" t="str">
        <f ca="1">VLOOKUP(AT37,Voorblad!$X$67:$Z$98,2,FALSE)</f>
        <v>Italië</v>
      </c>
      <c r="AT37" s="833" t="str">
        <f t="shared" ca="1" si="6"/>
        <v>A2</v>
      </c>
      <c r="AU37" s="832" t="str">
        <f ca="1">VLOOKUP(AV37,Voorblad!$X$67:$Z$98,2,FALSE)</f>
        <v>Tsjechië</v>
      </c>
      <c r="AV37" s="833" t="str">
        <f t="shared" ca="1" si="7"/>
        <v>D4</v>
      </c>
      <c r="AW37" s="832" t="str">
        <f ca="1">VLOOKUP(AX37,Voorblad!$X$67:$Z$98,2,FALSE)</f>
        <v>Hongarije</v>
      </c>
      <c r="AX37" s="833" t="str">
        <f t="shared" ca="1" si="8"/>
        <v>F1</v>
      </c>
      <c r="AY37" s="832" t="str">
        <f ca="1">VLOOKUP(AZ37,Voorblad!$X$67:$Z$98,2,FALSE)</f>
        <v>Wales</v>
      </c>
      <c r="AZ37" s="833" t="str">
        <f t="shared" ca="1" si="9"/>
        <v>A3</v>
      </c>
      <c r="BA37" s="836">
        <f t="shared" si="10"/>
        <v>14</v>
      </c>
    </row>
    <row r="38" spans="1:53" ht="15" customHeight="1" x14ac:dyDescent="0.3">
      <c r="A38" s="218"/>
      <c r="B38" s="79"/>
      <c r="C38" s="9"/>
      <c r="D38" s="14">
        <f>D36+1</f>
        <v>46</v>
      </c>
      <c r="E38" s="23">
        <f>E28+3</f>
        <v>44379.875</v>
      </c>
      <c r="F38" s="161">
        <f>E38+TIME(0,0,0)</f>
        <v>44379.875</v>
      </c>
      <c r="G38" s="1223" t="str">
        <f ca="1">" "&amp;Taal04!$B$77&amp;" "&amp;D20</f>
        <v xml:space="preserve"> Win. Wedstrijd 39</v>
      </c>
      <c r="H38" s="1223"/>
      <c r="I38" s="1223"/>
      <c r="J38" s="1223"/>
      <c r="K38" s="1223"/>
      <c r="L38" s="812"/>
      <c r="M38" s="810"/>
      <c r="N38" s="811" t="str">
        <f>IF(AK38="LEEG","▼   ","")&amp;"-  "</f>
        <v xml:space="preserve">▼   -  </v>
      </c>
      <c r="O38" s="1223" t="str">
        <f ca="1">" "&amp;Taal04!$B$77&amp;" "&amp;D16</f>
        <v xml:space="preserve"> Win. Wedstrijd 37</v>
      </c>
      <c r="P38" s="1223"/>
      <c r="Q38" s="1223"/>
      <c r="R38" s="1223"/>
      <c r="S38" s="1223"/>
      <c r="T38" s="1223"/>
      <c r="U38" s="812"/>
      <c r="V38" s="811" t="str">
        <f>IF(AL38="LEEG","▼   ","")&amp;": "</f>
        <v xml:space="preserve">▼   : </v>
      </c>
      <c r="W38" s="900"/>
      <c r="X38" s="652" t="s">
        <v>12</v>
      </c>
      <c r="Y38" s="900"/>
      <c r="Z38" s="510"/>
      <c r="AA38" s="503"/>
      <c r="AB38" s="12"/>
      <c r="AC38" s="343" t="str">
        <f>IF(ISBLANK(L38),"OO",IF(TYPE(VLOOKUP(L38,Taal02!$C$100:$D$419,2,FALSE))=16,"XX",VLOOKUP(L38,Taal02!$C$100:$D$419,2,FALSE)))</f>
        <v>OO</v>
      </c>
      <c r="AD38" s="300" t="str">
        <f>IF(AC38="OO","LEEG",IF(AC38="XX","FOUT",VLOOKUP(AC38,Voorblad!$X$65:$Z$98,3,FALSE)))</f>
        <v>LEEG</v>
      </c>
      <c r="AE38" s="343" t="str">
        <f>IF(ISBLANK(U38),"OO",IF(TYPE(VLOOKUP(U38,Taal02!$C$100:$D$419,2,FALSE))=16,"XX",VLOOKUP(U38,Taal02!$C$100:$D$419,2,FALSE)))</f>
        <v>OO</v>
      </c>
      <c r="AF38" s="300" t="str">
        <f>IF(AE38="OO","LEEG",IF(AE38="XX","FOUT",VLOOKUP(AE38,Voorblad!$X$65:$Z$98,3,FALSE)))</f>
        <v>LEEG</v>
      </c>
      <c r="AG38" s="12"/>
      <c r="AH38" s="504" t="s">
        <v>1026</v>
      </c>
      <c r="AI38" s="504" t="s">
        <v>12</v>
      </c>
      <c r="AJ38" s="504" t="s">
        <v>1027</v>
      </c>
      <c r="AK38" s="6" t="str">
        <f>IF(AD38="LEEG","LEEG",IF(TYPE(AD38)=2,IF(LEN(AD38)=2,IF(AND($AI$11=0,AH39="DUBBEL"),"ONGELDIG","GOED"),"ONGELDIG"),"ONGELDIG"))</f>
        <v>LEEG</v>
      </c>
      <c r="AL38" s="6" t="str">
        <f>IF(AF38="LEEG","LEEG",IF(TYPE(AF38)=2,IF(LEN(AF38)=2,IF(AND($AI$11=0,AJ39="DUBBEL"),"ONGELDIG","GOED"),"ONGELDIG"),"ONGELDIG"))</f>
        <v>LEEG</v>
      </c>
      <c r="AM38" s="6" t="str">
        <f>IF(ISBLANK(W38),"LEEG",IF(TYPE(W38)=1,IF(AND(W38&lt;10,W38&gt;=0),IF(W38=ROUND(W38,0),"GOED","ONGELDIG"),"ONGELDIG"),"ONGELDIG"))</f>
        <v>LEEG</v>
      </c>
      <c r="AN38" s="6" t="str">
        <f>IF(ISBLANK(Y38),"LEEG",IF(TYPE(Y38)=1,IF(AND(Y38&lt;10,Y38&gt;=0),IF(Y38=ROUND(Y38,0),"GOED","ONGELDIG"),"ONGELDIG"),"ONGELDIG"))</f>
        <v>LEEG</v>
      </c>
      <c r="AO38" s="201" t="str">
        <f>IF(AK38="GOED",IF(AL38="GOED",IF(AM38="GOED",IF(AN38="GOED",AD38&amp;AF38&amp;W38&amp;Y38&amp;"|","FOUT"),"FOUT"),"FOUT"),"FOUT")</f>
        <v>FOUT</v>
      </c>
      <c r="AP38" s="203">
        <f>LEN(AO38)</f>
        <v>4</v>
      </c>
      <c r="AQ38" s="364"/>
      <c r="AR38" s="366" t="s">
        <v>169</v>
      </c>
      <c r="AS38" s="832" t="str">
        <f ca="1">VLOOKUP(AT38,Voorblad!$X$67:$Z$98,2,FALSE)</f>
        <v>Nederland</v>
      </c>
      <c r="AT38" s="833" t="str">
        <f t="shared" ca="1" si="6"/>
        <v>C1</v>
      </c>
      <c r="AU38" s="832" t="str">
        <f ca="1">VLOOKUP(AV38,Voorblad!$X$67:$Z$98,2,FALSE)</f>
        <v>Zweden</v>
      </c>
      <c r="AV38" s="833" t="str">
        <f t="shared" ca="1" si="7"/>
        <v>E2</v>
      </c>
      <c r="AW38" s="832" t="str">
        <f ca="1">VLOOKUP(AX38,Voorblad!$X$67:$Z$98,2,FALSE)</f>
        <v>Italië</v>
      </c>
      <c r="AX38" s="833" t="str">
        <f t="shared" ca="1" si="8"/>
        <v>A2</v>
      </c>
      <c r="AY38" s="832" t="str">
        <f ca="1">VLOOKUP(AZ38,Voorblad!$X$67:$Z$98,2,FALSE)</f>
        <v>Zwitserland</v>
      </c>
      <c r="AZ38" s="833" t="str">
        <f t="shared" ca="1" si="9"/>
        <v>A4</v>
      </c>
      <c r="BA38" s="836">
        <f t="shared" si="10"/>
        <v>16</v>
      </c>
    </row>
    <row r="39" spans="1:53" ht="18.899999999999999" customHeight="1" x14ac:dyDescent="0.3">
      <c r="A39" s="218"/>
      <c r="B39" s="79"/>
      <c r="C39" s="9"/>
      <c r="D39" s="463"/>
      <c r="E39" s="463"/>
      <c r="F39" s="463"/>
      <c r="G39" s="1225" t="str">
        <f ca="1">IF($AB$9=1," "&amp;AC39,IF($AB$9=2,IF(AC38="OO"," "&amp;AC39,""),""))</f>
        <v xml:space="preserve"> </v>
      </c>
      <c r="H39" s="1225"/>
      <c r="I39" s="1225"/>
      <c r="J39" s="1225"/>
      <c r="K39" s="1225"/>
      <c r="L39" s="1225"/>
      <c r="M39" s="438"/>
      <c r="N39" s="438"/>
      <c r="O39" s="1225" t="str">
        <f ca="1">IF($AB$9=1," "&amp;AE39,IF($AB$9=2,IF(AE38="OO"," "&amp;AE39,""),""))</f>
        <v xml:space="preserve"> </v>
      </c>
      <c r="P39" s="1225"/>
      <c r="Q39" s="1225"/>
      <c r="R39" s="1225"/>
      <c r="S39" s="1225"/>
      <c r="T39" s="1225"/>
      <c r="U39" s="1225"/>
      <c r="V39" s="72"/>
      <c r="W39" s="444"/>
      <c r="X39" s="58"/>
      <c r="Y39" s="444"/>
      <c r="Z39" s="11"/>
      <c r="AA39" s="79"/>
      <c r="AB39" s="12"/>
      <c r="AC39" s="1231" t="str">
        <f ca="1">AM97</f>
        <v/>
      </c>
      <c r="AD39" s="1231"/>
      <c r="AE39" s="1231" t="str">
        <f ca="1">AO97</f>
        <v/>
      </c>
      <c r="AF39" s="1231"/>
      <c r="AG39" s="873" t="str">
        <f>IF(AO38="FOUT","",IF(W38&gt;Y38,AC38,IF(W38&lt;Y38,AE38,AC38&amp;AE38)))</f>
        <v/>
      </c>
      <c r="AH39" s="513" t="str">
        <f>IF(AD38="LEEG","LEEG",IF(AD38= "FOUT","ONGELDIG",IF(LEN(SUBSTITUTE(SUBSTITUTE("|"&amp;$AD$36&amp;"|"&amp;$AF$36&amp;"|"&amp;$AD$38&amp;"|"&amp;$AF$38&amp;"|"&amp;$AD$40&amp;"|"&amp;$AF$40&amp;"|"&amp;$AD$42&amp;"|"&amp;$AF$42&amp;"|","LEEG","##"),AD38,"CONTROLE"))=$AJ$44,"GOED","DUBBEL")))</f>
        <v>LEEG</v>
      </c>
      <c r="AI39" s="12"/>
      <c r="AJ39" s="513" t="str">
        <f>IF(AF38="LEEG","LEEG",IF(AF38= "FOUT","ONGELDIG",IF(LEN(SUBSTITUTE(SUBSTITUTE("|"&amp;$AD$36&amp;"|"&amp;$AF$36&amp;"|"&amp;$AD$38&amp;"|"&amp;$AF$38&amp;"|"&amp;$AD$40&amp;"|"&amp;$AF$40&amp;"|"&amp;$AD$42&amp;"|"&amp;$AF$42&amp;"|","LEEG","##"),AF38,"CONTROLE"))=$AJ$44,"GOED","DUBBEL")))</f>
        <v>LEEG</v>
      </c>
      <c r="AK39" s="6"/>
      <c r="AL39" s="6"/>
      <c r="AM39" s="6"/>
      <c r="AN39" s="6"/>
      <c r="AO39" s="201"/>
      <c r="AP39" s="203"/>
      <c r="AQ39" s="368" t="str">
        <f ca="1">VLOOKUP(AR39,Voorblad!$X$67:$Z$98,2,FALSE)</f>
        <v>Hongarije</v>
      </c>
      <c r="AR39" s="370" t="str">
        <f>AR38&amp;1</f>
        <v>F1</v>
      </c>
      <c r="AS39" s="832" t="str">
        <f ca="1">VLOOKUP(AT39,Voorblad!$X$67:$Z$98,2,FALSE)</f>
        <v>N.-Macedonië</v>
      </c>
      <c r="AT39" s="833" t="str">
        <f t="shared" ca="1" si="6"/>
        <v>C4</v>
      </c>
      <c r="AU39" s="832"/>
      <c r="AV39" s="833"/>
      <c r="AW39" s="832" t="str">
        <f ca="1">VLOOKUP(AX39,Voorblad!$X$67:$Z$98,2,FALSE)</f>
        <v>Kroatië</v>
      </c>
      <c r="AX39" s="833" t="str">
        <f t="shared" ca="1" si="8"/>
        <v>D2</v>
      </c>
      <c r="AY39" s="832"/>
      <c r="AZ39" s="833"/>
      <c r="BA39" s="836">
        <f t="shared" si="10"/>
        <v>18</v>
      </c>
    </row>
    <row r="40" spans="1:53" ht="15" customHeight="1" x14ac:dyDescent="0.3">
      <c r="A40" s="218"/>
      <c r="B40" s="79"/>
      <c r="C40" s="9"/>
      <c r="D40" s="14">
        <f>D38+1</f>
        <v>47</v>
      </c>
      <c r="E40" s="23">
        <f>E36+1</f>
        <v>44380.75</v>
      </c>
      <c r="F40" s="161">
        <f>E40+TIME(0,0,0)</f>
        <v>44380.75</v>
      </c>
      <c r="G40" s="1223" t="str">
        <f ca="1">" "&amp;Taal04!$B$77&amp;" "&amp;D18</f>
        <v xml:space="preserve"> Win. Wedstrijd 40</v>
      </c>
      <c r="H40" s="1223"/>
      <c r="I40" s="1223"/>
      <c r="J40" s="1223"/>
      <c r="K40" s="1223"/>
      <c r="L40" s="812"/>
      <c r="M40" s="810"/>
      <c r="N40" s="811" t="str">
        <f>IF(AK40="LEEG","▼   ","")&amp;"-  "</f>
        <v xml:space="preserve">▼   -  </v>
      </c>
      <c r="O40" s="1223" t="str">
        <f ca="1">" "&amp;Taal04!$B$77&amp;" "&amp;D14</f>
        <v xml:space="preserve"> Win. Wedstrijd 38</v>
      </c>
      <c r="P40" s="1223"/>
      <c r="Q40" s="1223"/>
      <c r="R40" s="1223"/>
      <c r="S40" s="1223"/>
      <c r="T40" s="1223"/>
      <c r="U40" s="812"/>
      <c r="V40" s="811" t="str">
        <f>IF(AL40="LEEG","▼   ","")&amp;": "</f>
        <v xml:space="preserve">▼   : </v>
      </c>
      <c r="W40" s="900"/>
      <c r="X40" s="652" t="s">
        <v>12</v>
      </c>
      <c r="Y40" s="900"/>
      <c r="Z40" s="510"/>
      <c r="AA40" s="503"/>
      <c r="AB40" s="12"/>
      <c r="AC40" s="343" t="str">
        <f>IF(ISBLANK(L40),"OO",IF(TYPE(VLOOKUP(L40,Taal02!$C$100:$D$419,2,FALSE))=16,"XX",VLOOKUP(L40,Taal02!$C$100:$D$419,2,FALSE)))</f>
        <v>OO</v>
      </c>
      <c r="AD40" s="300" t="str">
        <f>IF(AC40="OO","LEEG",IF(AC40="XX","FOUT",VLOOKUP(AC40,Voorblad!$X$65:$Z$98,3,FALSE)))</f>
        <v>LEEG</v>
      </c>
      <c r="AE40" s="343" t="str">
        <f>IF(ISBLANK(U40),"OO",IF(TYPE(VLOOKUP(U40,Taal02!$C$100:$D$419,2,FALSE))=16,"XX",VLOOKUP(U40,Taal02!$C$100:$D$419,2,FALSE)))</f>
        <v>OO</v>
      </c>
      <c r="AF40" s="300" t="str">
        <f>IF(AE40="OO","LEEG",IF(AE40="XX","FOUT",VLOOKUP(AE40,Voorblad!$X$65:$Z$98,3,FALSE)))</f>
        <v>LEEG</v>
      </c>
      <c r="AG40" s="12"/>
      <c r="AH40" s="504" t="s">
        <v>1028</v>
      </c>
      <c r="AI40" s="504" t="s">
        <v>12</v>
      </c>
      <c r="AJ40" s="504" t="s">
        <v>465</v>
      </c>
      <c r="AK40" s="6" t="str">
        <f>IF(AD40="LEEG","LEEG",IF(TYPE(AD40)=2,IF(LEN(AD40)=2,IF(AND($AI$11=0,AH41="DUBBEL"),"ONGELDIG","GOED"),"ONGELDIG"),"ONGELDIG"))</f>
        <v>LEEG</v>
      </c>
      <c r="AL40" s="6" t="str">
        <f>IF(AF40="LEEG","LEEG",IF(TYPE(AF40)=2,IF(LEN(AF40)=2,IF(AND($AI$11=0,AJ41="DUBBEL"),"ONGELDIG","GOED"),"ONGELDIG"),"ONGELDIG"))</f>
        <v>LEEG</v>
      </c>
      <c r="AM40" s="6" t="str">
        <f>IF(ISBLANK(W40),"LEEG",IF(TYPE(W40)=1,IF(AND(W40&lt;10,W40&gt;=0),IF(W40=ROUND(W40,0),"GOED","ONGELDIG"),"ONGELDIG"),"ONGELDIG"))</f>
        <v>LEEG</v>
      </c>
      <c r="AN40" s="6" t="str">
        <f>IF(ISBLANK(Y40),"LEEG",IF(TYPE(Y40)=1,IF(AND(Y40&lt;10,Y40&gt;=0),IF(Y40=ROUND(Y40,0),"GOED","ONGELDIG"),"ONGELDIG"),"ONGELDIG"))</f>
        <v>LEEG</v>
      </c>
      <c r="AO40" s="201" t="str">
        <f>IF(AK40="GOED",IF(AL40="GOED",IF(AM40="GOED",IF(AN40="GOED",AD40&amp;AF40&amp;W40&amp;Y40&amp;"|","FOUT"),"FOUT"),"FOUT"),"FOUT")</f>
        <v>FOUT</v>
      </c>
      <c r="AP40" s="203">
        <f>LEN(AO40)</f>
        <v>4</v>
      </c>
      <c r="AQ40" s="368" t="str">
        <f ca="1">VLOOKUP(AR40,Voorblad!$X$67:$Z$98,2,FALSE)</f>
        <v>Portugal</v>
      </c>
      <c r="AR40" s="370" t="str">
        <f>AR38&amp;2</f>
        <v>F2</v>
      </c>
      <c r="AS40" s="832" t="str">
        <f ca="1">VLOOKUP(AT40,Voorblad!$X$67:$Z$98,2,FALSE)</f>
        <v>Oekraïne</v>
      </c>
      <c r="AT40" s="833" t="str">
        <f t="shared" ca="1" si="6"/>
        <v>C2</v>
      </c>
      <c r="AU40" s="832"/>
      <c r="AV40" s="833"/>
      <c r="AW40" s="832" t="str">
        <f ca="1">VLOOKUP(AX40,Voorblad!$X$67:$Z$98,2,FALSE)</f>
        <v>Polen</v>
      </c>
      <c r="AX40" s="833" t="str">
        <f t="shared" ca="1" si="8"/>
        <v>E3</v>
      </c>
      <c r="AY40" s="832"/>
      <c r="AZ40" s="833"/>
      <c r="BA40" s="836">
        <f t="shared" si="10"/>
        <v>20</v>
      </c>
    </row>
    <row r="41" spans="1:53" ht="18.899999999999999" customHeight="1" x14ac:dyDescent="0.3">
      <c r="A41" s="218"/>
      <c r="B41" s="79"/>
      <c r="C41" s="9"/>
      <c r="D41" s="463"/>
      <c r="E41" s="463"/>
      <c r="F41" s="463"/>
      <c r="G41" s="1225" t="str">
        <f ca="1">IF($AB$9=1," "&amp;AC41,IF($AB$9=2,IF(AC40="OO"," "&amp;AC41,""),""))</f>
        <v xml:space="preserve"> </v>
      </c>
      <c r="H41" s="1225"/>
      <c r="I41" s="1225"/>
      <c r="J41" s="1225"/>
      <c r="K41" s="1225"/>
      <c r="L41" s="1225"/>
      <c r="M41" s="438"/>
      <c r="N41" s="438"/>
      <c r="O41" s="1225" t="str">
        <f ca="1">IF($AB$9=1," "&amp;AE41,IF($AB$9=2,IF(AE40="OO"," "&amp;AE41,""),""))</f>
        <v xml:space="preserve"> </v>
      </c>
      <c r="P41" s="1225"/>
      <c r="Q41" s="1225"/>
      <c r="R41" s="1225"/>
      <c r="S41" s="1225"/>
      <c r="T41" s="1225"/>
      <c r="U41" s="1225"/>
      <c r="V41" s="72"/>
      <c r="W41" s="444"/>
      <c r="X41" s="58"/>
      <c r="Y41" s="444"/>
      <c r="Z41" s="11"/>
      <c r="AA41" s="79"/>
      <c r="AB41" s="12"/>
      <c r="AC41" s="1231" t="str">
        <f ca="1">AM98</f>
        <v/>
      </c>
      <c r="AD41" s="1231"/>
      <c r="AE41" s="1231" t="str">
        <f ca="1">AO98</f>
        <v/>
      </c>
      <c r="AF41" s="1231"/>
      <c r="AG41" s="873" t="str">
        <f>IF(AO40="FOUT","",IF(W40&gt;Y40,AC40,IF(W40&lt;Y40,AE40,AC40&amp;AE40)))</f>
        <v/>
      </c>
      <c r="AH41" s="513" t="str">
        <f>IF(AD40="LEEG","LEEG",IF(AD40= "FOUT","ONGELDIG",IF(LEN(SUBSTITUTE(SUBSTITUTE("|"&amp;$AD$36&amp;"|"&amp;$AF$36&amp;"|"&amp;$AD$38&amp;"|"&amp;$AF$38&amp;"|"&amp;$AD$40&amp;"|"&amp;$AF$40&amp;"|"&amp;$AD$42&amp;"|"&amp;$AF$42&amp;"|","LEEG","##"),AD40,"CONTROLE"))=$AJ$44,"GOED","DUBBEL")))</f>
        <v>LEEG</v>
      </c>
      <c r="AI41" s="12"/>
      <c r="AJ41" s="513" t="str">
        <f>IF(AF40="LEEG","LEEG",IF(AF40= "FOUT","ONGELDIG",IF(LEN(SUBSTITUTE(SUBSTITUTE("|"&amp;$AD$36&amp;"|"&amp;$AF$36&amp;"|"&amp;$AD$38&amp;"|"&amp;$AF$38&amp;"|"&amp;$AD$40&amp;"|"&amp;$AF$40&amp;"|"&amp;$AD$42&amp;"|"&amp;$AF$42&amp;"|","LEEG","##"),AF40,"CONTROLE"))=$AJ$44,"GOED","DUBBEL")))</f>
        <v>LEEG</v>
      </c>
      <c r="AK41" s="6"/>
      <c r="AL41" s="6"/>
      <c r="AM41" s="6"/>
      <c r="AN41" s="6"/>
      <c r="AO41" s="201"/>
      <c r="AP41" s="114"/>
      <c r="AQ41" s="368" t="str">
        <f ca="1">VLOOKUP(AR41,Voorblad!$X$67:$Z$98,2,FALSE)</f>
        <v>Frankrijk</v>
      </c>
      <c r="AR41" s="370" t="str">
        <f>AR38&amp;3</f>
        <v>F3</v>
      </c>
      <c r="AS41" s="832" t="str">
        <f ca="1">VLOOKUP(AT41,Voorblad!$X$67:$Z$98,2,FALSE)</f>
        <v>Oostenrijk</v>
      </c>
      <c r="AT41" s="833" t="str">
        <f t="shared" ca="1" si="6"/>
        <v>C3</v>
      </c>
      <c r="AU41" s="832"/>
      <c r="AV41" s="833"/>
      <c r="AW41" s="832" t="str">
        <f ca="1">VLOOKUP(AX41,Voorblad!$X$67:$Z$98,2,FALSE)</f>
        <v>Portugal</v>
      </c>
      <c r="AX41" s="833" t="str">
        <f t="shared" ca="1" si="8"/>
        <v>F2</v>
      </c>
      <c r="AY41" s="832"/>
      <c r="AZ41" s="833"/>
      <c r="BA41" s="836">
        <f t="shared" si="10"/>
        <v>22</v>
      </c>
    </row>
    <row r="42" spans="1:53" ht="15" customHeight="1" x14ac:dyDescent="0.3">
      <c r="A42" s="218"/>
      <c r="B42" s="79"/>
      <c r="C42" s="9"/>
      <c r="D42" s="14">
        <f>D40+1</f>
        <v>48</v>
      </c>
      <c r="E42" s="23">
        <f>E38+1</f>
        <v>44380.875</v>
      </c>
      <c r="F42" s="161">
        <f>E42+TIME(0,0,0)</f>
        <v>44380.875</v>
      </c>
      <c r="G42" s="1223" t="str">
        <f ca="1">" "&amp;Taal04!$B$77&amp;" "&amp;D28</f>
        <v xml:space="preserve"> Win. Wedstrijd 43</v>
      </c>
      <c r="H42" s="1223"/>
      <c r="I42" s="1223"/>
      <c r="J42" s="1223"/>
      <c r="K42" s="1223"/>
      <c r="L42" s="812"/>
      <c r="M42" s="810"/>
      <c r="N42" s="811" t="str">
        <f>IF(AK42="LEEG","▼   ","")&amp;"-  "</f>
        <v xml:space="preserve">▼   -  </v>
      </c>
      <c r="O42" s="1223" t="str">
        <f ca="1">" "&amp;Taal04!$B$77&amp;" "&amp;D26</f>
        <v xml:space="preserve"> Win. Wedstrijd 44</v>
      </c>
      <c r="P42" s="1223"/>
      <c r="Q42" s="1223"/>
      <c r="R42" s="1223"/>
      <c r="S42" s="1223"/>
      <c r="T42" s="1223"/>
      <c r="U42" s="812"/>
      <c r="V42" s="811" t="str">
        <f>IF(AL42="LEEG","▼   ","")&amp;": "</f>
        <v xml:space="preserve">▼   : </v>
      </c>
      <c r="W42" s="900"/>
      <c r="X42" s="652" t="s">
        <v>12</v>
      </c>
      <c r="Y42" s="900"/>
      <c r="Z42" s="510"/>
      <c r="AA42" s="503"/>
      <c r="AB42" s="12"/>
      <c r="AC42" s="343" t="str">
        <f>IF(ISBLANK(L42),"OO",IF(TYPE(VLOOKUP(L42,Taal02!$C$100:$D$419,2,FALSE))=16,"XX",VLOOKUP(L42,Taal02!$C$100:$D$419,2,FALSE)))</f>
        <v>OO</v>
      </c>
      <c r="AD42" s="300" t="str">
        <f>IF(AC42="OO","LEEG",IF(AC42="XX","FOUT",VLOOKUP(AC42,Voorblad!$X$65:$Z$98,3,FALSE)))</f>
        <v>LEEG</v>
      </c>
      <c r="AE42" s="343" t="str">
        <f>IF(ISBLANK(U42),"OO",IF(TYPE(VLOOKUP(U42,Taal02!$C$100:$D$419,2,FALSE))=16,"XX",VLOOKUP(U42,Taal02!$C$100:$D$419,2,FALSE)))</f>
        <v>OO</v>
      </c>
      <c r="AF42" s="300" t="str">
        <f>IF(AE42="OO","LEEG",IF(AE42="XX","FOUT",VLOOKUP(AE42,Voorblad!$X$65:$Z$98,3,FALSE)))</f>
        <v>LEEG</v>
      </c>
      <c r="AG42" s="12"/>
      <c r="AH42" s="504" t="s">
        <v>1029</v>
      </c>
      <c r="AI42" s="504" t="s">
        <v>12</v>
      </c>
      <c r="AJ42" s="504" t="s">
        <v>1030</v>
      </c>
      <c r="AK42" s="6" t="str">
        <f>IF(AD42="LEEG","LEEG",IF(TYPE(AD42)=2,IF(LEN(AD42)=2,IF(AND($AI$11=0,AH43="DUBBEL"),"ONGELDIG","GOED"),"ONGELDIG"),"ONGELDIG"))</f>
        <v>LEEG</v>
      </c>
      <c r="AL42" s="6" t="str">
        <f>IF(AF42="LEEG","LEEG",IF(TYPE(AF42)=2,IF(LEN(AF42)=2,IF(AND($AI$11=0,AJ43="DUBBEL"),"ONGELDIG","GOED"),"ONGELDIG"),"ONGELDIG"))</f>
        <v>LEEG</v>
      </c>
      <c r="AM42" s="6" t="str">
        <f>IF(ISBLANK(W42),"LEEG",IF(TYPE(W42)=1,IF(AND(W42&lt;10,W42&gt;=0),IF(W42=ROUND(W42,0),"GOED","ONGELDIG"),"ONGELDIG"),"ONGELDIG"))</f>
        <v>LEEG</v>
      </c>
      <c r="AN42" s="6" t="str">
        <f>IF(ISBLANK(Y42),"LEEG",IF(TYPE(Y42)=1,IF(AND(Y42&lt;10,Y42&gt;=0),IF(Y42=ROUND(Y42,0),"GOED","ONGELDIG"),"ONGELDIG"),"ONGELDIG"))</f>
        <v>LEEG</v>
      </c>
      <c r="AO42" s="201" t="str">
        <f>IF(AK42="GOED",IF(AL42="GOED",IF(AM42="GOED",IF(AN42="GOED",AD42&amp;AF42&amp;W42&amp;Y42&amp;"|","FOUT"),"FOUT"),"FOUT"),"FOUT")</f>
        <v>FOUT</v>
      </c>
      <c r="AP42" s="203">
        <f>LEN(AO42)</f>
        <v>4</v>
      </c>
      <c r="AQ42" s="371" t="str">
        <f ca="1">VLOOKUP(AR42,Voorblad!$X$67:$Z$98,2,FALSE)</f>
        <v>Duitsland</v>
      </c>
      <c r="AR42" s="373" t="str">
        <f>AR38&amp;4</f>
        <v>F4</v>
      </c>
      <c r="AS42" s="832" t="str">
        <f ca="1">VLOOKUP(AT42,Voorblad!$X$67:$Z$98,2,FALSE)</f>
        <v>Portugal</v>
      </c>
      <c r="AT42" s="833" t="str">
        <f t="shared" ca="1" si="6"/>
        <v>F2</v>
      </c>
      <c r="AU42" s="832"/>
      <c r="AV42" s="833"/>
      <c r="AW42" s="832" t="str">
        <f ca="1">VLOOKUP(AX42,Voorblad!$X$67:$Z$98,2,FALSE)</f>
        <v>Rusland</v>
      </c>
      <c r="AX42" s="833" t="str">
        <f t="shared" ca="1" si="8"/>
        <v>B4</v>
      </c>
      <c r="AY42" s="832"/>
      <c r="AZ42" s="833"/>
      <c r="BA42" s="836">
        <f t="shared" si="10"/>
        <v>24</v>
      </c>
    </row>
    <row r="43" spans="1:53" ht="15" customHeight="1" x14ac:dyDescent="0.3">
      <c r="A43" s="218"/>
      <c r="B43" s="79"/>
      <c r="C43" s="9"/>
      <c r="D43" s="72"/>
      <c r="E43" s="72"/>
      <c r="F43" s="72"/>
      <c r="G43" s="1225" t="str">
        <f ca="1">IF($AB$9=1," "&amp;AC43,IF($AB$9=2,IF(AC42="OO"," "&amp;AC43,""),""))</f>
        <v xml:space="preserve"> </v>
      </c>
      <c r="H43" s="1225"/>
      <c r="I43" s="1225"/>
      <c r="J43" s="1225"/>
      <c r="K43" s="1225"/>
      <c r="L43" s="1225"/>
      <c r="M43" s="438"/>
      <c r="N43" s="438"/>
      <c r="O43" s="1225" t="str">
        <f ca="1">IF($AB$9=1," "&amp;AE43,IF($AB$9=2,IF(AE42="OO"," "&amp;AE43,""),""))</f>
        <v xml:space="preserve"> </v>
      </c>
      <c r="P43" s="1225"/>
      <c r="Q43" s="1225"/>
      <c r="R43" s="1225"/>
      <c r="S43" s="1225"/>
      <c r="T43" s="1225"/>
      <c r="U43" s="1225"/>
      <c r="V43" s="72"/>
      <c r="W43" s="72"/>
      <c r="X43" s="72"/>
      <c r="Y43" s="72"/>
      <c r="Z43" s="11"/>
      <c r="AA43" s="79"/>
      <c r="AB43" s="12"/>
      <c r="AC43" s="1231" t="str">
        <f ca="1">AM99</f>
        <v/>
      </c>
      <c r="AD43" s="1231"/>
      <c r="AE43" s="1231" t="str">
        <f ca="1">AO99</f>
        <v/>
      </c>
      <c r="AF43" s="1231"/>
      <c r="AG43" s="873" t="str">
        <f>IF(AO42="FOUT","",IF(W42&gt;Y42,AC42,IF(W42&lt;Y42,AE42,AC42&amp;AE42)))</f>
        <v/>
      </c>
      <c r="AH43" s="513" t="str">
        <f>IF(AD42="LEEG","LEEG",IF(AD42= "FOUT","ONGELDIG",IF(LEN(SUBSTITUTE(SUBSTITUTE("|"&amp;$AD$36&amp;"|"&amp;$AF$36&amp;"|"&amp;$AD$38&amp;"|"&amp;$AF$38&amp;"|"&amp;$AD$40&amp;"|"&amp;$AF$40&amp;"|"&amp;$AD$42&amp;"|"&amp;$AF$42&amp;"|","LEEG","##"),AD42,"CONTROLE"))=$AJ$44,"GOED","DUBBEL")))</f>
        <v>LEEG</v>
      </c>
      <c r="AI43" s="12"/>
      <c r="AJ43" s="513" t="str">
        <f>IF(AF42="LEEG","LEEG",IF(AF42= "FOUT","ONGELDIG",IF(LEN(SUBSTITUTE(SUBSTITUTE("|"&amp;$AD$36&amp;"|"&amp;$AF$36&amp;"|"&amp;$AD$38&amp;"|"&amp;$AF$38&amp;"|"&amp;$AD$40&amp;"|"&amp;$AF$40&amp;"|"&amp;$AD$42&amp;"|"&amp;$AF$42&amp;"|","LEEG","##"),AF42,"CONTROLE"))=$AJ$44,"GOED","DUBBEL")))</f>
        <v>LEEG</v>
      </c>
      <c r="AK43" s="5"/>
      <c r="AL43" s="5"/>
      <c r="AM43" s="5"/>
      <c r="AN43" s="5"/>
      <c r="AO43" s="201"/>
      <c r="AP43" s="203"/>
      <c r="AQ43" s="364"/>
      <c r="AR43" s="366" t="s">
        <v>168</v>
      </c>
      <c r="AS43" s="832" t="str">
        <f ca="1">VLOOKUP(AT43,Voorblad!$X$67:$Z$98,2,FALSE)</f>
        <v>Rusland</v>
      </c>
      <c r="AT43" s="833" t="str">
        <f t="shared" ca="1" si="6"/>
        <v>B4</v>
      </c>
      <c r="AU43" s="832"/>
      <c r="AV43" s="833"/>
      <c r="AW43" s="832" t="str">
        <f ca="1">VLOOKUP(AX43,Voorblad!$X$67:$Z$98,2,FALSE)</f>
        <v>Schotland</v>
      </c>
      <c r="AX43" s="833" t="str">
        <f t="shared" ca="1" si="8"/>
        <v>D3</v>
      </c>
      <c r="AY43" s="832"/>
      <c r="AZ43" s="833"/>
      <c r="BA43" s="836">
        <f t="shared" ref="BA43:BA50" si="11">BA42+2</f>
        <v>26</v>
      </c>
    </row>
    <row r="44" spans="1:53" ht="24" customHeight="1" x14ac:dyDescent="0.5">
      <c r="A44" s="218"/>
      <c r="B44" s="79"/>
      <c r="C44" s="9"/>
      <c r="D44" s="543" t="str">
        <f ca="1">Taal04!$B$29</f>
        <v>Halve finale</v>
      </c>
      <c r="E44" s="72"/>
      <c r="F44" s="72"/>
      <c r="G44" s="72"/>
      <c r="H44" s="72"/>
      <c r="I44" s="72"/>
      <c r="J44" s="72"/>
      <c r="K44" s="72"/>
      <c r="L44" s="72"/>
      <c r="M44" s="72"/>
      <c r="N44" s="72"/>
      <c r="O44" s="72"/>
      <c r="P44" s="72"/>
      <c r="Q44" s="72"/>
      <c r="R44" s="79"/>
      <c r="S44" s="79"/>
      <c r="T44" s="79"/>
      <c r="U44" s="79"/>
      <c r="V44" s="72"/>
      <c r="W44" s="58"/>
      <c r="X44" s="58"/>
      <c r="Y44" s="58"/>
      <c r="Z44" s="11"/>
      <c r="AA44" s="79"/>
      <c r="AB44" s="12"/>
      <c r="AC44" s="374"/>
      <c r="AD44" s="374"/>
      <c r="AE44" s="374"/>
      <c r="AF44" s="374"/>
      <c r="AG44" s="12"/>
      <c r="AH44" s="12"/>
      <c r="AI44" s="12"/>
      <c r="AJ44" s="512">
        <f>8*3+1+LEN("CONTROLE")-2</f>
        <v>31</v>
      </c>
      <c r="AK44" s="1245" t="s">
        <v>20</v>
      </c>
      <c r="AL44" s="1245"/>
      <c r="AM44" s="1245"/>
      <c r="AN44" s="1245"/>
      <c r="AO44" s="1245"/>
      <c r="AP44" s="114"/>
      <c r="AQ44" s="368" t="str">
        <f ca="1">VLOOKUP(AR44,Voorblad!$X$67:$Z$98,2,FALSE)</f>
        <v>Land G1</v>
      </c>
      <c r="AR44" s="370" t="str">
        <f>AR43&amp;1</f>
        <v>G1</v>
      </c>
      <c r="AS44" s="832" t="str">
        <f ca="1">VLOOKUP(AT44,Voorblad!$X$67:$Z$98,2,FALSE)</f>
        <v>Turkije</v>
      </c>
      <c r="AT44" s="833" t="str">
        <f t="shared" ca="1" si="6"/>
        <v>A1</v>
      </c>
      <c r="AU44" s="832"/>
      <c r="AV44" s="833"/>
      <c r="AW44" s="832" t="str">
        <f ca="1">VLOOKUP(AX44,Voorblad!$X$67:$Z$98,2,FALSE)</f>
        <v>Slowakije</v>
      </c>
      <c r="AX44" s="833" t="str">
        <f t="shared" ca="1" si="8"/>
        <v>E4</v>
      </c>
      <c r="AY44" s="832"/>
      <c r="AZ44" s="833"/>
      <c r="BA44" s="836">
        <f t="shared" si="11"/>
        <v>28</v>
      </c>
    </row>
    <row r="45" spans="1:53" ht="15" customHeight="1" x14ac:dyDescent="0.3">
      <c r="A45" s="218"/>
      <c r="B45" s="79"/>
      <c r="C45" s="9"/>
      <c r="D45" s="72"/>
      <c r="E45" s="21" t="str">
        <f ca="1">Taal04!$B$20</f>
        <v>Datum</v>
      </c>
      <c r="F45" s="21" t="str">
        <f ca="1">Taal04!$B$21</f>
        <v>Tijd</v>
      </c>
      <c r="G45" s="1226" t="str">
        <f ca="1">Taal04!$B$22</f>
        <v>Wedstrijd</v>
      </c>
      <c r="H45" s="1226"/>
      <c r="I45" s="1226"/>
      <c r="J45" s="1226"/>
      <c r="K45" s="1226"/>
      <c r="L45" s="1226"/>
      <c r="M45" s="1226"/>
      <c r="N45" s="1226"/>
      <c r="O45" s="1226"/>
      <c r="P45" s="1226"/>
      <c r="Q45" s="1226"/>
      <c r="R45" s="1226"/>
      <c r="S45" s="1226"/>
      <c r="T45" s="1226"/>
      <c r="U45" s="1226"/>
      <c r="V45" s="72"/>
      <c r="W45" s="1249" t="str">
        <f ca="1">Taal04!$B$24</f>
        <v>Eindstand</v>
      </c>
      <c r="X45" s="1250"/>
      <c r="Y45" s="1250"/>
      <c r="Z45" s="11"/>
      <c r="AA45" s="79"/>
      <c r="AB45" s="12"/>
      <c r="AC45" s="300" t="s">
        <v>18</v>
      </c>
      <c r="AD45" s="300" t="s">
        <v>19</v>
      </c>
      <c r="AE45" s="300" t="s">
        <v>18</v>
      </c>
      <c r="AF45" s="300" t="s">
        <v>19</v>
      </c>
      <c r="AG45" s="12"/>
      <c r="AH45" s="504" t="s">
        <v>73</v>
      </c>
      <c r="AI45" s="12"/>
      <c r="AJ45" s="504" t="s">
        <v>73</v>
      </c>
      <c r="AK45" s="4" t="s">
        <v>26</v>
      </c>
      <c r="AL45" s="4" t="s">
        <v>27</v>
      </c>
      <c r="AM45" s="13" t="s">
        <v>24</v>
      </c>
      <c r="AN45" s="13" t="s">
        <v>25</v>
      </c>
      <c r="AO45" s="165" t="s">
        <v>0</v>
      </c>
      <c r="AP45" s="114"/>
      <c r="AQ45" s="368" t="str">
        <f ca="1">VLOOKUP(AR45,Voorblad!$X$67:$Z$98,2,FALSE)</f>
        <v>Land G2</v>
      </c>
      <c r="AR45" s="370" t="str">
        <f>AR43&amp;2</f>
        <v>G2</v>
      </c>
      <c r="AS45" s="832" t="str">
        <f ca="1">VLOOKUP(AT45,Voorblad!$X$67:$Z$98,2,FALSE)</f>
        <v>Wales</v>
      </c>
      <c r="AT45" s="833" t="str">
        <f t="shared" ca="1" si="6"/>
        <v>A3</v>
      </c>
      <c r="AU45" s="832"/>
      <c r="AV45" s="833"/>
      <c r="AW45" s="832" t="str">
        <f ca="1">VLOOKUP(AX45,Voorblad!$X$67:$Z$98,2,FALSE)</f>
        <v>Spanje</v>
      </c>
      <c r="AX45" s="833" t="str">
        <f t="shared" ca="1" si="8"/>
        <v>E1</v>
      </c>
      <c r="AY45" s="832"/>
      <c r="AZ45" s="833"/>
      <c r="BA45" s="836">
        <f t="shared" si="11"/>
        <v>30</v>
      </c>
    </row>
    <row r="46" spans="1:53" ht="15" customHeight="1" x14ac:dyDescent="0.3">
      <c r="A46" s="218"/>
      <c r="B46" s="79"/>
      <c r="C46" s="9"/>
      <c r="D46" s="14">
        <f>D42+1</f>
        <v>49</v>
      </c>
      <c r="E46" s="23">
        <f>E42+3</f>
        <v>44383.875</v>
      </c>
      <c r="F46" s="161">
        <f>E46+TIME(0,0,0)</f>
        <v>44383.875</v>
      </c>
      <c r="G46" s="1223" t="str">
        <f ca="1">" "&amp;Taal04!$B$77&amp;" "&amp;D38</f>
        <v xml:space="preserve"> Win. Wedstrijd 46</v>
      </c>
      <c r="H46" s="1223"/>
      <c r="I46" s="1223"/>
      <c r="J46" s="1223"/>
      <c r="K46" s="1223"/>
      <c r="L46" s="812"/>
      <c r="M46" s="810"/>
      <c r="N46" s="811" t="str">
        <f>IF(AK46="LEEG","▼   ","")&amp;"-  "</f>
        <v xml:space="preserve">▼   -  </v>
      </c>
      <c r="O46" s="1223" t="str">
        <f ca="1">" "&amp;Taal04!$B$77&amp;" "&amp;D36</f>
        <v xml:space="preserve"> Win. Wedstrijd 45</v>
      </c>
      <c r="P46" s="1223"/>
      <c r="Q46" s="1223"/>
      <c r="R46" s="1223"/>
      <c r="S46" s="1223"/>
      <c r="T46" s="1223"/>
      <c r="U46" s="812"/>
      <c r="V46" s="811" t="str">
        <f>IF(AL46="LEEG","▼   ","")&amp;": "</f>
        <v xml:space="preserve">▼   : </v>
      </c>
      <c r="W46" s="900"/>
      <c r="X46" s="652" t="s">
        <v>12</v>
      </c>
      <c r="Y46" s="900"/>
      <c r="Z46" s="11"/>
      <c r="AA46" s="79"/>
      <c r="AB46" s="12"/>
      <c r="AC46" s="343" t="str">
        <f>IF(ISBLANK(L46),"OO",IF(TYPE(VLOOKUP(L46,Taal02!$C$100:$D$419,2,FALSE))=16,"XX",VLOOKUP(L46,Taal02!$C$100:$D$419,2,FALSE)))</f>
        <v>OO</v>
      </c>
      <c r="AD46" s="300" t="str">
        <f>IF(AC46="OO","LEEG",IF(AC46="XX","FOUT",VLOOKUP(AC46,Voorblad!$X$65:$Z$98,3,FALSE)))</f>
        <v>LEEG</v>
      </c>
      <c r="AE46" s="343" t="str">
        <f>IF(ISBLANK(U46),"OO",IF(TYPE(VLOOKUP(U46,Taal02!$C$100:$D$419,2,FALSE))=16,"XX",VLOOKUP(U46,Taal02!$C$100:$D$419,2,FALSE)))</f>
        <v>OO</v>
      </c>
      <c r="AF46" s="300" t="str">
        <f>IF(AE46="OO","LEEG",IF(AE46="XX","FOUT",VLOOKUP(AE46,Voorblad!$X$65:$Z$98,3,FALSE)))</f>
        <v>LEEG</v>
      </c>
      <c r="AG46" s="12"/>
      <c r="AH46" s="504" t="s">
        <v>72</v>
      </c>
      <c r="AI46" s="504" t="s">
        <v>12</v>
      </c>
      <c r="AJ46" s="504" t="s">
        <v>466</v>
      </c>
      <c r="AK46" s="6" t="str">
        <f>IF(AD46="LEEG","LEEG",IF(TYPE(AD46)=2,IF(LEN(AD46)=2,IF(AND($AI$11=0,AH47="DUBBEL"),"ONGELDIG","GOED"),"ONGELDIG"),"ONGELDIG"))</f>
        <v>LEEG</v>
      </c>
      <c r="AL46" s="6" t="str">
        <f>IF(AF46="LEEG","LEEG",IF(TYPE(AF46)=2,IF(LEN(AF46)=2,IF(AND($AI$11=0,AJ47="DUBBEL"),"ONGELDIG","GOED"),"ONGELDIG"),"ONGELDIG"))</f>
        <v>LEEG</v>
      </c>
      <c r="AM46" s="6" t="str">
        <f>IF(ISBLANK(W46),"LEEG",IF(TYPE(W46)=1,IF(AND(W46&lt;10,W46&gt;=0),IF(W46=ROUND(W46,0),"GOED","ONGELDIG"),"ONGELDIG"),"ONGELDIG"))</f>
        <v>LEEG</v>
      </c>
      <c r="AN46" s="6" t="str">
        <f>IF(ISBLANK(Y46),"LEEG",IF(TYPE(Y46)=1,IF(AND(Y46&lt;10,Y46&gt;=0),IF(Y46=ROUND(Y46,0),"GOED","ONGELDIG"),"ONGELDIG"),"ONGELDIG"))</f>
        <v>LEEG</v>
      </c>
      <c r="AO46" s="201" t="str">
        <f>IF(AK46="GOED",IF(AL46="GOED",IF(AM46="GOED",IF(AN46="GOED",AD46&amp;AF46&amp;W46&amp;Y46&amp;"|","FOUT"),"FOUT"),"FOUT"),"FOUT")</f>
        <v>FOUT</v>
      </c>
      <c r="AP46" s="203">
        <f>LEN(AO46)</f>
        <v>4</v>
      </c>
      <c r="AQ46" s="368" t="str">
        <f ca="1">VLOOKUP(AR46,Voorblad!$X$67:$Z$98,2,FALSE)</f>
        <v>Land G3</v>
      </c>
      <c r="AR46" s="370" t="str">
        <f>AR43&amp;3</f>
        <v>G3</v>
      </c>
      <c r="AS46" s="832" t="str">
        <f ca="1">VLOOKUP(AT46,Voorblad!$X$67:$Z$98,2,FALSE)</f>
        <v>Zwitserland</v>
      </c>
      <c r="AT46" s="833" t="str">
        <f t="shared" ca="1" si="6"/>
        <v>A4</v>
      </c>
      <c r="AU46" s="832"/>
      <c r="AV46" s="833"/>
      <c r="AW46" s="832" t="str">
        <f ca="1">VLOOKUP(AX46,Voorblad!$X$67:$Z$98,2,FALSE)</f>
        <v>Tsjechië</v>
      </c>
      <c r="AX46" s="833" t="str">
        <f t="shared" ca="1" si="8"/>
        <v>D4</v>
      </c>
      <c r="AY46" s="832"/>
      <c r="AZ46" s="833"/>
      <c r="BA46" s="836">
        <f t="shared" si="11"/>
        <v>32</v>
      </c>
    </row>
    <row r="47" spans="1:53" ht="18.899999999999999" customHeight="1" x14ac:dyDescent="0.3">
      <c r="A47" s="218"/>
      <c r="B47" s="79"/>
      <c r="C47" s="9"/>
      <c r="D47" s="463"/>
      <c r="E47" s="463"/>
      <c r="F47" s="463"/>
      <c r="G47" s="1225" t="str">
        <f ca="1">IF($AB$9=1," "&amp;AC47,IF($AB$9=2,IF(AC46="OO"," "&amp;AC47,""),""))</f>
        <v xml:space="preserve"> </v>
      </c>
      <c r="H47" s="1225"/>
      <c r="I47" s="1225"/>
      <c r="J47" s="1225"/>
      <c r="K47" s="1225"/>
      <c r="L47" s="1225"/>
      <c r="M47" s="438"/>
      <c r="N47" s="438"/>
      <c r="O47" s="1225" t="str">
        <f ca="1">IF($AB$9=1," "&amp;AE47,IF($AB$9=2,IF(AE46="OO"," "&amp;AE47,""),""))</f>
        <v xml:space="preserve"> </v>
      </c>
      <c r="P47" s="1225"/>
      <c r="Q47" s="1225"/>
      <c r="R47" s="1225"/>
      <c r="S47" s="1225"/>
      <c r="T47" s="1225"/>
      <c r="U47" s="1225"/>
      <c r="V47" s="72"/>
      <c r="W47" s="444"/>
      <c r="X47" s="58"/>
      <c r="Y47" s="444"/>
      <c r="Z47" s="11"/>
      <c r="AA47" s="79"/>
      <c r="AB47" s="12"/>
      <c r="AC47" s="1231" t="str">
        <f ca="1">AM102</f>
        <v/>
      </c>
      <c r="AD47" s="1231"/>
      <c r="AE47" s="1231" t="str">
        <f ca="1">AO102</f>
        <v/>
      </c>
      <c r="AF47" s="1231"/>
      <c r="AG47" s="873" t="str">
        <f>IF(AO46="FOUT","",IF(W46&gt;Y46,AC46,IF(W46&lt;Y46,AE46,AC46&amp;AE46)))</f>
        <v/>
      </c>
      <c r="AH47" s="513" t="str">
        <f>IF(AD46="LEEG","LEEG",IF(AD46= "FOUT","ONGELDIG",IF(LEN(SUBSTITUTE(SUBSTITUTE("|"&amp;$AD$46&amp;"|"&amp;$AF$46&amp;"|"&amp;$AD$48&amp;"|"&amp;$AF$48&amp;"|","LEEG","##"),AD46,"CONTROLE"))=$AJ$50,"GOED","DUBBEL")))</f>
        <v>LEEG</v>
      </c>
      <c r="AI47" s="12"/>
      <c r="AJ47" s="513" t="str">
        <f>IF(AF46="LEEG","LEEG",IF(AF46= "FOUT","ONGELDIG",IF(LEN(SUBSTITUTE(SUBSTITUTE("|"&amp;$AD$46&amp;"|"&amp;$AF$46&amp;"|"&amp;$AD$48&amp;"|"&amp;$AF$48&amp;"|","LEEG","##"),AF46,"CONTROLE"))=$AJ$50,"GOED","DUBBEL")))</f>
        <v>LEEG</v>
      </c>
      <c r="AK47" s="6"/>
      <c r="AL47" s="6"/>
      <c r="AM47" s="6"/>
      <c r="AN47" s="6"/>
      <c r="AO47" s="55"/>
      <c r="AP47" s="114"/>
      <c r="AQ47" s="371" t="str">
        <f ca="1">VLOOKUP(AR47,Voorblad!$X$67:$Z$98,2,FALSE)</f>
        <v>Land G4</v>
      </c>
      <c r="AR47" s="373" t="str">
        <f>AR43&amp;4</f>
        <v>G4</v>
      </c>
      <c r="AS47" s="832"/>
      <c r="AT47" s="833"/>
      <c r="AU47" s="832"/>
      <c r="AV47" s="833"/>
      <c r="AW47" s="832" t="str">
        <f ca="1">VLOOKUP(AX47,Voorblad!$X$67:$Z$98,2,FALSE)</f>
        <v>Turkije</v>
      </c>
      <c r="AX47" s="833" t="str">
        <f t="shared" ca="1" si="8"/>
        <v>A1</v>
      </c>
      <c r="AY47" s="832"/>
      <c r="AZ47" s="833"/>
      <c r="BA47" s="836">
        <f t="shared" si="11"/>
        <v>34</v>
      </c>
    </row>
    <row r="48" spans="1:53" ht="15" customHeight="1" x14ac:dyDescent="0.3">
      <c r="A48" s="218"/>
      <c r="B48" s="79"/>
      <c r="C48" s="9"/>
      <c r="D48" s="14">
        <f>D46+1</f>
        <v>50</v>
      </c>
      <c r="E48" s="23">
        <f>E46+1</f>
        <v>44384.875</v>
      </c>
      <c r="F48" s="161">
        <f>E48+TIME(0,0,0)</f>
        <v>44384.875</v>
      </c>
      <c r="G48" s="1223" t="str">
        <f ca="1">" "&amp;Taal04!$B$77&amp;" "&amp;D42</f>
        <v xml:space="preserve"> Win. Wedstrijd 48</v>
      </c>
      <c r="H48" s="1223"/>
      <c r="I48" s="1223"/>
      <c r="J48" s="1223"/>
      <c r="K48" s="1223"/>
      <c r="L48" s="812"/>
      <c r="M48" s="810"/>
      <c r="N48" s="811" t="str">
        <f>IF(AK48="LEEG","▼   ","")&amp;"-  "</f>
        <v xml:space="preserve">▼   -  </v>
      </c>
      <c r="O48" s="1223" t="str">
        <f ca="1">" "&amp;Taal04!$B$77&amp;" "&amp;D40</f>
        <v xml:space="preserve"> Win. Wedstrijd 47</v>
      </c>
      <c r="P48" s="1223"/>
      <c r="Q48" s="1223"/>
      <c r="R48" s="1223"/>
      <c r="S48" s="1223"/>
      <c r="T48" s="1223"/>
      <c r="U48" s="812"/>
      <c r="V48" s="811" t="str">
        <f>IF(AL48="LEEG","▼   ","")&amp;": "</f>
        <v xml:space="preserve">▼   : </v>
      </c>
      <c r="W48" s="900"/>
      <c r="X48" s="652" t="s">
        <v>12</v>
      </c>
      <c r="Y48" s="900"/>
      <c r="Z48" s="11"/>
      <c r="AA48" s="79"/>
      <c r="AB48" s="12"/>
      <c r="AC48" s="343" t="str">
        <f>IF(ISBLANK(L48),"OO",IF(TYPE(VLOOKUP(L48,Taal02!$C$100:$D$419,2,FALSE))=16,"XX",VLOOKUP(L48,Taal02!$C$100:$D$419,2,FALSE)))</f>
        <v>OO</v>
      </c>
      <c r="AD48" s="300" t="str">
        <f>IF(AC48="OO","LEEG",IF(AC48="XX","FOUT",VLOOKUP(AC48,Voorblad!$X$65:$Z$98,3,FALSE)))</f>
        <v>LEEG</v>
      </c>
      <c r="AE48" s="343" t="str">
        <f>IF(ISBLANK(U48),"OO",IF(TYPE(VLOOKUP(U48,Taal02!$C$100:$D$419,2,FALSE))=16,"XX",VLOOKUP(U48,Taal02!$C$100:$D$419,2,FALSE)))</f>
        <v>OO</v>
      </c>
      <c r="AF48" s="300" t="str">
        <f>IF(AE48="OO","LEEG",IF(AE48="XX","FOUT",VLOOKUP(AE48,Voorblad!$X$65:$Z$98,3,FALSE)))</f>
        <v>LEEG</v>
      </c>
      <c r="AG48" s="873" t="str">
        <f>IF(AO46="FOUT","",IF(W46&lt;Y46,AC46,IF(W46&gt;Y46,AE46,AC46&amp;AE46)))</f>
        <v/>
      </c>
      <c r="AH48" s="653" t="s">
        <v>72</v>
      </c>
      <c r="AI48" s="504" t="s">
        <v>12</v>
      </c>
      <c r="AJ48" s="653" t="s">
        <v>466</v>
      </c>
      <c r="AK48" s="6" t="str">
        <f>IF(AD48="LEEG","LEEG",IF(TYPE(AD48)=2,IF(LEN(AD48)=2,IF(AND($AI$11=0,AH49="DUBBEL"),"ONGELDIG","GOED"),"ONGELDIG"),"ONGELDIG"))</f>
        <v>LEEG</v>
      </c>
      <c r="AL48" s="6" t="str">
        <f>IF(AF48="LEEG","LEEG",IF(TYPE(AF48)=2,IF(LEN(AF48)=2,IF(AND($AI$11=0,AJ49="DUBBEL"),"ONGELDIG","GOED"),"ONGELDIG"),"ONGELDIG"))</f>
        <v>LEEG</v>
      </c>
      <c r="AM48" s="6" t="str">
        <f>IF(ISBLANK(W48),"LEEG",IF(TYPE(W48)=1,IF(AND(W48&lt;10,W48&gt;=0),IF(W48=ROUND(W48,0),"GOED","ONGELDIG"),"ONGELDIG"),"ONGELDIG"))</f>
        <v>LEEG</v>
      </c>
      <c r="AN48" s="6" t="str">
        <f>IF(ISBLANK(Y48),"LEEG",IF(TYPE(Y48)=1,IF(AND(Y48&lt;10,Y48&gt;=0),IF(Y48=ROUND(Y48,0),"GOED","ONGELDIG"),"ONGELDIG"),"ONGELDIG"))</f>
        <v>LEEG</v>
      </c>
      <c r="AO48" s="201" t="str">
        <f>IF(AK48="GOED",IF(AL48="GOED",IF(AM48="GOED",IF(AN48="GOED",AD48&amp;AF48&amp;W48&amp;Y48&amp;"|","FOUT"),"FOUT"),"FOUT"),"FOUT")</f>
        <v>FOUT</v>
      </c>
      <c r="AP48" s="203">
        <f>LEN(AO48)</f>
        <v>4</v>
      </c>
      <c r="AQ48" s="364"/>
      <c r="AR48" s="366" t="s">
        <v>170</v>
      </c>
      <c r="AS48" s="832"/>
      <c r="AT48" s="833"/>
      <c r="AU48" s="832"/>
      <c r="AV48" s="833"/>
      <c r="AW48" s="832" t="str">
        <f ca="1">VLOOKUP(AX48,Voorblad!$X$67:$Z$98,2,FALSE)</f>
        <v>Wales</v>
      </c>
      <c r="AX48" s="833" t="str">
        <f t="shared" ca="1" si="8"/>
        <v>A3</v>
      </c>
      <c r="AY48" s="832"/>
      <c r="AZ48" s="833"/>
      <c r="BA48" s="836">
        <f t="shared" si="11"/>
        <v>36</v>
      </c>
    </row>
    <row r="49" spans="1:53" ht="15" customHeight="1" x14ac:dyDescent="0.3">
      <c r="A49" s="218"/>
      <c r="B49" s="79"/>
      <c r="C49" s="9"/>
      <c r="D49" s="455"/>
      <c r="E49" s="447"/>
      <c r="F49" s="448"/>
      <c r="G49" s="1225" t="str">
        <f ca="1">IF($AB$9=1," "&amp;AC49,IF($AB$9=2,IF(AC48="OO"," "&amp;AC49,""),""))</f>
        <v xml:space="preserve"> </v>
      </c>
      <c r="H49" s="1225"/>
      <c r="I49" s="1225"/>
      <c r="J49" s="1225"/>
      <c r="K49" s="1225"/>
      <c r="L49" s="1225"/>
      <c r="M49" s="438"/>
      <c r="N49" s="438"/>
      <c r="O49" s="1225" t="str">
        <f ca="1">IF($AB$9=1," "&amp;AE49,IF($AB$9=2,IF(AE48="OO"," "&amp;AE49,""),""))</f>
        <v xml:space="preserve"> </v>
      </c>
      <c r="P49" s="1225"/>
      <c r="Q49" s="1225"/>
      <c r="R49" s="1225"/>
      <c r="S49" s="1225"/>
      <c r="T49" s="1225"/>
      <c r="U49" s="1225"/>
      <c r="V49" s="72"/>
      <c r="W49" s="58"/>
      <c r="X49" s="58"/>
      <c r="Y49" s="58"/>
      <c r="Z49" s="11"/>
      <c r="AA49" s="79"/>
      <c r="AB49" s="12"/>
      <c r="AC49" s="1231" t="str">
        <f ca="1">AM103</f>
        <v/>
      </c>
      <c r="AD49" s="1231"/>
      <c r="AE49" s="1231" t="str">
        <f ca="1">AO103</f>
        <v/>
      </c>
      <c r="AF49" s="1231"/>
      <c r="AG49" s="873" t="str">
        <f>IF(AO48="FOUT","",IF(W48&gt;Y48,AC48,IF(W48&lt;Y48,AE48,AC48&amp;AE48)))</f>
        <v/>
      </c>
      <c r="AH49" s="513" t="str">
        <f>IF(AD48="LEEG","LEEG",IF(AD48= "FOUT","ONGELDIG",IF(LEN(SUBSTITUTE(SUBSTITUTE("|"&amp;$AD$46&amp;"|"&amp;$AF$46&amp;"|"&amp;$AD$48&amp;"|"&amp;$AF$48&amp;"|","LEEG","##"),AD48,"CONTROLE"))=$AJ$50,"GOED","DUBBEL")))</f>
        <v>LEEG</v>
      </c>
      <c r="AI49" s="12"/>
      <c r="AJ49" s="513" t="str">
        <f>IF(AF48="LEEG","LEEG",IF(AF48= "FOUT","ONGELDIG",IF(LEN(SUBSTITUTE(SUBSTITUTE("|"&amp;$AD$46&amp;"|"&amp;$AF$46&amp;"|"&amp;$AD$48&amp;"|"&amp;$AF$48&amp;"|","LEEG","##"),AF48,"CONTROLE"))=$AJ$50,"GOED","DUBBEL")))</f>
        <v>LEEG</v>
      </c>
      <c r="AK49" s="6"/>
      <c r="AL49" s="6"/>
      <c r="AM49" s="6"/>
      <c r="AN49" s="6"/>
      <c r="AO49" s="201"/>
      <c r="AP49" s="203"/>
      <c r="AQ49" s="368" t="str">
        <f ca="1">VLOOKUP(AR49,Voorblad!$X$67:$Z$98,2,FALSE)</f>
        <v>Land H1</v>
      </c>
      <c r="AR49" s="370" t="str">
        <f>AR48&amp;1</f>
        <v>H1</v>
      </c>
      <c r="AS49" s="832"/>
      <c r="AT49" s="833"/>
      <c r="AU49" s="832"/>
      <c r="AV49" s="833"/>
      <c r="AW49" s="832" t="str">
        <f ca="1">VLOOKUP(AX49,Voorblad!$X$67:$Z$98,2,FALSE)</f>
        <v>Zweden</v>
      </c>
      <c r="AX49" s="833" t="str">
        <f t="shared" ca="1" si="8"/>
        <v>E2</v>
      </c>
      <c r="AY49" s="832"/>
      <c r="AZ49" s="833"/>
      <c r="BA49" s="836">
        <f t="shared" si="11"/>
        <v>38</v>
      </c>
    </row>
    <row r="50" spans="1:53" ht="24" hidden="1" customHeight="1" x14ac:dyDescent="0.5">
      <c r="A50" s="722" t="str">
        <f>IF(A30="H","","H")</f>
        <v>H</v>
      </c>
      <c r="B50" s="79"/>
      <c r="C50" s="9"/>
      <c r="D50" s="543" t="str">
        <f ca="1">Taal04!$B$30</f>
        <v>Troostfinale</v>
      </c>
      <c r="E50" s="447"/>
      <c r="F50" s="448"/>
      <c r="G50" s="72"/>
      <c r="H50" s="72"/>
      <c r="I50" s="72"/>
      <c r="J50" s="69"/>
      <c r="K50" s="69"/>
      <c r="L50" s="69"/>
      <c r="M50" s="72"/>
      <c r="N50" s="72"/>
      <c r="O50" s="72"/>
      <c r="P50" s="58"/>
      <c r="Q50" s="58"/>
      <c r="R50" s="79"/>
      <c r="S50" s="79"/>
      <c r="T50" s="79"/>
      <c r="U50" s="79"/>
      <c r="V50" s="59"/>
      <c r="W50" s="72"/>
      <c r="X50" s="72"/>
      <c r="Y50" s="224"/>
      <c r="Z50" s="11"/>
      <c r="AA50" s="79"/>
      <c r="AB50" s="12"/>
      <c r="AC50" s="343"/>
      <c r="AD50" s="300"/>
      <c r="AE50" s="343"/>
      <c r="AF50" s="300"/>
      <c r="AG50" s="873" t="str">
        <f>IF(AO48="FOUT","",IF(W48&lt;Y48,AC48,IF(W48&gt;Y48,AE48,AC48&amp;AE48)))</f>
        <v/>
      </c>
      <c r="AH50" s="12"/>
      <c r="AI50" s="12"/>
      <c r="AJ50" s="512">
        <f>4*3+1+LEN("CONTROLE")-2</f>
        <v>19</v>
      </c>
      <c r="AK50" s="1252" t="s">
        <v>171</v>
      </c>
      <c r="AL50" s="1252"/>
      <c r="AM50" s="1252"/>
      <c r="AN50" s="1252"/>
      <c r="AO50" s="1252"/>
      <c r="AP50" s="514"/>
      <c r="AQ50" s="368" t="str">
        <f ca="1">VLOOKUP(AR50,Voorblad!$X$67:$Z$98,2,FALSE)</f>
        <v>Land H2</v>
      </c>
      <c r="AR50" s="370" t="str">
        <f>AR48&amp;2</f>
        <v>H2</v>
      </c>
      <c r="AS50" s="832"/>
      <c r="AT50" s="833"/>
      <c r="AU50" s="832"/>
      <c r="AV50" s="833"/>
      <c r="AW50" s="832" t="str">
        <f ca="1">VLOOKUP(AX50,Voorblad!$X$67:$Z$98,2,FALSE)</f>
        <v>Zwitserland</v>
      </c>
      <c r="AX50" s="833" t="str">
        <f t="shared" ca="1" si="8"/>
        <v>A4</v>
      </c>
      <c r="AY50" s="832"/>
      <c r="AZ50" s="833"/>
      <c r="BA50" s="837">
        <f t="shared" si="11"/>
        <v>40</v>
      </c>
    </row>
    <row r="51" spans="1:53" ht="15" hidden="1" customHeight="1" x14ac:dyDescent="0.3">
      <c r="A51" s="722" t="str">
        <f>IF(A31="H","","H")</f>
        <v>H</v>
      </c>
      <c r="B51" s="79"/>
      <c r="C51" s="9"/>
      <c r="D51" s="463"/>
      <c r="E51" s="496" t="str">
        <f ca="1">Taal04!$B$20</f>
        <v>Datum</v>
      </c>
      <c r="F51" s="496" t="str">
        <f ca="1">Taal04!$B$21</f>
        <v>Tijd</v>
      </c>
      <c r="G51" s="1226" t="str">
        <f ca="1">Taal04!$B$22</f>
        <v>Wedstrijd</v>
      </c>
      <c r="H51" s="1226"/>
      <c r="I51" s="1226"/>
      <c r="J51" s="1226"/>
      <c r="K51" s="1226"/>
      <c r="L51" s="1226"/>
      <c r="M51" s="1226"/>
      <c r="N51" s="1226"/>
      <c r="O51" s="1226"/>
      <c r="P51" s="1226"/>
      <c r="Q51" s="1226"/>
      <c r="R51" s="1226"/>
      <c r="S51" s="1226"/>
      <c r="T51" s="1226"/>
      <c r="U51" s="1226"/>
      <c r="V51" s="72"/>
      <c r="W51" s="1249" t="str">
        <f ca="1">Taal04!$B$24</f>
        <v>Eindstand</v>
      </c>
      <c r="X51" s="1250"/>
      <c r="Y51" s="1250"/>
      <c r="Z51" s="11"/>
      <c r="AA51" s="79"/>
      <c r="AB51" s="12"/>
      <c r="AC51" s="300" t="s">
        <v>18</v>
      </c>
      <c r="AD51" s="300" t="s">
        <v>19</v>
      </c>
      <c r="AE51" s="300" t="s">
        <v>18</v>
      </c>
      <c r="AF51" s="300" t="s">
        <v>19</v>
      </c>
      <c r="AG51" s="12"/>
      <c r="AH51" s="504" t="s">
        <v>73</v>
      </c>
      <c r="AI51" s="12"/>
      <c r="AJ51" s="504" t="s">
        <v>73</v>
      </c>
      <c r="AK51" s="475" t="s">
        <v>26</v>
      </c>
      <c r="AL51" s="475" t="s">
        <v>27</v>
      </c>
      <c r="AM51" s="551" t="s">
        <v>24</v>
      </c>
      <c r="AN51" s="551" t="s">
        <v>25</v>
      </c>
      <c r="AO51" s="552" t="s">
        <v>0</v>
      </c>
      <c r="AP51" s="514"/>
      <c r="AQ51" s="368" t="str">
        <f ca="1">VLOOKUP(AR51,Voorblad!$X$67:$Z$98,2,FALSE)</f>
        <v>Land H3</v>
      </c>
      <c r="AR51" s="370" t="str">
        <f>AR48&amp;3</f>
        <v>H3</v>
      </c>
      <c r="AS51" s="830"/>
      <c r="AT51" s="831" t="s">
        <v>1028</v>
      </c>
      <c r="AU51" s="830"/>
      <c r="AV51" s="831" t="s">
        <v>465</v>
      </c>
      <c r="AW51" s="830"/>
      <c r="AX51" s="831" t="s">
        <v>1029</v>
      </c>
      <c r="AY51" s="830"/>
      <c r="AZ51" s="831" t="s">
        <v>1030</v>
      </c>
      <c r="BA51" s="834"/>
    </row>
    <row r="52" spans="1:53" ht="15" hidden="1" customHeight="1" x14ac:dyDescent="0.3">
      <c r="A52" s="722" t="str">
        <f>IF(A32="H","","H")</f>
        <v>H</v>
      </c>
      <c r="B52" s="79"/>
      <c r="C52" s="9"/>
      <c r="D52" s="14">
        <f>D48+1</f>
        <v>51</v>
      </c>
      <c r="E52" s="544">
        <f>E48+3</f>
        <v>44387.875</v>
      </c>
      <c r="F52" s="161">
        <f>E52+TIME(0,0,0)</f>
        <v>44387.875</v>
      </c>
      <c r="G52" s="1223" t="str">
        <f ca="1">" "&amp;Taal04!$B$78&amp;" "&amp;D46</f>
        <v xml:space="preserve"> Verl. Wedstrijd 49</v>
      </c>
      <c r="H52" s="1223"/>
      <c r="I52" s="1223"/>
      <c r="J52" s="1223"/>
      <c r="K52" s="1223"/>
      <c r="L52" s="812"/>
      <c r="M52" s="810"/>
      <c r="N52" s="811" t="str">
        <f>IF(AK52="LEEG","▼   ","")&amp;"-  "</f>
        <v xml:space="preserve">-  </v>
      </c>
      <c r="O52" s="1223" t="str">
        <f ca="1">" "&amp;Taal04!$B$78&amp;" "&amp;D48</f>
        <v xml:space="preserve"> Verl. Wedstrijd 50</v>
      </c>
      <c r="P52" s="1223"/>
      <c r="Q52" s="1223"/>
      <c r="R52" s="1223"/>
      <c r="S52" s="1223"/>
      <c r="T52" s="1223"/>
      <c r="U52" s="812"/>
      <c r="V52" s="811" t="str">
        <f>IF(AL52="LEEG","▼   ","")&amp;": "</f>
        <v xml:space="preserve">: </v>
      </c>
      <c r="W52" s="900"/>
      <c r="X52" s="652" t="s">
        <v>12</v>
      </c>
      <c r="Y52" s="900"/>
      <c r="Z52" s="11"/>
      <c r="AA52" s="79"/>
      <c r="AB52" s="12"/>
      <c r="AC52" s="343" t="str">
        <f>IF(ISBLANK(L52),"OO",IF(TYPE(VLOOKUP(L52,Taal02!$C$100:$D$419,2,FALSE))=16,"XX",VLOOKUP(L52,Taal02!$C$100:$D$419,2,FALSE)))</f>
        <v>OO</v>
      </c>
      <c r="AD52" s="300" t="str">
        <f>IF(AC52="OO","LEEG",IF(AC52="XX","FOUT",VLOOKUP(AC52,Voorblad!$X$65:$Z$98,3,FALSE)))</f>
        <v>LEEG</v>
      </c>
      <c r="AE52" s="343" t="str">
        <f>IF(ISBLANK(U52),"OO",IF(TYPE(VLOOKUP(U52,Taal02!$C$100:$D$419,2,FALSE))=16,"XX",VLOOKUP(U52,Taal02!$C$100:$D$419,2,FALSE)))</f>
        <v>OO</v>
      </c>
      <c r="AF52" s="300" t="str">
        <f>IF(AE52="OO","LEEG",IF(AE52="XX","FOUT",VLOOKUP(AE52,Voorblad!$X$65:$Z$98,3,FALSE)))</f>
        <v>LEEG</v>
      </c>
      <c r="AG52" s="12"/>
      <c r="AH52" s="504" t="s">
        <v>172</v>
      </c>
      <c r="AI52" s="504" t="s">
        <v>12</v>
      </c>
      <c r="AJ52" s="504" t="s">
        <v>172</v>
      </c>
      <c r="AK52" s="6" t="str">
        <f>IF($A52="H","",IF(AD52="LEEG","LEEG",IF(TYPE(AD52)=2,IF(LEN(AD52)=2,IF(AND($AI$11=0,AH53="DUBBEL"),"ONGELDIG","GOED"),"ONGELDIG"),"ONGELDIG")))</f>
        <v/>
      </c>
      <c r="AL52" s="6" t="str">
        <f>IF($A52="H","",IF(AF52="LEEG","LEEG",IF(TYPE(AF52)=2,IF(LEN(AF52)=2,IF(AND($AI$11=0,AJ53="DUBBEL"),"ONGELDIG","GOED"),"ONGELDIG"),"ONGELDIG")))</f>
        <v/>
      </c>
      <c r="AM52" s="475" t="str">
        <f>IF($A52="H","",IF(ISBLANK(W52),"LEEG",IF(TYPE(W52)=1,IF(AND(W52&lt;10,W52&gt;=0),IF(W52=ROUND(W52,0),"GOED","ONGELDIG"),"HOOG"),"ONGELDIG")))</f>
        <v/>
      </c>
      <c r="AN52" s="475" t="str">
        <f>IF($A52="H","",IF(ISBLANK(Y52),"LEEG",IF(TYPE(Y52)=1,IF(AND(Y52&lt;10,Y52&gt;=0),IF(Y52=ROUND(Y52,0),"GOED","ONGELDIG"),"HOOG"),"ONGELDIG")))</f>
        <v/>
      </c>
      <c r="AO52" s="553" t="str">
        <f>IF(AK52="GOED",IF(AL52="GOED",IF(AM52="GOED",IF(AN52="GOED",AD52&amp;AF52&amp;W52&amp;Y52&amp;"|","FOUT"),"FOUT"),"FOUT"),"FOUT")</f>
        <v>FOUT</v>
      </c>
      <c r="AP52" s="203">
        <f>IF(A50="H",0,LEN(AO52))</f>
        <v>0</v>
      </c>
      <c r="AQ52" s="371" t="str">
        <f ca="1">VLOOKUP(AR52,Voorblad!$X$67:$Z$98,2,FALSE)</f>
        <v>Land H4</v>
      </c>
      <c r="AR52" s="373" t="str">
        <f>AR48&amp;4</f>
        <v>H4</v>
      </c>
      <c r="AS52" s="832" t="str">
        <f ca="1">VLOOKUP(AT52,Voorblad!$X$67:$Z$98,2,FALSE)</f>
        <v>Duitsland</v>
      </c>
      <c r="AT52" s="833" t="str">
        <f ca="1">RIGHT(LEFT($AK$98,$BA52),2)</f>
        <v>F4</v>
      </c>
      <c r="AU52" s="832" t="str">
        <f ca="1">VLOOKUP(AV52,Voorblad!$X$67:$Z$98,2,FALSE)</f>
        <v>België</v>
      </c>
      <c r="AV52" s="833" t="str">
        <f ca="1">RIGHT(LEFT($AL$98,$BA52),2)</f>
        <v>B3</v>
      </c>
      <c r="AW52" s="832" t="str">
        <f ca="1">VLOOKUP(AX52,Voorblad!$X$67:$Z$98,2,FALSE)</f>
        <v>België</v>
      </c>
      <c r="AX52" s="833" t="str">
        <f ca="1">RIGHT(LEFT($AK$99,$BA52),2)</f>
        <v>B3</v>
      </c>
      <c r="AY52" s="832" t="str">
        <f ca="1">VLOOKUP(AZ52,Voorblad!$X$67:$Z$98,2,FALSE)</f>
        <v>Duitsland</v>
      </c>
      <c r="AZ52" s="833" t="str">
        <f ca="1">RIGHT(LEFT($AL$99,$BA52),2)</f>
        <v>F4</v>
      </c>
      <c r="BA52" s="835">
        <v>2</v>
      </c>
    </row>
    <row r="53" spans="1:53" ht="15" hidden="1" customHeight="1" x14ac:dyDescent="0.3">
      <c r="A53" s="722" t="str">
        <f>IF(A33="H","","H")</f>
        <v>H</v>
      </c>
      <c r="B53" s="79"/>
      <c r="C53" s="9"/>
      <c r="D53" s="463"/>
      <c r="E53" s="463"/>
      <c r="F53" s="463"/>
      <c r="G53" s="1225" t="str">
        <f ca="1">IF($AB$9=1," "&amp;AC53,IF($AB$9=2,IF(AC52="OO"," "&amp;AC53,""),""))</f>
        <v xml:space="preserve"> </v>
      </c>
      <c r="H53" s="1225"/>
      <c r="I53" s="1225"/>
      <c r="J53" s="1225"/>
      <c r="K53" s="1225"/>
      <c r="L53" s="1225"/>
      <c r="M53" s="438"/>
      <c r="N53" s="438"/>
      <c r="O53" s="1225" t="str">
        <f ca="1">IF($AB$9=1," "&amp;AE53,IF($AB$9=2,IF(AE52="OO"," "&amp;AE53,""),""))</f>
        <v xml:space="preserve"> </v>
      </c>
      <c r="P53" s="1225"/>
      <c r="Q53" s="1225"/>
      <c r="R53" s="1225"/>
      <c r="S53" s="1225"/>
      <c r="T53" s="1225"/>
      <c r="U53" s="1225"/>
      <c r="V53" s="72"/>
      <c r="W53" s="58"/>
      <c r="X53" s="58"/>
      <c r="Y53" s="58"/>
      <c r="Z53" s="11"/>
      <c r="AA53" s="79"/>
      <c r="AB53" s="12"/>
      <c r="AC53" s="1231" t="str">
        <f ca="1">AM106</f>
        <v/>
      </c>
      <c r="AD53" s="1231"/>
      <c r="AE53" s="1231" t="str">
        <f ca="1">AO106</f>
        <v/>
      </c>
      <c r="AF53" s="1231"/>
      <c r="AG53" s="12"/>
      <c r="AH53" s="513" t="str">
        <f>IF(AD52="LEEG","LEEG",IF(AD52= "FOUT","ONGELDIG",IF(LEN(SUBSTITUTE(SUBSTITUTE("|"&amp;$AD$52&amp;"|"&amp;$AF$52&amp;"|"&amp;$AD$56&amp;"|"&amp;$AF$56&amp;"|","LEEG","##"),AD52,"CONTROLE"))=$AJ$58,"GOED","DUBBEL")))</f>
        <v>LEEG</v>
      </c>
      <c r="AI53" s="12"/>
      <c r="AJ53" s="513" t="str">
        <f>IF(AF52="LEEG","LEEG",IF(AF52= "FOUT","ONGELDIG",IF(LEN(SUBSTITUTE(SUBSTITUTE("|"&amp;$AD$52&amp;"|"&amp;$AF$52&amp;"|"&amp;$AD$56&amp;"|"&amp;$AF$56&amp;"|","LEEG","##"),AF52,"CONTROLE"))=$AJ$58,"GOED","DUBBEL")))</f>
        <v>LEEG</v>
      </c>
      <c r="AK53" s="6"/>
      <c r="AL53" s="6"/>
      <c r="AM53" s="6"/>
      <c r="AN53" s="6"/>
      <c r="AO53" s="5"/>
      <c r="AP53" s="114"/>
      <c r="AQ53" s="822"/>
      <c r="AR53" s="823"/>
      <c r="AS53" s="832" t="str">
        <f ca="1">VLOOKUP(AT53,Voorblad!$X$67:$Z$98,2,FALSE)</f>
        <v>Engeland</v>
      </c>
      <c r="AT53" s="833" t="str">
        <f t="shared" ref="AT53:AT67" ca="1" si="12">RIGHT(LEFT($AK$98,$BA53),2)</f>
        <v>D1</v>
      </c>
      <c r="AU53" s="832" t="str">
        <f ca="1">VLOOKUP(AV53,Voorblad!$X$67:$Z$98,2,FALSE)</f>
        <v>Denemarken</v>
      </c>
      <c r="AV53" s="833" t="str">
        <f t="shared" ref="AV53:AV59" ca="1" si="13">RIGHT(LEFT($AL$98,$BA53),2)</f>
        <v>B1</v>
      </c>
      <c r="AW53" s="832" t="str">
        <f ca="1">VLOOKUP(AX53,Voorblad!$X$67:$Z$98,2,FALSE)</f>
        <v>Denemarken</v>
      </c>
      <c r="AX53" s="833" t="str">
        <f t="shared" ref="AX53:AX71" ca="1" si="14">RIGHT(LEFT($AK$99,$BA53),2)</f>
        <v>B1</v>
      </c>
      <c r="AY53" s="832" t="str">
        <f ca="1">VLOOKUP(AZ53,Voorblad!$X$67:$Z$98,2,FALSE)</f>
        <v>Engeland</v>
      </c>
      <c r="AZ53" s="833" t="str">
        <f t="shared" ref="AZ53:AZ59" ca="1" si="15">RIGHT(LEFT($AL$99,$BA53),2)</f>
        <v>D1</v>
      </c>
      <c r="BA53" s="836">
        <f t="shared" ref="BA53:BA63" si="16">BA52+2</f>
        <v>4</v>
      </c>
    </row>
    <row r="54" spans="1:53" ht="24" customHeight="1" x14ac:dyDescent="0.5">
      <c r="B54" s="79"/>
      <c r="C54" s="9"/>
      <c r="D54" s="543" t="str">
        <f ca="1">Taal04!$B$31</f>
        <v>Finale</v>
      </c>
      <c r="E54" s="447"/>
      <c r="F54" s="448"/>
      <c r="G54" s="72"/>
      <c r="H54" s="72"/>
      <c r="I54" s="72"/>
      <c r="J54" s="69"/>
      <c r="K54" s="69"/>
      <c r="L54" s="69"/>
      <c r="M54" s="72"/>
      <c r="N54" s="72"/>
      <c r="O54" s="72"/>
      <c r="P54" s="58"/>
      <c r="Q54" s="58"/>
      <c r="R54" s="79"/>
      <c r="S54" s="79"/>
      <c r="T54" s="79"/>
      <c r="U54" s="79"/>
      <c r="V54" s="59"/>
      <c r="W54" s="72"/>
      <c r="X54" s="72"/>
      <c r="Y54" s="224"/>
      <c r="Z54" s="11"/>
      <c r="AA54" s="79"/>
      <c r="AB54" s="12"/>
      <c r="AC54" s="22"/>
      <c r="AD54" s="12"/>
      <c r="AE54" s="870"/>
      <c r="AF54" s="870"/>
      <c r="AG54" s="12"/>
      <c r="AH54" s="12"/>
      <c r="AI54" s="12"/>
      <c r="AJ54" s="12"/>
      <c r="AK54" s="1245" t="s">
        <v>21</v>
      </c>
      <c r="AL54" s="1245"/>
      <c r="AM54" s="1245"/>
      <c r="AN54" s="1245"/>
      <c r="AO54" s="1245"/>
      <c r="AP54" s="114"/>
      <c r="AQ54" s="820"/>
      <c r="AR54" s="824"/>
      <c r="AS54" s="832" t="str">
        <f ca="1">VLOOKUP(AT54,Voorblad!$X$67:$Z$98,2,FALSE)</f>
        <v>Frankrijk</v>
      </c>
      <c r="AT54" s="833" t="str">
        <f t="shared" ca="1" si="12"/>
        <v>F3</v>
      </c>
      <c r="AU54" s="832" t="str">
        <f ca="1">VLOOKUP(AV54,Voorblad!$X$67:$Z$98,2,FALSE)</f>
        <v>Finland</v>
      </c>
      <c r="AV54" s="833" t="str">
        <f t="shared" ca="1" si="13"/>
        <v>B2</v>
      </c>
      <c r="AW54" s="832" t="str">
        <f ca="1">VLOOKUP(AX54,Voorblad!$X$67:$Z$98,2,FALSE)</f>
        <v>Engeland</v>
      </c>
      <c r="AX54" s="833" t="str">
        <f t="shared" ca="1" si="14"/>
        <v>D1</v>
      </c>
      <c r="AY54" s="832" t="str">
        <f ca="1">VLOOKUP(AZ54,Voorblad!$X$67:$Z$98,2,FALSE)</f>
        <v>Frankrijk</v>
      </c>
      <c r="AZ54" s="833" t="str">
        <f t="shared" ca="1" si="15"/>
        <v>F3</v>
      </c>
      <c r="BA54" s="836">
        <f t="shared" si="16"/>
        <v>6</v>
      </c>
    </row>
    <row r="55" spans="1:53" ht="15" customHeight="1" x14ac:dyDescent="0.3">
      <c r="A55" s="218"/>
      <c r="B55" s="79"/>
      <c r="C55" s="9"/>
      <c r="D55" s="463"/>
      <c r="E55" s="496" t="str">
        <f ca="1">Taal04!$B$20</f>
        <v>Datum</v>
      </c>
      <c r="F55" s="496" t="str">
        <f ca="1">Taal04!$B$21</f>
        <v>Tijd</v>
      </c>
      <c r="G55" s="1226" t="str">
        <f ca="1">Taal04!$B$22</f>
        <v>Wedstrijd</v>
      </c>
      <c r="H55" s="1226"/>
      <c r="I55" s="1226"/>
      <c r="J55" s="1226"/>
      <c r="K55" s="1226"/>
      <c r="L55" s="1226"/>
      <c r="M55" s="1226"/>
      <c r="N55" s="1226"/>
      <c r="O55" s="1226"/>
      <c r="P55" s="1226"/>
      <c r="Q55" s="1226"/>
      <c r="R55" s="1226"/>
      <c r="S55" s="1226"/>
      <c r="T55" s="1226"/>
      <c r="U55" s="1226"/>
      <c r="V55" s="72"/>
      <c r="W55" s="1249" t="str">
        <f ca="1">Taal04!$B$24</f>
        <v>Eindstand</v>
      </c>
      <c r="X55" s="1250"/>
      <c r="Y55" s="1250"/>
      <c r="Z55" s="11"/>
      <c r="AA55" s="79"/>
      <c r="AB55" s="12"/>
      <c r="AC55" s="300" t="s">
        <v>18</v>
      </c>
      <c r="AD55" s="300" t="s">
        <v>19</v>
      </c>
      <c r="AE55" s="300" t="s">
        <v>18</v>
      </c>
      <c r="AF55" s="300" t="s">
        <v>19</v>
      </c>
      <c r="AG55" s="12"/>
      <c r="AH55" s="504" t="s">
        <v>73</v>
      </c>
      <c r="AI55" s="12"/>
      <c r="AJ55" s="504" t="s">
        <v>73</v>
      </c>
      <c r="AK55" s="4" t="s">
        <v>26</v>
      </c>
      <c r="AL55" s="4" t="s">
        <v>27</v>
      </c>
      <c r="AM55" s="13" t="s">
        <v>24</v>
      </c>
      <c r="AN55" s="13" t="s">
        <v>25</v>
      </c>
      <c r="AO55" s="165" t="s">
        <v>0</v>
      </c>
      <c r="AP55" s="114"/>
      <c r="AQ55" s="820"/>
      <c r="AR55" s="824"/>
      <c r="AS55" s="832" t="str">
        <f ca="1">VLOOKUP(AT55,Voorblad!$X$67:$Z$98,2,FALSE)</f>
        <v>Hongarije</v>
      </c>
      <c r="AT55" s="833" t="str">
        <f t="shared" ca="1" si="12"/>
        <v>F1</v>
      </c>
      <c r="AU55" s="832" t="str">
        <f ca="1">VLOOKUP(AV55,Voorblad!$X$67:$Z$98,2,FALSE)</f>
        <v>Italië</v>
      </c>
      <c r="AV55" s="833" t="str">
        <f t="shared" ca="1" si="13"/>
        <v>A2</v>
      </c>
      <c r="AW55" s="832" t="str">
        <f ca="1">VLOOKUP(AX55,Voorblad!$X$67:$Z$98,2,FALSE)</f>
        <v>Finland</v>
      </c>
      <c r="AX55" s="833" t="str">
        <f t="shared" ca="1" si="14"/>
        <v>B2</v>
      </c>
      <c r="AY55" s="832" t="str">
        <f ca="1">VLOOKUP(AZ55,Voorblad!$X$67:$Z$98,2,FALSE)</f>
        <v>Hongarije</v>
      </c>
      <c r="AZ55" s="833" t="str">
        <f t="shared" ca="1" si="15"/>
        <v>F1</v>
      </c>
      <c r="BA55" s="836">
        <f t="shared" si="16"/>
        <v>8</v>
      </c>
    </row>
    <row r="56" spans="1:53" ht="15" customHeight="1" x14ac:dyDescent="0.3">
      <c r="A56" s="218"/>
      <c r="B56" s="79"/>
      <c r="C56" s="9"/>
      <c r="D56" s="14">
        <f>IF(A50="H",D48+1,D52+1)</f>
        <v>51</v>
      </c>
      <c r="E56" s="544">
        <f>E52+1</f>
        <v>44388.875</v>
      </c>
      <c r="F56" s="161">
        <f>E56+TIME(0,0,0)</f>
        <v>44388.875</v>
      </c>
      <c r="G56" s="1223" t="str">
        <f ca="1">" "&amp;Taal04!$B$77&amp;" "&amp;D46</f>
        <v xml:space="preserve"> Win. Wedstrijd 49</v>
      </c>
      <c r="H56" s="1223"/>
      <c r="I56" s="1223"/>
      <c r="J56" s="1223"/>
      <c r="K56" s="1223"/>
      <c r="L56" s="812"/>
      <c r="M56" s="810"/>
      <c r="N56" s="811" t="str">
        <f>IF(AK56="LEEG","▼   ","")&amp;"-  "</f>
        <v xml:space="preserve">▼   -  </v>
      </c>
      <c r="O56" s="1223" t="str">
        <f ca="1">" "&amp;Taal04!$B$77&amp;" "&amp;D48</f>
        <v xml:space="preserve"> Win. Wedstrijd 50</v>
      </c>
      <c r="P56" s="1223"/>
      <c r="Q56" s="1223"/>
      <c r="R56" s="1223"/>
      <c r="S56" s="1223"/>
      <c r="T56" s="1223"/>
      <c r="U56" s="812"/>
      <c r="V56" s="811" t="str">
        <f>IF(AL56="LEEG","▼   ","")&amp;": "</f>
        <v xml:space="preserve">▼   : </v>
      </c>
      <c r="W56" s="900"/>
      <c r="X56" s="652" t="s">
        <v>12</v>
      </c>
      <c r="Y56" s="900"/>
      <c r="Z56" s="11"/>
      <c r="AA56" s="79"/>
      <c r="AB56" s="12"/>
      <c r="AC56" s="343" t="str">
        <f>IF(ISBLANK(L56),"OO",IF(TYPE(VLOOKUP(L56,Taal02!$C$100:$D$419,2,FALSE))=16,"XX",VLOOKUP(L56,Taal02!$C$100:$D$419,2,FALSE)))</f>
        <v>OO</v>
      </c>
      <c r="AD56" s="300" t="str">
        <f>IF(AC56="OO","LEEG",IF(AC56="XX","FOUT",VLOOKUP(AC56,Voorblad!$X$65:$Z$98,3,FALSE)))</f>
        <v>LEEG</v>
      </c>
      <c r="AE56" s="343" t="str">
        <f>IF(ISBLANK(U56),"OO",IF(TYPE(VLOOKUP(U56,Taal02!$C$100:$D$419,2,FALSE))=16,"XX",VLOOKUP(U56,Taal02!$C$100:$D$419,2,FALSE)))</f>
        <v>OO</v>
      </c>
      <c r="AF56" s="300" t="str">
        <f>IF(AE56="OO","LEEG",IF(AE56="XX","FOUT",VLOOKUP(AE56,Voorblad!$X$65:$Z$98,3,FALSE)))</f>
        <v>LEEG</v>
      </c>
      <c r="AG56" s="12"/>
      <c r="AH56" s="605" t="s">
        <v>172</v>
      </c>
      <c r="AI56" s="605" t="s">
        <v>12</v>
      </c>
      <c r="AJ56" s="605" t="s">
        <v>172</v>
      </c>
      <c r="AK56" s="6" t="str">
        <f>IF(AD56="LEEG","LEEG",IF(TYPE(AD56)=2,IF(LEN(AD56)=2,IF(AND($AI$11=0,AH57="DUBBEL"),"ONGELDIG","GOED"),"ONGELDIG"),"ONGELDIG"))</f>
        <v>LEEG</v>
      </c>
      <c r="AL56" s="6" t="str">
        <f>IF(AF56="LEEG","LEEG",IF(TYPE(AF56)=2,IF(LEN(AF56)=2,IF(AND($AI$11=0,AJ57="DUBBEL"),"ONGELDIG","GOED"),"ONGELDIG"),"ONGELDIG"))</f>
        <v>LEEG</v>
      </c>
      <c r="AM56" s="6" t="str">
        <f>IF(ISBLANK(W56),"LEEG",IF(TYPE(W56)=1,IF(AND(W56&lt;10,W56&gt;=0),IF(W56=ROUND(W56,0),"GOED","ONGELDIG"),"ONGELDIG"),"ONGELDIG"))</f>
        <v>LEEG</v>
      </c>
      <c r="AN56" s="6" t="str">
        <f>IF(ISBLANK(Y56),"LEEG",IF(TYPE(Y56)=1,IF(AND(Y56&lt;10,Y56&gt;=0),IF(Y56=ROUND(Y56,0),"GOED","ONGELDIG"),"ONGELDIG"),"ONGELDIG"))</f>
        <v>LEEG</v>
      </c>
      <c r="AO56" s="201" t="str">
        <f>IF(AK56="GOED",IF(AL56="GOED",IF(AM56="GOED",IF(AN56="GOED",AD56&amp;AF56&amp;W56&amp;Y56&amp;"|","FOUT"),"FOUT"),"FOUT"),"FOUT")</f>
        <v>FOUT</v>
      </c>
      <c r="AP56" s="203">
        <f>LEN(AO56)</f>
        <v>4</v>
      </c>
      <c r="AQ56" s="820"/>
      <c r="AR56" s="824"/>
      <c r="AS56" s="832" t="str">
        <f ca="1">VLOOKUP(AT56,Voorblad!$X$67:$Z$98,2,FALSE)</f>
        <v>Kroatië</v>
      </c>
      <c r="AT56" s="833" t="str">
        <f t="shared" ca="1" si="12"/>
        <v>D2</v>
      </c>
      <c r="AU56" s="832" t="str">
        <f ca="1">VLOOKUP(AV56,Voorblad!$X$67:$Z$98,2,FALSE)</f>
        <v>Rusland</v>
      </c>
      <c r="AV56" s="833" t="str">
        <f t="shared" ca="1" si="13"/>
        <v>B4</v>
      </c>
      <c r="AW56" s="832" t="str">
        <f ca="1">VLOOKUP(AX56,Voorblad!$X$67:$Z$98,2,FALSE)</f>
        <v>Italië</v>
      </c>
      <c r="AX56" s="833" t="str">
        <f t="shared" ca="1" si="14"/>
        <v>A2</v>
      </c>
      <c r="AY56" s="832" t="str">
        <f ca="1">VLOOKUP(AZ56,Voorblad!$X$67:$Z$98,2,FALSE)</f>
        <v>Kroatië</v>
      </c>
      <c r="AZ56" s="833" t="str">
        <f t="shared" ca="1" si="15"/>
        <v>D2</v>
      </c>
      <c r="BA56" s="836">
        <f t="shared" si="16"/>
        <v>10</v>
      </c>
    </row>
    <row r="57" spans="1:53" ht="15" customHeight="1" x14ac:dyDescent="0.3">
      <c r="A57" s="218"/>
      <c r="B57" s="79"/>
      <c r="C57" s="9"/>
      <c r="D57" s="72"/>
      <c r="E57" s="72"/>
      <c r="F57" s="72"/>
      <c r="G57" s="1225" t="str">
        <f ca="1">IF($AB$9=1," "&amp;AC57,IF($AB$9=2,IF(AC56="OO"," "&amp;AC57,""),""))</f>
        <v xml:space="preserve"> </v>
      </c>
      <c r="H57" s="1225"/>
      <c r="I57" s="1225"/>
      <c r="J57" s="1225"/>
      <c r="K57" s="1225"/>
      <c r="L57" s="1225"/>
      <c r="M57" s="438"/>
      <c r="N57" s="438"/>
      <c r="O57" s="1225" t="str">
        <f ca="1">IF($AB$9=1," "&amp;AE57,IF($AB$9=2,IF(AE56="OO"," "&amp;AE57,""),""))</f>
        <v xml:space="preserve"> </v>
      </c>
      <c r="P57" s="1225"/>
      <c r="Q57" s="1225"/>
      <c r="R57" s="1225"/>
      <c r="S57" s="1225"/>
      <c r="T57" s="1225"/>
      <c r="U57" s="1225"/>
      <c r="V57" s="72"/>
      <c r="W57" s="72"/>
      <c r="X57" s="72"/>
      <c r="Y57" s="72"/>
      <c r="Z57" s="11"/>
      <c r="AA57" s="79"/>
      <c r="AB57" s="12"/>
      <c r="AC57" s="1266" t="str">
        <f ca="1">AM109</f>
        <v/>
      </c>
      <c r="AD57" s="1266"/>
      <c r="AE57" s="1265" t="str">
        <f ca="1">AO109</f>
        <v/>
      </c>
      <c r="AF57" s="1265"/>
      <c r="AG57" s="873" t="str">
        <f>IF(AO56="FOUT","",IF(W56&gt;Y56,AC56,IF(W56&lt;Y56,AE56,AC56&amp;AE56)))</f>
        <v/>
      </c>
      <c r="AH57" s="513" t="str">
        <f>IF(AD56="LEEG","LEEG",IF(AD56= "FOUT","ONGELDIG",IF(LEN(SUBSTITUTE(SUBSTITUTE("|"&amp;$AD$52&amp;"|"&amp;$AF$52&amp;"|"&amp;$AD$56&amp;"|"&amp;$AF$56&amp;"|","LEEG","##"),AD56,"CONTROLE"))=$AJ$58,"GOED","DUBBEL")))</f>
        <v>LEEG</v>
      </c>
      <c r="AI57" s="12"/>
      <c r="AJ57" s="513" t="str">
        <f>IF(AF56="LEEG","LEEG",IF(AF56= "FOUT","ONGELDIG",IF(LEN(SUBSTITUTE(SUBSTITUTE("|"&amp;$AD$52&amp;"|"&amp;$AF$52&amp;"|"&amp;$AD$56&amp;"|"&amp;$AF$56&amp;"|","LEEG","##"),AF56,"CONTROLE"))=$AJ$58,"GOED","DUBBEL")))</f>
        <v>LEEG</v>
      </c>
      <c r="AK57" s="6"/>
      <c r="AL57" s="6"/>
      <c r="AM57" s="6"/>
      <c r="AN57" s="6"/>
      <c r="AO57" s="5"/>
      <c r="AP57" s="114"/>
      <c r="AQ57" s="820"/>
      <c r="AR57" s="824"/>
      <c r="AS57" s="832" t="str">
        <f ca="1">VLOOKUP(AT57,Voorblad!$X$67:$Z$98,2,FALSE)</f>
        <v>Nederland</v>
      </c>
      <c r="AT57" s="833" t="str">
        <f t="shared" ca="1" si="12"/>
        <v>C1</v>
      </c>
      <c r="AU57" s="832" t="str">
        <f ca="1">VLOOKUP(AV57,Voorblad!$X$67:$Z$98,2,FALSE)</f>
        <v>Turkije</v>
      </c>
      <c r="AV57" s="833" t="str">
        <f t="shared" ca="1" si="13"/>
        <v>A1</v>
      </c>
      <c r="AW57" s="832" t="str">
        <f ca="1">VLOOKUP(AX57,Voorblad!$X$67:$Z$98,2,FALSE)</f>
        <v>Kroatië</v>
      </c>
      <c r="AX57" s="833" t="str">
        <f t="shared" ca="1" si="14"/>
        <v>D2</v>
      </c>
      <c r="AY57" s="832" t="str">
        <f ca="1">VLOOKUP(AZ57,Voorblad!$X$67:$Z$98,2,FALSE)</f>
        <v>Portugal</v>
      </c>
      <c r="AZ57" s="833" t="str">
        <f t="shared" ca="1" si="15"/>
        <v>F2</v>
      </c>
      <c r="BA57" s="836">
        <f t="shared" si="16"/>
        <v>12</v>
      </c>
    </row>
    <row r="58" spans="1:53" ht="12" customHeight="1" x14ac:dyDescent="0.3">
      <c r="A58" s="218"/>
      <c r="B58" s="79"/>
      <c r="C58" s="9"/>
      <c r="D58" s="72"/>
      <c r="E58" s="72"/>
      <c r="F58" s="72"/>
      <c r="G58" s="225"/>
      <c r="H58" s="453"/>
      <c r="I58" s="453"/>
      <c r="J58" s="453"/>
      <c r="K58" s="453"/>
      <c r="L58" s="453"/>
      <c r="M58" s="453"/>
      <c r="N58" s="453"/>
      <c r="O58" s="453"/>
      <c r="P58" s="453"/>
      <c r="Q58" s="453"/>
      <c r="R58" s="453"/>
      <c r="S58" s="453"/>
      <c r="T58" s="453"/>
      <c r="U58" s="453"/>
      <c r="V58" s="453"/>
      <c r="W58" s="108"/>
      <c r="X58" s="72"/>
      <c r="Y58" s="72"/>
      <c r="Z58" s="11"/>
      <c r="AA58" s="79"/>
      <c r="AB58" s="12"/>
      <c r="AC58" s="343"/>
      <c r="AD58" s="300"/>
      <c r="AE58" s="343"/>
      <c r="AF58" s="300"/>
      <c r="AG58" s="12"/>
      <c r="AH58" s="12"/>
      <c r="AI58" s="12"/>
      <c r="AJ58" s="512">
        <f>4*3+1+LEN("CONTROLE")-2</f>
        <v>19</v>
      </c>
      <c r="AK58" s="6"/>
      <c r="AL58" s="6"/>
      <c r="AM58" s="6"/>
      <c r="AN58" s="6"/>
      <c r="AO58" s="5"/>
      <c r="AP58" s="114"/>
      <c r="AQ58" s="820"/>
      <c r="AR58" s="824"/>
      <c r="AS58" s="832" t="str">
        <f ca="1">VLOOKUP(AT58,Voorblad!$X$67:$Z$98,2,FALSE)</f>
        <v>N.-Macedonië</v>
      </c>
      <c r="AT58" s="833" t="str">
        <f t="shared" ca="1" si="12"/>
        <v>C4</v>
      </c>
      <c r="AU58" s="832" t="str">
        <f ca="1">VLOOKUP(AV58,Voorblad!$X$67:$Z$98,2,FALSE)</f>
        <v>Wales</v>
      </c>
      <c r="AV58" s="833" t="str">
        <f t="shared" ca="1" si="13"/>
        <v>A3</v>
      </c>
      <c r="AW58" s="832" t="str">
        <f ca="1">VLOOKUP(AX58,Voorblad!$X$67:$Z$98,2,FALSE)</f>
        <v>Nederland</v>
      </c>
      <c r="AX58" s="833" t="str">
        <f t="shared" ca="1" si="14"/>
        <v>C1</v>
      </c>
      <c r="AY58" s="832" t="str">
        <f ca="1">VLOOKUP(AZ58,Voorblad!$X$67:$Z$98,2,FALSE)</f>
        <v>Schotland</v>
      </c>
      <c r="AZ58" s="833" t="str">
        <f t="shared" ca="1" si="15"/>
        <v>D3</v>
      </c>
      <c r="BA58" s="836">
        <f t="shared" si="16"/>
        <v>14</v>
      </c>
    </row>
    <row r="59" spans="1:53" ht="26.25" customHeight="1" x14ac:dyDescent="0.5">
      <c r="A59" s="218"/>
      <c r="B59" s="79"/>
      <c r="C59" s="9"/>
      <c r="D59" s="169">
        <v>65</v>
      </c>
      <c r="E59" s="72"/>
      <c r="F59" s="72"/>
      <c r="G59" s="72"/>
      <c r="H59" s="463"/>
      <c r="I59" s="871" t="str">
        <f ca="1">Taal04!$B$32</f>
        <v>Winnaar EK2020</v>
      </c>
      <c r="J59" s="881"/>
      <c r="K59" s="881"/>
      <c r="L59" s="881"/>
      <c r="M59" s="881" t="s">
        <v>16</v>
      </c>
      <c r="N59" s="881"/>
      <c r="O59" s="1232"/>
      <c r="P59" s="1232"/>
      <c r="Q59" s="1232"/>
      <c r="R59" s="1232"/>
      <c r="S59" s="1232"/>
      <c r="T59" s="1232"/>
      <c r="U59" s="1232"/>
      <c r="V59" s="888"/>
      <c r="W59" s="72"/>
      <c r="X59" s="72"/>
      <c r="Y59" s="72"/>
      <c r="Z59" s="11"/>
      <c r="AA59" s="79"/>
      <c r="AB59" s="12"/>
      <c r="AC59" s="12"/>
      <c r="AD59" s="25"/>
      <c r="AE59" s="343" t="str">
        <f>IF(ISBLANK(O59),"OO",IF(TYPE(VLOOKUP(O59,Taal02!$C$100:$D$419,2,FALSE))=16,"XX",VLOOKUP(O59,Taal02!$C$100:$D$419,2,FALSE)))</f>
        <v>OO</v>
      </c>
      <c r="AF59" s="300" t="str">
        <f>IF(AE59="OO","LEEG",IF(AE59="XX","FOUT",VLOOKUP(AE59,Voorblad!$X$65:$Z$98,3,FALSE)))</f>
        <v>LEEG</v>
      </c>
      <c r="AG59" s="12"/>
      <c r="AH59" s="170" t="s">
        <v>172</v>
      </c>
      <c r="AI59" s="12"/>
      <c r="AJ59" s="129"/>
      <c r="AK59" s="1"/>
      <c r="AL59" s="6" t="str">
        <f>IF(AF59="LEEG","LEEG",IF(TYPE(AF59)=2,IF(LEN(AF59)=2,"GOED","ONGELDIG"),"ONGELDIG"))</f>
        <v>LEEG</v>
      </c>
      <c r="AM59" s="1"/>
      <c r="AN59" s="1"/>
      <c r="AO59" s="201" t="str">
        <f>IF(AL59="GOED",AF59&amp;"|","FOUT")</f>
        <v>FOUT</v>
      </c>
      <c r="AP59" s="203">
        <f>LEN(AO59)</f>
        <v>4</v>
      </c>
      <c r="AQ59" s="820"/>
      <c r="AR59" s="824"/>
      <c r="AS59" s="832" t="str">
        <f ca="1">VLOOKUP(AT59,Voorblad!$X$67:$Z$98,2,FALSE)</f>
        <v>Oekraïne</v>
      </c>
      <c r="AT59" s="833" t="str">
        <f t="shared" ca="1" si="12"/>
        <v>C2</v>
      </c>
      <c r="AU59" s="832" t="str">
        <f ca="1">VLOOKUP(AV59,Voorblad!$X$67:$Z$98,2,FALSE)</f>
        <v>Zwitserland</v>
      </c>
      <c r="AV59" s="833" t="str">
        <f t="shared" ca="1" si="13"/>
        <v>A4</v>
      </c>
      <c r="AW59" s="832" t="str">
        <f ca="1">VLOOKUP(AX59,Voorblad!$X$67:$Z$98,2,FALSE)</f>
        <v>N.-Macedonië</v>
      </c>
      <c r="AX59" s="833" t="str">
        <f t="shared" ca="1" si="14"/>
        <v>C4</v>
      </c>
      <c r="AY59" s="832" t="str">
        <f ca="1">VLOOKUP(AZ59,Voorblad!$X$67:$Z$98,2,FALSE)</f>
        <v>Tsjechië</v>
      </c>
      <c r="AZ59" s="833" t="str">
        <f t="shared" ca="1" si="15"/>
        <v>D4</v>
      </c>
      <c r="BA59" s="836">
        <f t="shared" si="16"/>
        <v>16</v>
      </c>
    </row>
    <row r="60" spans="1:53" ht="15" customHeight="1" x14ac:dyDescent="0.3">
      <c r="A60" s="218"/>
      <c r="B60" s="79"/>
      <c r="C60" s="440"/>
      <c r="D60" s="463"/>
      <c r="E60" s="463"/>
      <c r="F60" s="463"/>
      <c r="G60" s="463"/>
      <c r="H60" s="463"/>
      <c r="I60" s="463"/>
      <c r="J60" s="463"/>
      <c r="K60" s="463"/>
      <c r="L60" s="463"/>
      <c r="M60" s="463"/>
      <c r="N60" s="463"/>
      <c r="O60" s="1267" t="str">
        <f ca="1">IF($AB$9=1," "&amp;AE60,IF($AB$9=2,IF(AE59="OO"," "&amp;AE60,""),""))</f>
        <v xml:space="preserve"> </v>
      </c>
      <c r="P60" s="1267"/>
      <c r="Q60" s="1267"/>
      <c r="R60" s="1267"/>
      <c r="S60" s="1267"/>
      <c r="T60" s="1267"/>
      <c r="U60" s="1267"/>
      <c r="V60" s="463"/>
      <c r="W60" s="463"/>
      <c r="X60" s="463"/>
      <c r="Y60" s="463"/>
      <c r="Z60" s="442"/>
      <c r="AA60" s="79"/>
      <c r="AB60" s="12"/>
      <c r="AC60" s="22"/>
      <c r="AD60" s="12"/>
      <c r="AE60" s="1265" t="str">
        <f ca="1">AM112</f>
        <v/>
      </c>
      <c r="AF60" s="1265"/>
      <c r="AG60" s="12"/>
      <c r="AH60" s="12"/>
      <c r="AI60" s="12"/>
      <c r="AJ60" s="12"/>
      <c r="AK60" s="1"/>
      <c r="AL60" s="1"/>
      <c r="AM60" s="1"/>
      <c r="AN60" s="1"/>
      <c r="AO60" s="1"/>
      <c r="AP60" s="114"/>
      <c r="AQ60" s="820"/>
      <c r="AR60" s="824"/>
      <c r="AS60" s="832" t="str">
        <f ca="1">VLOOKUP(AT60,Voorblad!$X$67:$Z$98,2,FALSE)</f>
        <v>Oostenrijk</v>
      </c>
      <c r="AT60" s="833" t="str">
        <f t="shared" ca="1" si="12"/>
        <v>C3</v>
      </c>
      <c r="AU60" s="832"/>
      <c r="AV60" s="833"/>
      <c r="AW60" s="832" t="str">
        <f ca="1">VLOOKUP(AX60,Voorblad!$X$67:$Z$98,2,FALSE)</f>
        <v>Oekraïne</v>
      </c>
      <c r="AX60" s="833" t="str">
        <f t="shared" ca="1" si="14"/>
        <v>C2</v>
      </c>
      <c r="AY60" s="832"/>
      <c r="AZ60" s="833"/>
      <c r="BA60" s="836">
        <f t="shared" si="16"/>
        <v>18</v>
      </c>
    </row>
    <row r="61" spans="1:53" ht="12" customHeight="1" x14ac:dyDescent="0.3">
      <c r="A61" s="218"/>
      <c r="B61" s="464"/>
      <c r="C61" s="445"/>
      <c r="D61" s="443"/>
      <c r="E61" s="443"/>
      <c r="F61" s="443"/>
      <c r="G61" s="443"/>
      <c r="H61" s="443"/>
      <c r="I61" s="443"/>
      <c r="J61" s="443"/>
      <c r="K61" s="443"/>
      <c r="L61" s="443"/>
      <c r="M61" s="443"/>
      <c r="N61" s="443"/>
      <c r="O61" s="506"/>
      <c r="P61" s="506"/>
      <c r="Q61" s="506"/>
      <c r="R61" s="506"/>
      <c r="S61" s="506"/>
      <c r="T61" s="506"/>
      <c r="U61" s="506"/>
      <c r="V61" s="443"/>
      <c r="W61" s="443"/>
      <c r="X61" s="443"/>
      <c r="Y61" s="443"/>
      <c r="Z61" s="446"/>
      <c r="AA61" s="464"/>
      <c r="AB61" s="12"/>
      <c r="AC61" s="22"/>
      <c r="AD61" s="12"/>
      <c r="AE61" s="509"/>
      <c r="AF61" s="509"/>
      <c r="AG61" s="12"/>
      <c r="AH61" s="12"/>
      <c r="AI61" s="12"/>
      <c r="AJ61" s="12"/>
      <c r="AK61" s="1"/>
      <c r="AL61" s="1"/>
      <c r="AM61" s="1"/>
      <c r="AN61" s="1"/>
      <c r="AO61" s="1"/>
      <c r="AP61" s="114"/>
      <c r="AQ61" s="820"/>
      <c r="AR61" s="824"/>
      <c r="AS61" s="832" t="str">
        <f ca="1">VLOOKUP(AT61,Voorblad!$X$67:$Z$98,2,FALSE)</f>
        <v>Polen</v>
      </c>
      <c r="AT61" s="833" t="str">
        <f t="shared" ca="1" si="12"/>
        <v>E3</v>
      </c>
      <c r="AU61" s="832"/>
      <c r="AV61" s="833"/>
      <c r="AW61" s="832" t="str">
        <f ca="1">VLOOKUP(AX61,Voorblad!$X$67:$Z$98,2,FALSE)</f>
        <v>Oostenrijk</v>
      </c>
      <c r="AX61" s="833" t="str">
        <f t="shared" ca="1" si="14"/>
        <v>C3</v>
      </c>
      <c r="AY61" s="832"/>
      <c r="AZ61" s="833"/>
      <c r="BA61" s="836">
        <f t="shared" si="16"/>
        <v>20</v>
      </c>
    </row>
    <row r="62" spans="1:53" ht="15" customHeight="1" x14ac:dyDescent="0.3">
      <c r="A62" s="218"/>
      <c r="B62" s="79"/>
      <c r="C62" s="72"/>
      <c r="D62" s="72"/>
      <c r="E62" s="72"/>
      <c r="F62" s="72"/>
      <c r="G62" s="72"/>
      <c r="H62" s="72"/>
      <c r="I62" s="72"/>
      <c r="J62" s="72"/>
      <c r="K62" s="72"/>
      <c r="L62" s="72"/>
      <c r="M62" s="72"/>
      <c r="N62" s="72"/>
      <c r="O62" s="225"/>
      <c r="P62" s="225"/>
      <c r="Q62" s="225"/>
      <c r="R62" s="225"/>
      <c r="S62" s="225"/>
      <c r="T62" s="225"/>
      <c r="U62" s="225"/>
      <c r="V62" s="72"/>
      <c r="W62" s="72"/>
      <c r="X62" s="72"/>
      <c r="Y62" s="72"/>
      <c r="Z62" s="72"/>
      <c r="AA62" s="79"/>
      <c r="AB62" s="374"/>
      <c r="AC62" s="374"/>
      <c r="AD62" s="374"/>
      <c r="AE62" s="374"/>
      <c r="AF62" s="374"/>
      <c r="AG62" s="374"/>
      <c r="AH62" s="374"/>
      <c r="AI62" s="896" t="s">
        <v>196</v>
      </c>
      <c r="AJ62" s="897">
        <f>IF(AI11=1,0,IF(COUNTIF(AH13:AJ57,"DUBBEL")&gt;0,1,0))</f>
        <v>0</v>
      </c>
      <c r="AK62" s="1"/>
      <c r="AL62" s="1"/>
      <c r="AM62" s="1"/>
      <c r="AN62" s="1"/>
      <c r="AO62" s="1"/>
      <c r="AP62" s="114"/>
      <c r="AQ62" s="820"/>
      <c r="AR62" s="824"/>
      <c r="AS62" s="832" t="str">
        <f ca="1">VLOOKUP(AT62,Voorblad!$X$67:$Z$98,2,FALSE)</f>
        <v>Portugal</v>
      </c>
      <c r="AT62" s="833" t="str">
        <f t="shared" ca="1" si="12"/>
        <v>F2</v>
      </c>
      <c r="AU62" s="832"/>
      <c r="AV62" s="833"/>
      <c r="AW62" s="832" t="str">
        <f ca="1">VLOOKUP(AX62,Voorblad!$X$67:$Z$98,2,FALSE)</f>
        <v>Polen</v>
      </c>
      <c r="AX62" s="833" t="str">
        <f t="shared" ca="1" si="14"/>
        <v>E3</v>
      </c>
      <c r="AY62" s="832"/>
      <c r="AZ62" s="833"/>
      <c r="BA62" s="836">
        <f t="shared" si="16"/>
        <v>22</v>
      </c>
    </row>
    <row r="63" spans="1:53" ht="15" customHeight="1" x14ac:dyDescent="0.3">
      <c r="B63" s="79"/>
      <c r="C63" s="1025"/>
      <c r="D63" s="1023" t="str">
        <f>IF(Reglement!D71="","",Reglement!D71)</f>
        <v>www.excel-pool.nl</v>
      </c>
      <c r="E63" s="1026"/>
      <c r="F63" s="1026"/>
      <c r="G63" s="1026"/>
      <c r="H63" s="1026"/>
      <c r="I63" s="1026"/>
      <c r="J63" s="1026"/>
      <c r="K63" s="1026"/>
      <c r="L63" s="1026"/>
      <c r="M63" s="1026"/>
      <c r="N63" s="1026"/>
      <c r="O63" s="1026"/>
      <c r="P63" s="1026"/>
      <c r="Q63" s="1026"/>
      <c r="R63" s="1026"/>
      <c r="S63" s="1026"/>
      <c r="T63" s="1026"/>
      <c r="U63" s="1026"/>
      <c r="V63" s="1026"/>
      <c r="W63" s="1026"/>
      <c r="X63" s="1026"/>
      <c r="Y63" s="1024" t="str">
        <f>IF(Reglement!M71="","",Reglement!M71)</f>
        <v>©2021 Eric de Jong v20.00dj</v>
      </c>
      <c r="Z63" s="1020"/>
      <c r="AA63" s="79"/>
      <c r="AB63" s="1270" t="s">
        <v>294</v>
      </c>
      <c r="AC63" s="1270"/>
      <c r="AD63" s="1270"/>
      <c r="AE63" s="1270"/>
      <c r="AF63" s="1270"/>
      <c r="AG63" s="1270"/>
      <c r="AH63" s="1270"/>
      <c r="AI63" s="1270"/>
      <c r="AJ63" s="408"/>
      <c r="AK63" s="54"/>
      <c r="AL63" s="54"/>
      <c r="AM63" s="54"/>
      <c r="AN63" s="54"/>
      <c r="AO63" s="26" t="s">
        <v>197</v>
      </c>
      <c r="AP63" s="114">
        <v>0</v>
      </c>
      <c r="AQ63" s="820"/>
      <c r="AR63" s="824"/>
      <c r="AS63" s="832" t="str">
        <f ca="1">VLOOKUP(AT63,Voorblad!$X$67:$Z$98,2,FALSE)</f>
        <v>Schotland</v>
      </c>
      <c r="AT63" s="833" t="str">
        <f t="shared" ca="1" si="12"/>
        <v>D3</v>
      </c>
      <c r="AU63" s="832"/>
      <c r="AV63" s="833"/>
      <c r="AW63" s="832" t="str">
        <f ca="1">VLOOKUP(AX63,Voorblad!$X$67:$Z$98,2,FALSE)</f>
        <v>Rusland</v>
      </c>
      <c r="AX63" s="833" t="str">
        <f t="shared" ca="1" si="14"/>
        <v>B4</v>
      </c>
      <c r="AY63" s="832"/>
      <c r="AZ63" s="833"/>
      <c r="BA63" s="836">
        <f t="shared" si="16"/>
        <v>24</v>
      </c>
    </row>
    <row r="64" spans="1:53" ht="15" customHeight="1" x14ac:dyDescent="0.5">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1270"/>
      <c r="AC64" s="1270"/>
      <c r="AD64" s="1270"/>
      <c r="AE64" s="1270"/>
      <c r="AF64" s="1270"/>
      <c r="AG64" s="1270"/>
      <c r="AH64" s="1270"/>
      <c r="AI64" s="1270"/>
      <c r="AJ64" s="408"/>
      <c r="AK64" s="226"/>
      <c r="AL64" s="226"/>
      <c r="AM64" s="226"/>
      <c r="AN64" s="226"/>
      <c r="AO64" s="202" t="str">
        <f>"De lengte van een correcte finalecode is "&amp;IF(A50="H",108,115)&amp;" tekens ---&gt;"</f>
        <v>De lengte van een correcte finalecode is 108 tekens ---&gt;</v>
      </c>
      <c r="AP64" s="227">
        <f>SUM(AP13:AP63)</f>
        <v>64</v>
      </c>
      <c r="AQ64" s="820"/>
      <c r="AR64" s="824"/>
      <c r="AS64" s="832" t="str">
        <f ca="1">VLOOKUP(AT64,Voorblad!$X$67:$Z$98,2,FALSE)</f>
        <v>Slowakije</v>
      </c>
      <c r="AT64" s="833" t="str">
        <f t="shared" ca="1" si="12"/>
        <v>E4</v>
      </c>
      <c r="AU64" s="832"/>
      <c r="AV64" s="833"/>
      <c r="AW64" s="832" t="str">
        <f ca="1">VLOOKUP(AX64,Voorblad!$X$67:$Z$98,2,FALSE)</f>
        <v>Schotland</v>
      </c>
      <c r="AX64" s="833" t="str">
        <f t="shared" ca="1" si="14"/>
        <v>D3</v>
      </c>
      <c r="AY64" s="832"/>
      <c r="AZ64" s="833"/>
      <c r="BA64" s="836">
        <f t="shared" ref="BA64:BA71" si="17">BA63+2</f>
        <v>26</v>
      </c>
    </row>
    <row r="65" spans="3:53" ht="15" customHeight="1" x14ac:dyDescent="0.5">
      <c r="AB65" s="1270"/>
      <c r="AC65" s="1270"/>
      <c r="AD65" s="1270"/>
      <c r="AE65" s="1270"/>
      <c r="AF65" s="1270"/>
      <c r="AG65" s="1270"/>
      <c r="AH65" s="1270"/>
      <c r="AI65" s="1270"/>
      <c r="AJ65" s="408"/>
      <c r="AK65" s="226"/>
      <c r="AL65" s="228"/>
      <c r="AM65" s="228"/>
      <c r="AN65" s="228"/>
      <c r="AO65" s="228"/>
      <c r="AP65" s="228"/>
      <c r="AQ65" s="820"/>
      <c r="AR65" s="824"/>
      <c r="AS65" s="832" t="str">
        <f ca="1">VLOOKUP(AT65,Voorblad!$X$67:$Z$98,2,FALSE)</f>
        <v>Spanje</v>
      </c>
      <c r="AT65" s="833" t="str">
        <f t="shared" ca="1" si="12"/>
        <v>E1</v>
      </c>
      <c r="AU65" s="832"/>
      <c r="AV65" s="833"/>
      <c r="AW65" s="832" t="str">
        <f ca="1">VLOOKUP(AX65,Voorblad!$X$67:$Z$98,2,FALSE)</f>
        <v>Slowakije</v>
      </c>
      <c r="AX65" s="833" t="str">
        <f t="shared" ca="1" si="14"/>
        <v>E4</v>
      </c>
      <c r="AY65" s="832"/>
      <c r="AZ65" s="833"/>
      <c r="BA65" s="836">
        <f t="shared" si="17"/>
        <v>28</v>
      </c>
    </row>
    <row r="66" spans="3:53" ht="15" customHeight="1" x14ac:dyDescent="0.5">
      <c r="C66" s="136"/>
      <c r="AB66" s="341" t="s">
        <v>282</v>
      </c>
      <c r="AC66" s="340" t="s">
        <v>276</v>
      </c>
      <c r="AD66" s="337"/>
      <c r="AE66" s="337"/>
      <c r="AF66" s="337"/>
      <c r="AG66" s="337"/>
      <c r="AH66" s="337"/>
      <c r="AI66" s="337"/>
      <c r="AJ66" s="408"/>
      <c r="AK66" s="226"/>
      <c r="AL66" s="1263" t="s">
        <v>198</v>
      </c>
      <c r="AM66" s="1263"/>
      <c r="AN66" s="1263"/>
      <c r="AO66" s="1263"/>
      <c r="AP66" s="228"/>
      <c r="AQ66" s="820"/>
      <c r="AR66" s="824"/>
      <c r="AS66" s="832" t="str">
        <f ca="1">VLOOKUP(AT66,Voorblad!$X$67:$Z$98,2,FALSE)</f>
        <v>Tsjechië</v>
      </c>
      <c r="AT66" s="833" t="str">
        <f t="shared" ca="1" si="12"/>
        <v>D4</v>
      </c>
      <c r="AU66" s="832"/>
      <c r="AV66" s="833"/>
      <c r="AW66" s="832" t="str">
        <f ca="1">VLOOKUP(AX66,Voorblad!$X$67:$Z$98,2,FALSE)</f>
        <v>Spanje</v>
      </c>
      <c r="AX66" s="833" t="str">
        <f t="shared" ca="1" si="14"/>
        <v>E1</v>
      </c>
      <c r="AY66" s="832"/>
      <c r="AZ66" s="833"/>
      <c r="BA66" s="836">
        <f t="shared" si="17"/>
        <v>30</v>
      </c>
    </row>
    <row r="67" spans="3:53" ht="15" customHeight="1" x14ac:dyDescent="0.5">
      <c r="C67" s="136"/>
      <c r="AB67" s="338"/>
      <c r="AC67" s="339" t="str">
        <f>Groepswedstrijden!V72</f>
        <v>©2021 Eric de Jong v20.00dj</v>
      </c>
      <c r="AD67" s="337"/>
      <c r="AE67" s="337"/>
      <c r="AF67" s="337"/>
      <c r="AG67" s="337">
        <f>IF(TYPE(AC67)=2,1,0)</f>
        <v>1</v>
      </c>
      <c r="AH67" s="337"/>
      <c r="AI67" s="337"/>
      <c r="AJ67" s="408"/>
      <c r="AK67" s="226"/>
      <c r="AL67" s="1264"/>
      <c r="AM67" s="1264"/>
      <c r="AN67" s="1264"/>
      <c r="AO67" s="1264"/>
      <c r="AP67" s="228"/>
      <c r="AQ67" s="820"/>
      <c r="AR67" s="824"/>
      <c r="AS67" s="832" t="str">
        <f ca="1">VLOOKUP(AT67,Voorblad!$X$67:$Z$98,2,FALSE)</f>
        <v>Zweden</v>
      </c>
      <c r="AT67" s="833" t="str">
        <f t="shared" ca="1" si="12"/>
        <v>E2</v>
      </c>
      <c r="AU67" s="832"/>
      <c r="AV67" s="833"/>
      <c r="AW67" s="832" t="str">
        <f ca="1">VLOOKUP(AX67,Voorblad!$X$67:$Z$98,2,FALSE)</f>
        <v>Tsjechië</v>
      </c>
      <c r="AX67" s="833" t="str">
        <f t="shared" ca="1" si="14"/>
        <v>D4</v>
      </c>
      <c r="AY67" s="832"/>
      <c r="AZ67" s="833"/>
      <c r="BA67" s="836">
        <f t="shared" si="17"/>
        <v>32</v>
      </c>
    </row>
    <row r="68" spans="3:53" ht="15" customHeight="1" x14ac:dyDescent="0.5">
      <c r="C68" s="136"/>
      <c r="S68" s="462"/>
      <c r="AB68" s="341" t="s">
        <v>283</v>
      </c>
      <c r="AC68" s="340" t="s">
        <v>277</v>
      </c>
      <c r="AD68" s="337"/>
      <c r="AE68" s="337"/>
      <c r="AF68" s="337"/>
      <c r="AG68" s="337"/>
      <c r="AH68" s="337"/>
      <c r="AI68" s="337"/>
      <c r="AJ68" s="408"/>
      <c r="AK68" s="226"/>
      <c r="AL68" s="1258" t="str">
        <f>AO14&amp;AO16&amp;AO18&amp;AO20&amp;AO22&amp;AO24&amp;AO26&amp;AO28&amp;AO36&amp;AO38&amp;AO40&amp;AO42&amp;AO46&amp;AO48&amp;IF(A50="H","",AO52)&amp;AO56&amp;AO59</f>
        <v>FOUTFOUTFOUTFOUTFOUTFOUTFOUTFOUTFOUTFOUTFOUTFOUTFOUTFOUTFOUTFOUT</v>
      </c>
      <c r="AM68" s="1259"/>
      <c r="AN68" s="1259"/>
      <c r="AO68" s="1259"/>
      <c r="AP68" s="1260"/>
      <c r="AQ68" s="820"/>
      <c r="AR68" s="824"/>
      <c r="AS68" s="832"/>
      <c r="AT68" s="833"/>
      <c r="AU68" s="832"/>
      <c r="AV68" s="833"/>
      <c r="AW68" s="832" t="str">
        <f ca="1">VLOOKUP(AX68,Voorblad!$X$67:$Z$98,2,FALSE)</f>
        <v>Turkije</v>
      </c>
      <c r="AX68" s="833" t="str">
        <f t="shared" ca="1" si="14"/>
        <v>A1</v>
      </c>
      <c r="AY68" s="832"/>
      <c r="AZ68" s="833"/>
      <c r="BA68" s="836">
        <f t="shared" si="17"/>
        <v>34</v>
      </c>
    </row>
    <row r="69" spans="3:53" ht="15" customHeight="1" x14ac:dyDescent="0.5">
      <c r="S69" s="462"/>
      <c r="AB69" s="338"/>
      <c r="AC69" s="339" t="e">
        <f>#REF!</f>
        <v>#REF!</v>
      </c>
      <c r="AD69" s="337"/>
      <c r="AE69" s="337"/>
      <c r="AF69" s="337"/>
      <c r="AG69" s="337">
        <f>IF(TYPE(AC69)=2,1,0)</f>
        <v>0</v>
      </c>
      <c r="AH69" s="337"/>
      <c r="AI69" s="337"/>
      <c r="AJ69" s="408"/>
      <c r="AK69" s="226"/>
      <c r="AL69" s="1261"/>
      <c r="AM69" s="1139"/>
      <c r="AN69" s="1139"/>
      <c r="AO69" s="1139"/>
      <c r="AP69" s="1262"/>
      <c r="AQ69" s="820"/>
      <c r="AR69" s="824"/>
      <c r="AS69" s="832"/>
      <c r="AT69" s="833"/>
      <c r="AU69" s="832"/>
      <c r="AV69" s="833"/>
      <c r="AW69" s="832" t="str">
        <f ca="1">VLOOKUP(AX69,Voorblad!$X$67:$Z$98,2,FALSE)</f>
        <v>Wales</v>
      </c>
      <c r="AX69" s="833" t="str">
        <f t="shared" ca="1" si="14"/>
        <v>A3</v>
      </c>
      <c r="AY69" s="832"/>
      <c r="AZ69" s="833"/>
      <c r="BA69" s="836">
        <f t="shared" si="17"/>
        <v>36</v>
      </c>
    </row>
    <row r="70" spans="3:53" ht="15" customHeight="1" x14ac:dyDescent="0.5">
      <c r="S70" s="462"/>
      <c r="AB70" s="341" t="s">
        <v>284</v>
      </c>
      <c r="AC70" s="340" t="s">
        <v>281</v>
      </c>
      <c r="AD70" s="337"/>
      <c r="AE70" s="337"/>
      <c r="AF70" s="337"/>
      <c r="AG70" s="337"/>
      <c r="AH70" s="344" t="s">
        <v>296</v>
      </c>
      <c r="AI70" s="337"/>
      <c r="AJ70" s="408"/>
      <c r="AK70" s="226"/>
      <c r="AL70" s="1256" t="s">
        <v>1054</v>
      </c>
      <c r="AM70" s="1256"/>
      <c r="AN70" s="1256"/>
      <c r="AO70" s="1257"/>
      <c r="AP70" s="229">
        <f>LEN(AL68)</f>
        <v>64</v>
      </c>
      <c r="AQ70" s="820"/>
      <c r="AR70" s="824"/>
      <c r="AS70" s="832"/>
      <c r="AT70" s="833"/>
      <c r="AU70" s="832"/>
      <c r="AV70" s="833"/>
      <c r="AW70" s="832" t="str">
        <f ca="1">VLOOKUP(AX70,Voorblad!$X$67:$Z$98,2,FALSE)</f>
        <v>Zweden</v>
      </c>
      <c r="AX70" s="833" t="str">
        <f t="shared" ca="1" si="14"/>
        <v>E2</v>
      </c>
      <c r="AY70" s="832"/>
      <c r="AZ70" s="833"/>
      <c r="BA70" s="836">
        <f t="shared" si="17"/>
        <v>38</v>
      </c>
    </row>
    <row r="71" spans="3:53" ht="15" customHeight="1" x14ac:dyDescent="0.5">
      <c r="S71" s="462"/>
      <c r="AB71" s="337"/>
      <c r="AC71" s="339" t="str">
        <f>'Eindstand Groep'!P67</f>
        <v>©2021 Eric de Jong v20.00dj</v>
      </c>
      <c r="AD71" s="337"/>
      <c r="AE71" s="337"/>
      <c r="AF71" s="337"/>
      <c r="AG71" s="603">
        <f>IF(TYPE(AC71)=2,1,0)</f>
        <v>1</v>
      </c>
      <c r="AH71" s="345" t="s">
        <v>295</v>
      </c>
      <c r="AI71" s="337"/>
      <c r="AJ71" s="408"/>
      <c r="AK71" s="226"/>
      <c r="AL71" s="1254" t="s">
        <v>1365</v>
      </c>
      <c r="AM71" s="1255"/>
      <c r="AN71" s="402" t="str">
        <f>AO14&amp;AO16&amp;AO18&amp;AO20&amp;AO22&amp;AO24&amp;AO26&amp;AO28&amp;AO36&amp;AO38&amp;AO40&amp;AO42&amp;AO46&amp;AO48&amp;IF(A50="H","",AO52)&amp;AO56</f>
        <v>FOUTFOUTFOUTFOUTFOUTFOUTFOUTFOUTFOUTFOUTFOUTFOUTFOUTFOUTFOUT</v>
      </c>
      <c r="AO71" s="325" t="s">
        <v>199</v>
      </c>
      <c r="AP71" s="326" t="str">
        <f>IF(LEN(SUBSTITUTE(AL68,"FOUT","ONGELDIG"))=AP70,"GOED","FOUT")</f>
        <v>FOUT</v>
      </c>
      <c r="AQ71" s="821"/>
      <c r="AR71" s="825"/>
      <c r="AS71" s="832"/>
      <c r="AT71" s="833"/>
      <c r="AU71" s="832"/>
      <c r="AV71" s="833"/>
      <c r="AW71" s="832" t="str">
        <f ca="1">VLOOKUP(AX71,Voorblad!$X$67:$Z$98,2,FALSE)</f>
        <v>Zwitserland</v>
      </c>
      <c r="AX71" s="833" t="str">
        <f t="shared" ca="1" si="14"/>
        <v>A4</v>
      </c>
      <c r="AY71" s="832"/>
      <c r="AZ71" s="833"/>
      <c r="BA71" s="837">
        <f t="shared" si="17"/>
        <v>40</v>
      </c>
    </row>
    <row r="72" spans="3:53" ht="15" customHeight="1" x14ac:dyDescent="0.3">
      <c r="AB72" s="337"/>
      <c r="AC72" s="337"/>
      <c r="AD72" s="337"/>
      <c r="AE72" s="337"/>
      <c r="AF72" s="337"/>
      <c r="AG72" s="337"/>
      <c r="AH72" s="337"/>
      <c r="AI72" s="337"/>
      <c r="AJ72" s="408"/>
      <c r="AK72" s="408"/>
      <c r="AL72" s="408"/>
      <c r="AM72" s="408"/>
      <c r="AN72" s="408"/>
      <c r="AO72" s="408"/>
      <c r="AP72" s="408"/>
      <c r="AQ72" s="869" t="s">
        <v>963</v>
      </c>
      <c r="AR72" s="864"/>
      <c r="AS72" s="838"/>
      <c r="AT72" s="839" t="s">
        <v>1039</v>
      </c>
      <c r="AU72" s="838"/>
      <c r="AV72" s="839" t="s">
        <v>1039</v>
      </c>
      <c r="AW72" s="838"/>
      <c r="AX72" s="839" t="s">
        <v>1039</v>
      </c>
      <c r="AY72" s="838"/>
      <c r="AZ72" s="839" t="s">
        <v>1039</v>
      </c>
      <c r="BA72" s="840"/>
    </row>
    <row r="73" spans="3:53" ht="15" customHeight="1" x14ac:dyDescent="0.3">
      <c r="O73" s="529"/>
      <c r="P73" s="529"/>
      <c r="AB73" s="879" t="s">
        <v>285</v>
      </c>
      <c r="AC73" s="1251" t="s">
        <v>286</v>
      </c>
      <c r="AD73" s="1251"/>
      <c r="AE73" s="1251" t="s">
        <v>287</v>
      </c>
      <c r="AF73" s="1251"/>
      <c r="AG73" s="1251" t="s">
        <v>288</v>
      </c>
      <c r="AH73" s="1251"/>
      <c r="AI73" s="1251" t="s">
        <v>289</v>
      </c>
      <c r="AJ73" s="1251"/>
      <c r="AK73" s="879" t="s">
        <v>290</v>
      </c>
      <c r="AL73" s="879" t="s">
        <v>291</v>
      </c>
      <c r="AM73" s="1253" t="s">
        <v>292</v>
      </c>
      <c r="AN73" s="1253"/>
      <c r="AO73" s="880" t="s">
        <v>293</v>
      </c>
      <c r="AP73" s="337"/>
      <c r="AQ73" s="865" t="str">
        <f ca="1">Voorblad!AA67</f>
        <v>B3</v>
      </c>
      <c r="AR73" s="866"/>
      <c r="AS73" s="841" t="str">
        <f ca="1">VLOOKUP(AT73,Voorblad!$X$67:$Z$98,2,FALSE)</f>
        <v>België</v>
      </c>
      <c r="AT73" s="842" t="str">
        <f ca="1">RIGHT(LEFT($AK$102,$BA73),2)</f>
        <v>B3</v>
      </c>
      <c r="AU73" s="841" t="str">
        <f ca="1">VLOOKUP(AV73,Voorblad!$X$67:$Z$98,2,FALSE)</f>
        <v>België</v>
      </c>
      <c r="AV73" s="842" t="str">
        <f ca="1">RIGHT(LEFT($AL$102,$BA73),2)</f>
        <v>B3</v>
      </c>
      <c r="AW73" s="841" t="str">
        <f ca="1">VLOOKUP(AX73,Voorblad!$X$67:$Z$98,2,FALSE)</f>
        <v>België</v>
      </c>
      <c r="AX73" s="842" t="str">
        <f ca="1">RIGHT(LEFT($AK$103,$BA73),2)</f>
        <v>B3</v>
      </c>
      <c r="AY73" s="841" t="str">
        <f ca="1">VLOOKUP(AZ73,Voorblad!$X$67:$Z$98,2,FALSE)</f>
        <v>België</v>
      </c>
      <c r="AZ73" s="842" t="str">
        <f ca="1">RIGHT(LEFT($AL$103,$BA73),2)</f>
        <v>B3</v>
      </c>
      <c r="BA73" s="843">
        <v>2</v>
      </c>
    </row>
    <row r="74" spans="3:53" ht="15" customHeight="1" x14ac:dyDescent="0.3">
      <c r="D74" s="462"/>
      <c r="O74" s="529"/>
      <c r="P74" s="529"/>
      <c r="AB74" s="874">
        <f>D14</f>
        <v>38</v>
      </c>
      <c r="AC74" s="1269" t="str">
        <f>Groepswedstrijden!$Z$73</f>
        <v/>
      </c>
      <c r="AD74" s="1269"/>
      <c r="AE74" s="1269" t="str">
        <f>Groepswedstrijden!$AA$73</f>
        <v/>
      </c>
      <c r="AF74" s="1269"/>
      <c r="AG74" s="1269" t="e">
        <f>#REF!</f>
        <v>#REF!</v>
      </c>
      <c r="AH74" s="1269"/>
      <c r="AI74" s="1269" t="e">
        <f>#REF!</f>
        <v>#REF!</v>
      </c>
      <c r="AJ74" s="1269"/>
      <c r="AK74" s="874" t="str">
        <f>'Eindstand Groep'!$Y$5</f>
        <v/>
      </c>
      <c r="AL74" s="874" t="str">
        <f>'Eindstand Groep'!$Z$5</f>
        <v/>
      </c>
      <c r="AM74" s="1276" t="str">
        <f t="shared" ref="AM74:AM81" si="18">IF($AG$71=1,AK74,IF($AG$67=1,AC74,IF($AG$69=1,AG74,"")))</f>
        <v/>
      </c>
      <c r="AN74" s="1276"/>
      <c r="AO74" s="752" t="str">
        <f>IF($AG$71=1,AL74,IF($AG$67=1,AE74,IF($AG$69=1,AI74,"")))</f>
        <v/>
      </c>
      <c r="AP74" s="337"/>
      <c r="AQ74" s="865" t="str">
        <f ca="1">Voorblad!AA68</f>
        <v>B1</v>
      </c>
      <c r="AR74" s="866"/>
      <c r="AS74" s="841" t="str">
        <f ca="1">VLOOKUP(AT74,Voorblad!$X$67:$Z$98,2,FALSE)</f>
        <v>Denemarken</v>
      </c>
      <c r="AT74" s="842" t="str">
        <f t="shared" ref="AT74:AT96" ca="1" si="19">RIGHT(LEFT($AK$102,$BA74),2)</f>
        <v>B1</v>
      </c>
      <c r="AU74" s="841" t="str">
        <f ca="1">VLOOKUP(AV74,Voorblad!$X$67:$Z$98,2,FALSE)</f>
        <v>Denemarken</v>
      </c>
      <c r="AV74" s="842" t="str">
        <f t="shared" ref="AV74:AV96" ca="1" si="20">RIGHT(LEFT($AL$102,$BA74),2)</f>
        <v>B1</v>
      </c>
      <c r="AW74" s="841" t="str">
        <f ca="1">VLOOKUP(AX74,Voorblad!$X$67:$Z$98,2,FALSE)</f>
        <v>Denemarken</v>
      </c>
      <c r="AX74" s="842" t="str">
        <f t="shared" ref="AX74:AX96" ca="1" si="21">RIGHT(LEFT($AK$103,$BA74),2)</f>
        <v>B1</v>
      </c>
      <c r="AY74" s="841" t="str">
        <f ca="1">VLOOKUP(AZ74,Voorblad!$X$67:$Z$98,2,FALSE)</f>
        <v>Denemarken</v>
      </c>
      <c r="AZ74" s="842" t="str">
        <f t="shared" ref="AZ74:AZ96" ca="1" si="22">RIGHT(LEFT($AL$103,$BA74),2)</f>
        <v>B1</v>
      </c>
      <c r="BA74" s="844">
        <f t="shared" ref="BA74:BA84" si="23">BA73+2</f>
        <v>4</v>
      </c>
    </row>
    <row r="75" spans="3:53" x14ac:dyDescent="0.3">
      <c r="D75" s="462"/>
      <c r="O75" s="529"/>
      <c r="P75" s="529"/>
      <c r="AB75" s="875">
        <f>D16</f>
        <v>37</v>
      </c>
      <c r="AC75" s="1268" t="str">
        <f>Groepswedstrijden!$Z$72</f>
        <v/>
      </c>
      <c r="AD75" s="1268"/>
      <c r="AE75" s="1268" t="str">
        <f>Groepswedstrijden!$AB$73</f>
        <v/>
      </c>
      <c r="AF75" s="1268"/>
      <c r="AG75" s="1268" t="e">
        <f>#REF!</f>
        <v>#REF!</v>
      </c>
      <c r="AH75" s="1268"/>
      <c r="AI75" s="1268" t="e">
        <f>#REF!</f>
        <v>#REF!</v>
      </c>
      <c r="AJ75" s="1268"/>
      <c r="AK75" s="875" t="str">
        <f>'Eindstand Groep'!$Y$6</f>
        <v/>
      </c>
      <c r="AL75" s="875" t="str">
        <f>'Eindstand Groep'!$Z$6</f>
        <v/>
      </c>
      <c r="AM75" s="1277" t="str">
        <f t="shared" si="18"/>
        <v/>
      </c>
      <c r="AN75" s="1277"/>
      <c r="AO75" s="878" t="str">
        <f t="shared" ref="AO75:AO81" si="24">IF($AG$71=1,AL75,IF($AG$67=1,AE75,IF($AG$69=1,AI75,"")))</f>
        <v/>
      </c>
      <c r="AP75" s="337"/>
      <c r="AQ75" s="865" t="str">
        <f ca="1">Voorblad!AA69</f>
        <v>F4</v>
      </c>
      <c r="AR75" s="866"/>
      <c r="AS75" s="841" t="str">
        <f ca="1">VLOOKUP(AT75,Voorblad!$X$67:$Z$98,2,FALSE)</f>
        <v>Duitsland</v>
      </c>
      <c r="AT75" s="842" t="str">
        <f t="shared" ca="1" si="19"/>
        <v>F4</v>
      </c>
      <c r="AU75" s="841" t="str">
        <f ca="1">VLOOKUP(AV75,Voorblad!$X$67:$Z$98,2,FALSE)</f>
        <v>Duitsland</v>
      </c>
      <c r="AV75" s="842" t="str">
        <f t="shared" ca="1" si="20"/>
        <v>F4</v>
      </c>
      <c r="AW75" s="841" t="str">
        <f ca="1">VLOOKUP(AX75,Voorblad!$X$67:$Z$98,2,FALSE)</f>
        <v>Duitsland</v>
      </c>
      <c r="AX75" s="842" t="str">
        <f t="shared" ca="1" si="21"/>
        <v>F4</v>
      </c>
      <c r="AY75" s="841" t="str">
        <f ca="1">VLOOKUP(AZ75,Voorblad!$X$67:$Z$98,2,FALSE)</f>
        <v>Duitsland</v>
      </c>
      <c r="AZ75" s="842" t="str">
        <f t="shared" ca="1" si="22"/>
        <v>F4</v>
      </c>
      <c r="BA75" s="844">
        <f t="shared" si="23"/>
        <v>6</v>
      </c>
    </row>
    <row r="76" spans="3:53" x14ac:dyDescent="0.3">
      <c r="D76" s="462"/>
      <c r="O76" s="529"/>
      <c r="P76" s="529"/>
      <c r="AB76" s="874">
        <f>D18</f>
        <v>40</v>
      </c>
      <c r="AC76" s="1269" t="str">
        <f>Groepswedstrijden!$AB$72</f>
        <v/>
      </c>
      <c r="AD76" s="1269"/>
      <c r="AE76" s="1269" t="str">
        <f>Groepswedstrijden!$AC$74&amp;Groepswedstrijden!$AD$74&amp;Groepswedstrijden!$AE$74</f>
        <v/>
      </c>
      <c r="AF76" s="1269"/>
      <c r="AG76" s="1269" t="e">
        <f>#REF!</f>
        <v>#REF!</v>
      </c>
      <c r="AH76" s="1269"/>
      <c r="AI76" s="1269" t="e">
        <f>#REF!&amp;#REF!&amp;#REF!</f>
        <v>#REF!</v>
      </c>
      <c r="AJ76" s="1269"/>
      <c r="AK76" s="874" t="str">
        <f>'Eindstand Groep'!$Y$7</f>
        <v/>
      </c>
      <c r="AL76" s="874" t="str">
        <f>'Eindstand Groep'!$Z$7</f>
        <v/>
      </c>
      <c r="AM76" s="1276" t="str">
        <f t="shared" si="18"/>
        <v/>
      </c>
      <c r="AN76" s="1276"/>
      <c r="AO76" s="752" t="str">
        <f t="shared" si="24"/>
        <v/>
      </c>
      <c r="AP76" s="337"/>
      <c r="AQ76" s="865" t="str">
        <f ca="1">Voorblad!AA70</f>
        <v>D1</v>
      </c>
      <c r="AR76" s="866"/>
      <c r="AS76" s="841" t="str">
        <f ca="1">VLOOKUP(AT76,Voorblad!$X$67:$Z$98,2,FALSE)</f>
        <v>Engeland</v>
      </c>
      <c r="AT76" s="842" t="str">
        <f t="shared" ca="1" si="19"/>
        <v>D1</v>
      </c>
      <c r="AU76" s="841" t="str">
        <f ca="1">VLOOKUP(AV76,Voorblad!$X$67:$Z$98,2,FALSE)</f>
        <v>Engeland</v>
      </c>
      <c r="AV76" s="842" t="str">
        <f t="shared" ca="1" si="20"/>
        <v>D1</v>
      </c>
      <c r="AW76" s="841" t="str">
        <f ca="1">VLOOKUP(AX76,Voorblad!$X$67:$Z$98,2,FALSE)</f>
        <v>Engeland</v>
      </c>
      <c r="AX76" s="842" t="str">
        <f t="shared" ca="1" si="21"/>
        <v>D1</v>
      </c>
      <c r="AY76" s="841" t="str">
        <f ca="1">VLOOKUP(AZ76,Voorblad!$X$67:$Z$98,2,FALSE)</f>
        <v>Engeland</v>
      </c>
      <c r="AZ76" s="842" t="str">
        <f t="shared" ca="1" si="22"/>
        <v>D1</v>
      </c>
      <c r="BA76" s="844">
        <f t="shared" si="23"/>
        <v>8</v>
      </c>
    </row>
    <row r="77" spans="3:53" x14ac:dyDescent="0.3">
      <c r="D77" s="462"/>
      <c r="O77" s="529"/>
      <c r="P77" s="529"/>
      <c r="AB77" s="875">
        <f>D20</f>
        <v>39</v>
      </c>
      <c r="AC77" s="1268" t="str">
        <f>Groepswedstrijden!$AA$72</f>
        <v/>
      </c>
      <c r="AD77" s="1268"/>
      <c r="AE77" s="1268" t="str">
        <f>Groepswedstrijden!$Z$74&amp;Groepswedstrijden!$AC$74&amp;Groepswedstrijden!$AD$74&amp;Groepswedstrijden!$AE$74</f>
        <v/>
      </c>
      <c r="AF77" s="1268"/>
      <c r="AG77" s="1268" t="e">
        <f>#REF!</f>
        <v>#REF!</v>
      </c>
      <c r="AH77" s="1268"/>
      <c r="AI77" s="1268" t="e">
        <f>#REF!&amp;#REF!&amp;#REF!&amp;#REF!</f>
        <v>#REF!</v>
      </c>
      <c r="AJ77" s="1268"/>
      <c r="AK77" s="875" t="str">
        <f>'Eindstand Groep'!$Y$8</f>
        <v/>
      </c>
      <c r="AL77" s="875" t="str">
        <f>'Eindstand Groep'!$Z$8</f>
        <v/>
      </c>
      <c r="AM77" s="1277" t="str">
        <f t="shared" si="18"/>
        <v/>
      </c>
      <c r="AN77" s="1277"/>
      <c r="AO77" s="878" t="str">
        <f t="shared" si="24"/>
        <v/>
      </c>
      <c r="AP77" s="337"/>
      <c r="AQ77" s="865" t="str">
        <f ca="1">Voorblad!AA71</f>
        <v>B2</v>
      </c>
      <c r="AR77" s="866"/>
      <c r="AS77" s="841" t="str">
        <f ca="1">VLOOKUP(AT77,Voorblad!$X$67:$Z$98,2,FALSE)</f>
        <v>Finland</v>
      </c>
      <c r="AT77" s="842" t="str">
        <f t="shared" ca="1" si="19"/>
        <v>B2</v>
      </c>
      <c r="AU77" s="841" t="str">
        <f ca="1">VLOOKUP(AV77,Voorblad!$X$67:$Z$98,2,FALSE)</f>
        <v>Finland</v>
      </c>
      <c r="AV77" s="842" t="str">
        <f t="shared" ca="1" si="20"/>
        <v>B2</v>
      </c>
      <c r="AW77" s="841" t="str">
        <f ca="1">VLOOKUP(AX77,Voorblad!$X$67:$Z$98,2,FALSE)</f>
        <v>Finland</v>
      </c>
      <c r="AX77" s="842" t="str">
        <f t="shared" ca="1" si="21"/>
        <v>B2</v>
      </c>
      <c r="AY77" s="841" t="str">
        <f ca="1">VLOOKUP(AZ77,Voorblad!$X$67:$Z$98,2,FALSE)</f>
        <v>Finland</v>
      </c>
      <c r="AZ77" s="842" t="str">
        <f t="shared" ca="1" si="22"/>
        <v>B2</v>
      </c>
      <c r="BA77" s="844">
        <f t="shared" si="23"/>
        <v>10</v>
      </c>
    </row>
    <row r="78" spans="3:53" x14ac:dyDescent="0.3">
      <c r="O78" s="529"/>
      <c r="P78" s="529"/>
      <c r="AB78" s="874">
        <f>D22</f>
        <v>42</v>
      </c>
      <c r="AC78" s="1269" t="str">
        <f>Groepswedstrijden!$AC$73</f>
        <v/>
      </c>
      <c r="AD78" s="1269"/>
      <c r="AE78" s="1269" t="str">
        <f>Groepswedstrijden!$AD$73</f>
        <v/>
      </c>
      <c r="AF78" s="1269"/>
      <c r="AG78" s="1269" t="e">
        <f>#REF!</f>
        <v>#REF!</v>
      </c>
      <c r="AH78" s="1269"/>
      <c r="AI78" s="1269" t="e">
        <f>#REF!</f>
        <v>#REF!</v>
      </c>
      <c r="AJ78" s="1269"/>
      <c r="AK78" s="874" t="str">
        <f>'Eindstand Groep'!$Y$9</f>
        <v/>
      </c>
      <c r="AL78" s="874" t="str">
        <f>'Eindstand Groep'!$Z$9</f>
        <v/>
      </c>
      <c r="AM78" s="1276" t="str">
        <f t="shared" si="18"/>
        <v/>
      </c>
      <c r="AN78" s="1276"/>
      <c r="AO78" s="752" t="str">
        <f t="shared" si="24"/>
        <v/>
      </c>
      <c r="AP78" s="337"/>
      <c r="AQ78" s="865" t="str">
        <f ca="1">Voorblad!AA72</f>
        <v>F3</v>
      </c>
      <c r="AR78" s="866"/>
      <c r="AS78" s="841" t="str">
        <f ca="1">VLOOKUP(AT78,Voorblad!$X$67:$Z$98,2,FALSE)</f>
        <v>Frankrijk</v>
      </c>
      <c r="AT78" s="842" t="str">
        <f t="shared" ca="1" si="19"/>
        <v>F3</v>
      </c>
      <c r="AU78" s="841" t="str">
        <f ca="1">VLOOKUP(AV78,Voorblad!$X$67:$Z$98,2,FALSE)</f>
        <v>Frankrijk</v>
      </c>
      <c r="AV78" s="842" t="str">
        <f t="shared" ca="1" si="20"/>
        <v>F3</v>
      </c>
      <c r="AW78" s="841" t="str">
        <f ca="1">VLOOKUP(AX78,Voorblad!$X$67:$Z$98,2,FALSE)</f>
        <v>Frankrijk</v>
      </c>
      <c r="AX78" s="842" t="str">
        <f t="shared" ca="1" si="21"/>
        <v>F3</v>
      </c>
      <c r="AY78" s="841" t="str">
        <f ca="1">VLOOKUP(AZ78,Voorblad!$X$67:$Z$98,2,FALSE)</f>
        <v>Frankrijk</v>
      </c>
      <c r="AZ78" s="842" t="str">
        <f t="shared" ca="1" si="22"/>
        <v>F3</v>
      </c>
      <c r="BA78" s="844">
        <f t="shared" si="23"/>
        <v>12</v>
      </c>
    </row>
    <row r="79" spans="3:53" x14ac:dyDescent="0.3">
      <c r="O79" s="529"/>
      <c r="P79" s="529"/>
      <c r="AB79" s="875">
        <f>D24</f>
        <v>41</v>
      </c>
      <c r="AC79" s="1268" t="str">
        <f>Groepswedstrijden!$AE$72</f>
        <v/>
      </c>
      <c r="AD79" s="1268"/>
      <c r="AE79" s="1268" t="str">
        <f>Groepswedstrijden!$Z$74&amp;Groepswedstrijden!$AA$74&amp;Groepswedstrijden!$AB$74</f>
        <v/>
      </c>
      <c r="AF79" s="1268"/>
      <c r="AG79" s="1268" t="e">
        <f>#REF!</f>
        <v>#REF!</v>
      </c>
      <c r="AH79" s="1268"/>
      <c r="AI79" s="1268" t="e">
        <f>#REF!&amp;#REF!&amp;#REF!</f>
        <v>#REF!</v>
      </c>
      <c r="AJ79" s="1268"/>
      <c r="AK79" s="875" t="str">
        <f>'Eindstand Groep'!$Y$10</f>
        <v/>
      </c>
      <c r="AL79" s="875" t="str">
        <f>'Eindstand Groep'!$Z$10</f>
        <v/>
      </c>
      <c r="AM79" s="1277" t="str">
        <f t="shared" si="18"/>
        <v/>
      </c>
      <c r="AN79" s="1277"/>
      <c r="AO79" s="878" t="str">
        <f t="shared" si="24"/>
        <v/>
      </c>
      <c r="AP79" s="337"/>
      <c r="AQ79" s="865" t="str">
        <f ca="1">Voorblad!AA73</f>
        <v>F1</v>
      </c>
      <c r="AR79" s="866"/>
      <c r="AS79" s="841" t="str">
        <f ca="1">VLOOKUP(AT79,Voorblad!$X$67:$Z$98,2,FALSE)</f>
        <v>Hongarije</v>
      </c>
      <c r="AT79" s="842" t="str">
        <f t="shared" ca="1" si="19"/>
        <v>F1</v>
      </c>
      <c r="AU79" s="841" t="str">
        <f ca="1">VLOOKUP(AV79,Voorblad!$X$67:$Z$98,2,FALSE)</f>
        <v>Hongarije</v>
      </c>
      <c r="AV79" s="842" t="str">
        <f t="shared" ca="1" si="20"/>
        <v>F1</v>
      </c>
      <c r="AW79" s="841" t="str">
        <f ca="1">VLOOKUP(AX79,Voorblad!$X$67:$Z$98,2,FALSE)</f>
        <v>Hongarije</v>
      </c>
      <c r="AX79" s="842" t="str">
        <f t="shared" ca="1" si="21"/>
        <v>F1</v>
      </c>
      <c r="AY79" s="841" t="str">
        <f ca="1">VLOOKUP(AZ79,Voorblad!$X$67:$Z$98,2,FALSE)</f>
        <v>Hongarije</v>
      </c>
      <c r="AZ79" s="842" t="str">
        <f t="shared" ca="1" si="22"/>
        <v>F1</v>
      </c>
      <c r="BA79" s="844">
        <f t="shared" si="23"/>
        <v>14</v>
      </c>
    </row>
    <row r="80" spans="3:53" x14ac:dyDescent="0.3">
      <c r="AB80" s="874">
        <f>D26</f>
        <v>44</v>
      </c>
      <c r="AC80" s="1269" t="str">
        <f>Groepswedstrijden!$AC$72</f>
        <v/>
      </c>
      <c r="AD80" s="1269"/>
      <c r="AE80" s="1269" t="str">
        <f>Groepswedstrijden!$AE$73</f>
        <v/>
      </c>
      <c r="AF80" s="1269"/>
      <c r="AG80" s="1269" t="e">
        <f>#REF!</f>
        <v>#REF!</v>
      </c>
      <c r="AH80" s="1269"/>
      <c r="AI80" s="1269" t="e">
        <f>#REF!</f>
        <v>#REF!</v>
      </c>
      <c r="AJ80" s="1269"/>
      <c r="AK80" s="874" t="str">
        <f>'Eindstand Groep'!$Y$11</f>
        <v/>
      </c>
      <c r="AL80" s="874" t="str">
        <f>'Eindstand Groep'!$Z$11</f>
        <v/>
      </c>
      <c r="AM80" s="1276" t="str">
        <f t="shared" si="18"/>
        <v/>
      </c>
      <c r="AN80" s="1276"/>
      <c r="AO80" s="752" t="str">
        <f t="shared" si="24"/>
        <v/>
      </c>
      <c r="AP80" s="337"/>
      <c r="AQ80" s="865" t="str">
        <f ca="1">Voorblad!AA74</f>
        <v>A2</v>
      </c>
      <c r="AR80" s="866"/>
      <c r="AS80" s="841" t="str">
        <f ca="1">VLOOKUP(AT80,Voorblad!$X$67:$Z$98,2,FALSE)</f>
        <v>Italië</v>
      </c>
      <c r="AT80" s="842" t="str">
        <f t="shared" ca="1" si="19"/>
        <v>A2</v>
      </c>
      <c r="AU80" s="841" t="str">
        <f ca="1">VLOOKUP(AV80,Voorblad!$X$67:$Z$98,2,FALSE)</f>
        <v>Italië</v>
      </c>
      <c r="AV80" s="842" t="str">
        <f t="shared" ca="1" si="20"/>
        <v>A2</v>
      </c>
      <c r="AW80" s="841" t="str">
        <f ca="1">VLOOKUP(AX80,Voorblad!$X$67:$Z$98,2,FALSE)</f>
        <v>Italië</v>
      </c>
      <c r="AX80" s="842" t="str">
        <f t="shared" ca="1" si="21"/>
        <v>A2</v>
      </c>
      <c r="AY80" s="841" t="str">
        <f ca="1">VLOOKUP(AZ80,Voorblad!$X$67:$Z$98,2,FALSE)</f>
        <v>Italië</v>
      </c>
      <c r="AZ80" s="842" t="str">
        <f t="shared" ca="1" si="22"/>
        <v>A2</v>
      </c>
      <c r="BA80" s="844">
        <f t="shared" si="23"/>
        <v>16</v>
      </c>
    </row>
    <row r="81" spans="28:53" x14ac:dyDescent="0.3">
      <c r="AB81" s="875">
        <f>D28</f>
        <v>43</v>
      </c>
      <c r="AC81" s="1268" t="str">
        <f>Groepswedstrijden!$AD$72</f>
        <v/>
      </c>
      <c r="AD81" s="1268"/>
      <c r="AE81" s="1268" t="str">
        <f>Groepswedstrijden!$Z$74&amp;Groepswedstrijden!$AA$74&amp;Groepswedstrijden!$AB$74&amp;Groepswedstrijden!$AC$74</f>
        <v/>
      </c>
      <c r="AF81" s="1268"/>
      <c r="AG81" s="1268" t="e">
        <f>#REF!</f>
        <v>#REF!</v>
      </c>
      <c r="AH81" s="1268"/>
      <c r="AI81" s="1268" t="e">
        <f>#REF!&amp;#REF!&amp;#REF!&amp;#REF!</f>
        <v>#REF!</v>
      </c>
      <c r="AJ81" s="1268"/>
      <c r="AK81" s="875" t="str">
        <f>'Eindstand Groep'!$Y$12</f>
        <v/>
      </c>
      <c r="AL81" s="875" t="str">
        <f>'Eindstand Groep'!$Z$12</f>
        <v/>
      </c>
      <c r="AM81" s="1277" t="str">
        <f t="shared" si="18"/>
        <v/>
      </c>
      <c r="AN81" s="1277"/>
      <c r="AO81" s="878" t="str">
        <f t="shared" si="24"/>
        <v/>
      </c>
      <c r="AP81" s="337"/>
      <c r="AQ81" s="865" t="str">
        <f ca="1">Voorblad!AA75</f>
        <v>D2</v>
      </c>
      <c r="AR81" s="866"/>
      <c r="AS81" s="841" t="str">
        <f ca="1">VLOOKUP(AT81,Voorblad!$X$67:$Z$98,2,FALSE)</f>
        <v>Kroatië</v>
      </c>
      <c r="AT81" s="842" t="str">
        <f t="shared" ca="1" si="19"/>
        <v>D2</v>
      </c>
      <c r="AU81" s="841" t="str">
        <f ca="1">VLOOKUP(AV81,Voorblad!$X$67:$Z$98,2,FALSE)</f>
        <v>Kroatië</v>
      </c>
      <c r="AV81" s="842" t="str">
        <f t="shared" ca="1" si="20"/>
        <v>D2</v>
      </c>
      <c r="AW81" s="841" t="str">
        <f ca="1">VLOOKUP(AX81,Voorblad!$X$67:$Z$98,2,FALSE)</f>
        <v>Kroatië</v>
      </c>
      <c r="AX81" s="842" t="str">
        <f t="shared" ca="1" si="21"/>
        <v>D2</v>
      </c>
      <c r="AY81" s="841" t="str">
        <f ca="1">VLOOKUP(AZ81,Voorblad!$X$67:$Z$98,2,FALSE)</f>
        <v>Kroatië</v>
      </c>
      <c r="AZ81" s="842" t="str">
        <f t="shared" ca="1" si="22"/>
        <v>D2</v>
      </c>
      <c r="BA81" s="844">
        <f t="shared" si="23"/>
        <v>18</v>
      </c>
    </row>
    <row r="82" spans="28:53" x14ac:dyDescent="0.3">
      <c r="AB82" s="337"/>
      <c r="AC82" s="337"/>
      <c r="AD82" s="337"/>
      <c r="AE82" s="337"/>
      <c r="AF82" s="337"/>
      <c r="AG82" s="337"/>
      <c r="AH82" s="337"/>
      <c r="AI82" s="337"/>
      <c r="AJ82" s="337"/>
      <c r="AK82" s="337"/>
      <c r="AL82" s="337"/>
      <c r="AM82" s="337"/>
      <c r="AN82" s="337"/>
      <c r="AO82" s="337"/>
      <c r="AP82" s="337"/>
      <c r="AQ82" s="865" t="str">
        <f ca="1">Voorblad!AA76</f>
        <v>C1</v>
      </c>
      <c r="AR82" s="866"/>
      <c r="AS82" s="841" t="str">
        <f ca="1">VLOOKUP(AT82,Voorblad!$X$67:$Z$98,2,FALSE)</f>
        <v>Nederland</v>
      </c>
      <c r="AT82" s="842" t="str">
        <f t="shared" ca="1" si="19"/>
        <v>C1</v>
      </c>
      <c r="AU82" s="841" t="str">
        <f ca="1">VLOOKUP(AV82,Voorblad!$X$67:$Z$98,2,FALSE)</f>
        <v>Nederland</v>
      </c>
      <c r="AV82" s="842" t="str">
        <f t="shared" ca="1" si="20"/>
        <v>C1</v>
      </c>
      <c r="AW82" s="841" t="str">
        <f ca="1">VLOOKUP(AX82,Voorblad!$X$67:$Z$98,2,FALSE)</f>
        <v>Nederland</v>
      </c>
      <c r="AX82" s="842" t="str">
        <f t="shared" ca="1" si="21"/>
        <v>C1</v>
      </c>
      <c r="AY82" s="841" t="str">
        <f ca="1">VLOOKUP(AZ82,Voorblad!$X$67:$Z$98,2,FALSE)</f>
        <v>Nederland</v>
      </c>
      <c r="AZ82" s="842" t="str">
        <f t="shared" ca="1" si="22"/>
        <v>C1</v>
      </c>
      <c r="BA82" s="844">
        <f t="shared" si="23"/>
        <v>20</v>
      </c>
    </row>
    <row r="83" spans="28:53" x14ac:dyDescent="0.3">
      <c r="AB83" s="940" t="s">
        <v>1041</v>
      </c>
      <c r="AC83" s="941"/>
      <c r="AD83" s="941"/>
      <c r="AE83" s="941"/>
      <c r="AF83" s="941"/>
      <c r="AG83" s="941"/>
      <c r="AH83" s="941"/>
      <c r="AI83" s="941"/>
      <c r="AJ83" s="942"/>
      <c r="AK83" s="941"/>
      <c r="AL83" s="941"/>
      <c r="AM83" s="941"/>
      <c r="AN83" s="941"/>
      <c r="AO83" s="943" t="str">
        <f ca="1">Taal02!B48</f>
        <v>B3B1F4D1B2F3F1A2D2C1C4C2C3E3F2B4D3E4E1D4A1A3E2A4G1G2G3G4H1H2H3H4</v>
      </c>
      <c r="AP83" s="920"/>
      <c r="AQ83" s="865" t="str">
        <f ca="1">Voorblad!AA77</f>
        <v>C4</v>
      </c>
      <c r="AR83" s="866"/>
      <c r="AS83" s="841" t="str">
        <f ca="1">VLOOKUP(AT83,Voorblad!$X$67:$Z$98,2,FALSE)</f>
        <v>N.-Macedonië</v>
      </c>
      <c r="AT83" s="842" t="str">
        <f t="shared" ca="1" si="19"/>
        <v>C4</v>
      </c>
      <c r="AU83" s="841" t="str">
        <f ca="1">VLOOKUP(AV83,Voorblad!$X$67:$Z$98,2,FALSE)</f>
        <v>N.-Macedonië</v>
      </c>
      <c r="AV83" s="842" t="str">
        <f t="shared" ca="1" si="20"/>
        <v>C4</v>
      </c>
      <c r="AW83" s="841" t="str">
        <f ca="1">VLOOKUP(AX83,Voorblad!$X$67:$Z$98,2,FALSE)</f>
        <v>N.-Macedonië</v>
      </c>
      <c r="AX83" s="842" t="str">
        <f t="shared" ca="1" si="21"/>
        <v>C4</v>
      </c>
      <c r="AY83" s="841" t="str">
        <f ca="1">VLOOKUP(AZ83,Voorblad!$X$67:$Z$98,2,FALSE)</f>
        <v>N.-Macedonië</v>
      </c>
      <c r="AZ83" s="842" t="str">
        <f t="shared" ca="1" si="22"/>
        <v>C4</v>
      </c>
      <c r="BA83" s="844">
        <f t="shared" si="23"/>
        <v>22</v>
      </c>
    </row>
    <row r="84" spans="28:53" x14ac:dyDescent="0.3">
      <c r="AB84" s="408"/>
      <c r="AC84" s="408"/>
      <c r="AD84" s="408"/>
      <c r="AE84" s="408"/>
      <c r="AF84" s="408"/>
      <c r="AG84" s="339"/>
      <c r="AH84" s="408"/>
      <c r="AI84" s="408"/>
      <c r="AJ84" s="408"/>
      <c r="AK84" s="408"/>
      <c r="AL84" s="408"/>
      <c r="AM84" s="408"/>
      <c r="AN84" s="408"/>
      <c r="AO84" s="408"/>
      <c r="AP84" s="408"/>
      <c r="AQ84" s="865" t="str">
        <f ca="1">Voorblad!AA78</f>
        <v>C2</v>
      </c>
      <c r="AR84" s="866"/>
      <c r="AS84" s="841" t="str">
        <f ca="1">VLOOKUP(AT84,Voorblad!$X$67:$Z$98,2,FALSE)</f>
        <v>Oekraïne</v>
      </c>
      <c r="AT84" s="842" t="str">
        <f t="shared" ca="1" si="19"/>
        <v>C2</v>
      </c>
      <c r="AU84" s="841" t="str">
        <f ca="1">VLOOKUP(AV84,Voorblad!$X$67:$Z$98,2,FALSE)</f>
        <v>Oekraïne</v>
      </c>
      <c r="AV84" s="842" t="str">
        <f t="shared" ca="1" si="20"/>
        <v>C2</v>
      </c>
      <c r="AW84" s="841" t="str">
        <f ca="1">VLOOKUP(AX84,Voorblad!$X$67:$Z$98,2,FALSE)</f>
        <v>Oekraïne</v>
      </c>
      <c r="AX84" s="842" t="str">
        <f t="shared" ca="1" si="21"/>
        <v>C2</v>
      </c>
      <c r="AY84" s="841" t="str">
        <f ca="1">VLOOKUP(AZ84,Voorblad!$X$67:$Z$98,2,FALSE)</f>
        <v>Oekraïne</v>
      </c>
      <c r="AZ84" s="842" t="str">
        <f t="shared" ca="1" si="22"/>
        <v>C2</v>
      </c>
      <c r="BA84" s="844">
        <f t="shared" si="23"/>
        <v>24</v>
      </c>
    </row>
    <row r="85" spans="28:53" x14ac:dyDescent="0.3">
      <c r="AB85" s="879" t="s">
        <v>285</v>
      </c>
      <c r="AC85" s="1272" t="str">
        <f t="shared" ref="AC85:AC93" si="25">AM73</f>
        <v>suggestie - thuis</v>
      </c>
      <c r="AD85" s="1272"/>
      <c r="AE85" s="1272" t="str">
        <f t="shared" ref="AE85:AE93" si="26">AO73</f>
        <v>suggestie - uit</v>
      </c>
      <c r="AF85" s="1272"/>
      <c r="AG85" s="1272" t="s">
        <v>1044</v>
      </c>
      <c r="AH85" s="1272"/>
      <c r="AI85" s="1272" t="s">
        <v>1045</v>
      </c>
      <c r="AJ85" s="1272"/>
      <c r="AK85" s="879" t="s">
        <v>1046</v>
      </c>
      <c r="AL85" s="879" t="s">
        <v>1047</v>
      </c>
      <c r="AM85" s="1253" t="s">
        <v>1043</v>
      </c>
      <c r="AN85" s="1253"/>
      <c r="AO85" s="880" t="s">
        <v>1042</v>
      </c>
      <c r="AP85" s="408"/>
      <c r="AQ85" s="865" t="str">
        <f ca="1">Voorblad!AA79</f>
        <v>C3</v>
      </c>
      <c r="AR85" s="866"/>
      <c r="AS85" s="841" t="str">
        <f ca="1">VLOOKUP(AT85,Voorblad!$X$67:$Z$98,2,FALSE)</f>
        <v>Oostenrijk</v>
      </c>
      <c r="AT85" s="842" t="str">
        <f t="shared" ca="1" si="19"/>
        <v>C3</v>
      </c>
      <c r="AU85" s="841" t="str">
        <f ca="1">VLOOKUP(AV85,Voorblad!$X$67:$Z$98,2,FALSE)</f>
        <v>Oostenrijk</v>
      </c>
      <c r="AV85" s="842" t="str">
        <f t="shared" ca="1" si="20"/>
        <v>C3</v>
      </c>
      <c r="AW85" s="841" t="str">
        <f ca="1">VLOOKUP(AX85,Voorblad!$X$67:$Z$98,2,FALSE)</f>
        <v>Oostenrijk</v>
      </c>
      <c r="AX85" s="842" t="str">
        <f t="shared" ca="1" si="21"/>
        <v>C3</v>
      </c>
      <c r="AY85" s="841" t="str">
        <f ca="1">VLOOKUP(AZ85,Voorblad!$X$67:$Z$98,2,FALSE)</f>
        <v>Oostenrijk</v>
      </c>
      <c r="AZ85" s="842" t="str">
        <f t="shared" ca="1" si="22"/>
        <v>C3</v>
      </c>
      <c r="BA85" s="844">
        <f t="shared" ref="BA85:BA104" si="27">BA84+2</f>
        <v>26</v>
      </c>
    </row>
    <row r="86" spans="28:53" x14ac:dyDescent="0.3">
      <c r="AB86" s="874">
        <f t="shared" ref="AB86:AB93" si="28">AB74</f>
        <v>38</v>
      </c>
      <c r="AC86" s="1271" t="str">
        <f t="shared" si="25"/>
        <v/>
      </c>
      <c r="AD86" s="1271"/>
      <c r="AE86" s="1271" t="str">
        <f t="shared" si="26"/>
        <v/>
      </c>
      <c r="AF86" s="1271"/>
      <c r="AG86" s="1271" t="str">
        <f t="shared" ref="AG86:AG93" ca="1" si="29">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86)),$AQ$73,""),""),IF(ISERROR(SEARCH($AQ$74,AC86)),$AQ$74,""),""),IF(ISERROR(SEARCH($AQ$75,AC86)),$AQ$75,""),""),IF(ISERROR(SEARCH($AQ$76,AC86)),$AQ$76,""),""),IF(ISERROR(SEARCH($AQ$77,AC86)),$AQ$77,""),""),IF(ISERROR(SEARCH($AQ$78,AC86)),$AQ$78,""),""),IF(ISERROR(SEARCH($AQ$79,AC86)),$AQ$79,""),""),IF(ISERROR(SEARCH($AQ$80,AC86)),$AQ$80,""),""),IF(ISERROR(SEARCH($AQ$81,AC86)),$AQ$81,""),""),IF(ISERROR(SEARCH($AQ$82,AC86)),$AQ$82,""),""),IF(ISERROR(SEARCH($AQ$83,AC86)),$AQ$83,""),""),IF(ISERROR(SEARCH($AQ$84,AC86)),$AQ$84,""),""),IF(ISERROR(SEARCH($AQ$85,AC86)),$AQ$85,""),""),IF(ISERROR(SEARCH($AQ$86,AC86)),$AQ$86,""),""),IF(ISERROR(SEARCH($AQ$87,AC86)),$AQ$87,""),""),IF(ISERROR(SEARCH($AQ$88,AC86)),$AQ$88,""),""),IF(ISERROR(SEARCH($AQ$89,AC86)),$AQ$89,""),""),IF(ISERROR(SEARCH($AQ$90,AC86)),$AQ$90,""),""),IF(ISERROR(SEARCH($AQ$91,AC86)),$AQ$91,""),""),IF(ISERROR(SEARCH($AQ$92,AC86)),$AQ$92,""),""),IF(ISERROR(SEARCH($AQ$93,AC86)),$AQ$93,""),""),IF(ISERROR(SEARCH($AQ$94,AC86)),$AQ$94,""),""),IF(ISERROR(SEARCH($AQ$95,AC86)),$AQ$95,""),""),IF(ISERROR(SEARCH($AQ$96,AC86)),$AQ$96,""),""),IF(ISERROR(SEARCH($AQ$97,AC86)),$AQ$97,""),""),IF(ISERROR(SEARCH($AQ$98,AC86)),$AQ$98,""),""),IF(ISERROR(SEARCH($AQ$99,AC86)),$AQ$99,""),""),IF(ISERROR(SEARCH($AQ$100,AC86)),$AQ$100,""),""),IF(ISERROR(SEARCH($AQ$101,AC86)),$AQ$101,""),""),IF(ISERROR(SEARCH($AQ$102,AC86)),$AQ$102,""),""),IF(ISERROR(SEARCH($AQ$103,AC86)),$AQ$103,""),""),IF(ISERROR(SEARCH($AQ$104,AC86)),$AQ$104,""),"")</f>
        <v/>
      </c>
      <c r="AH86" s="1271"/>
      <c r="AI86" s="1271" t="str">
        <f t="shared" ref="AI86:AI93" ca="1" si="30">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86)),$AQ$73,""),""),IF(ISERROR(SEARCH($AQ$74,AE86)),$AQ$74,""),""),IF(ISERROR(SEARCH($AQ$75,AE86)),$AQ$75,""),""),IF(ISERROR(SEARCH($AQ$76,AE86)),$AQ$76,""),""),IF(ISERROR(SEARCH($AQ$77,AE86)),$AQ$77,""),""),IF(ISERROR(SEARCH($AQ$78,AE86)),$AQ$78,""),""),IF(ISERROR(SEARCH($AQ$79,AE86)),$AQ$79,""),""),IF(ISERROR(SEARCH($AQ$80,AE86)),$AQ$80,""),""),IF(ISERROR(SEARCH($AQ$81,AE86)),$AQ$81,""),""),IF(ISERROR(SEARCH($AQ$82,AE86)),$AQ$82,""),""),IF(ISERROR(SEARCH($AQ$83,AE86)),$AQ$83,""),""),IF(ISERROR(SEARCH($AQ$84,AE86)),$AQ$84,""),""),IF(ISERROR(SEARCH($AQ$85,AE86)),$AQ$85,""),""),IF(ISERROR(SEARCH($AQ$86,AE86)),$AQ$86,""),""),IF(ISERROR(SEARCH($AQ$87,AE86)),$AQ$87,""),""),IF(ISERROR(SEARCH($AQ$88,AE86)),$AQ$88,""),""),IF(ISERROR(SEARCH($AQ$89,AE86)),$AQ$89,""),""),IF(ISERROR(SEARCH($AQ$90,AE86)),$AQ$90,""),""),IF(ISERROR(SEARCH($AQ$91,AE86)),$AQ$91,""),""),IF(ISERROR(SEARCH($AQ$92,AE86)),$AQ$92,""),""),IF(ISERROR(SEARCH($AQ$93,AE86)),$AQ$93,""),""),IF(ISERROR(SEARCH($AQ$94,AE86)),$AQ$94,""),""),IF(ISERROR(SEARCH($AQ$95,AE86)),$AQ$95,""),""),IF(ISERROR(SEARCH($AQ$96,AE86)),$AQ$96,""),""),IF(ISERROR(SEARCH($AQ$97,AE86)),$AQ$97,""),""),IF(ISERROR(SEARCH($AQ$98,AE86)),$AQ$98,""),""),IF(ISERROR(SEARCH($AQ$99,AE86)),$AQ$99,""),""),IF(ISERROR(SEARCH($AQ$100,AE86)),$AQ$100,""),""),IF(ISERROR(SEARCH($AQ$101,AE86)),$AQ$101,""),""),IF(ISERROR(SEARCH($AQ$102,AE86)),$AQ$102,""),""),IF(ISERROR(SEARCH($AQ$103,AE86)),$AQ$103,""),""),IF(ISERROR(SEARCH($AQ$104,AE86)),$AQ$104,""),"")</f>
        <v/>
      </c>
      <c r="AJ86" s="1271"/>
      <c r="AK86" s="874" t="s">
        <v>1048</v>
      </c>
      <c r="AL86" s="874" t="s">
        <v>1048</v>
      </c>
      <c r="AM86" s="1269" t="str">
        <f ca="1">IF(AG86="","",IF(LEN(AG86)&gt;=2,VLOOKUP(LEFT(AG86,2),Voorblad!$X$67:$Y$98,2)&amp;IF(LEN(AG86)&gt;=4," / "&amp;VLOOKUP(RIGHT(LEFT(AG86,4),2),Voorblad!$X$67:$Y$98,2)&amp;IF(LEN(AG86)&gt;=6," / "&amp;VLOOKUP(RIGHT(LEFT(AG86,6),2),Voorblad!$X$67:$Y$98,2)&amp;IF(LEN(AG86)&gt;=8," / "&amp;VLOOKUP(RIGHT(LEFT(AG86,8),2),Voorblad!$X$67:$Y$98,2),""),""),""),""))</f>
        <v/>
      </c>
      <c r="AN86" s="1269"/>
      <c r="AO86" s="876" t="str">
        <f ca="1">IF(AI86="","",IF(LEN(AI86)&gt;=2,VLOOKUP(LEFT(AI86,2),Voorblad!$X$67:$Y$98,2)&amp;IF(LEN(AI86)&gt;=4," / "&amp;VLOOKUP(RIGHT(LEFT(AI86,4),2),Voorblad!$X$67:$Y$98,2)&amp;IF(LEN(AI86)&gt;=6," / "&amp;VLOOKUP(RIGHT(LEFT(AI86,6),2),Voorblad!$X$67:$Y$98,2)&amp;IF(LEN(AI86)&gt;=8," / "&amp;VLOOKUP(RIGHT(LEFT(AI86,8),2),Voorblad!$X$67:$Y$98,2),""),""),""),""))</f>
        <v/>
      </c>
      <c r="AP86" s="408" t="s">
        <v>324</v>
      </c>
      <c r="AQ86" s="865" t="str">
        <f ca="1">Voorblad!AA80</f>
        <v>E3</v>
      </c>
      <c r="AR86" s="866"/>
      <c r="AS86" s="841" t="str">
        <f ca="1">VLOOKUP(AT86,Voorblad!$X$67:$Z$98,2,FALSE)</f>
        <v>Polen</v>
      </c>
      <c r="AT86" s="842" t="str">
        <f t="shared" ca="1" si="19"/>
        <v>E3</v>
      </c>
      <c r="AU86" s="841" t="str">
        <f ca="1">VLOOKUP(AV86,Voorblad!$X$67:$Z$98,2,FALSE)</f>
        <v>Polen</v>
      </c>
      <c r="AV86" s="842" t="str">
        <f t="shared" ca="1" si="20"/>
        <v>E3</v>
      </c>
      <c r="AW86" s="841" t="str">
        <f ca="1">VLOOKUP(AX86,Voorblad!$X$67:$Z$98,2,FALSE)</f>
        <v>Polen</v>
      </c>
      <c r="AX86" s="842" t="str">
        <f t="shared" ca="1" si="21"/>
        <v>E3</v>
      </c>
      <c r="AY86" s="841" t="str">
        <f ca="1">VLOOKUP(AZ86,Voorblad!$X$67:$Z$98,2,FALSE)</f>
        <v>Polen</v>
      </c>
      <c r="AZ86" s="842" t="str">
        <f t="shared" ca="1" si="22"/>
        <v>E3</v>
      </c>
      <c r="BA86" s="844">
        <f t="shared" si="27"/>
        <v>28</v>
      </c>
    </row>
    <row r="87" spans="28:53" x14ac:dyDescent="0.3">
      <c r="AB87" s="875">
        <f t="shared" si="28"/>
        <v>37</v>
      </c>
      <c r="AC87" s="1275" t="str">
        <f t="shared" si="25"/>
        <v/>
      </c>
      <c r="AD87" s="1275"/>
      <c r="AE87" s="1275" t="str">
        <f t="shared" si="26"/>
        <v/>
      </c>
      <c r="AF87" s="1275"/>
      <c r="AG87" s="1275" t="str">
        <f t="shared" ca="1" si="29"/>
        <v/>
      </c>
      <c r="AH87" s="1275"/>
      <c r="AI87" s="1275" t="str">
        <f t="shared" ca="1" si="30"/>
        <v/>
      </c>
      <c r="AJ87" s="1275"/>
      <c r="AK87" s="875" t="s">
        <v>1048</v>
      </c>
      <c r="AL87" s="875" t="s">
        <v>1048</v>
      </c>
      <c r="AM87" s="1268" t="str">
        <f ca="1">IF(AG87="","",IF(LEN(AG87)&gt;=2,VLOOKUP(LEFT(AG87,2),Voorblad!$X$67:$Y$98,2)&amp;IF(LEN(AG87)&gt;=4," / "&amp;VLOOKUP(RIGHT(LEFT(AG87,4),2),Voorblad!$X$67:$Y$98,2)&amp;IF(LEN(AG87)&gt;=6," / "&amp;VLOOKUP(RIGHT(LEFT(AG87,6),2),Voorblad!$X$67:$Y$98,2)&amp;IF(LEN(AG87)&gt;=8," / "&amp;VLOOKUP(RIGHT(LEFT(AG87,8),2),Voorblad!$X$67:$Y$98,2),""),""),""),""))</f>
        <v/>
      </c>
      <c r="AN87" s="1268"/>
      <c r="AO87" s="877" t="str">
        <f ca="1">IF(AI87="","",IF(LEN(AI87)&gt;=2,VLOOKUP(LEFT(AI87,2),Voorblad!$X$67:$Y$98,2)&amp;IF(LEN(AI87)&gt;=4," / "&amp;VLOOKUP(RIGHT(LEFT(AI87,4),2),Voorblad!$X$67:$Y$98,2)&amp;IF(LEN(AI87)&gt;=6," / "&amp;VLOOKUP(RIGHT(LEFT(AI87,6),2),Voorblad!$X$67:$Y$98,2)&amp;IF(LEN(AI87)&gt;=8," / "&amp;VLOOKUP(RIGHT(LEFT(AI87,8),2),Voorblad!$X$67:$Y$98,2),""),""),""),""))</f>
        <v/>
      </c>
      <c r="AP87" s="408" t="s">
        <v>324</v>
      </c>
      <c r="AQ87" s="865" t="str">
        <f ca="1">Voorblad!AA81</f>
        <v>F2</v>
      </c>
      <c r="AR87" s="866"/>
      <c r="AS87" s="841" t="str">
        <f ca="1">VLOOKUP(AT87,Voorblad!$X$67:$Z$98,2,FALSE)</f>
        <v>Portugal</v>
      </c>
      <c r="AT87" s="842" t="str">
        <f t="shared" ca="1" si="19"/>
        <v>F2</v>
      </c>
      <c r="AU87" s="841" t="str">
        <f ca="1">VLOOKUP(AV87,Voorblad!$X$67:$Z$98,2,FALSE)</f>
        <v>Portugal</v>
      </c>
      <c r="AV87" s="842" t="str">
        <f t="shared" ca="1" si="20"/>
        <v>F2</v>
      </c>
      <c r="AW87" s="841" t="str">
        <f ca="1">VLOOKUP(AX87,Voorblad!$X$67:$Z$98,2,FALSE)</f>
        <v>Portugal</v>
      </c>
      <c r="AX87" s="842" t="str">
        <f t="shared" ca="1" si="21"/>
        <v>F2</v>
      </c>
      <c r="AY87" s="841" t="str">
        <f ca="1">VLOOKUP(AZ87,Voorblad!$X$67:$Z$98,2,FALSE)</f>
        <v>Portugal</v>
      </c>
      <c r="AZ87" s="842" t="str">
        <f t="shared" ca="1" si="22"/>
        <v>F2</v>
      </c>
      <c r="BA87" s="844">
        <f t="shared" si="27"/>
        <v>30</v>
      </c>
    </row>
    <row r="88" spans="28:53" x14ac:dyDescent="0.3">
      <c r="AB88" s="874">
        <f t="shared" si="28"/>
        <v>40</v>
      </c>
      <c r="AC88" s="1271" t="str">
        <f t="shared" si="25"/>
        <v/>
      </c>
      <c r="AD88" s="1271"/>
      <c r="AE88" s="1271" t="str">
        <f t="shared" si="26"/>
        <v/>
      </c>
      <c r="AF88" s="1271"/>
      <c r="AG88" s="1271" t="str">
        <f t="shared" ca="1" si="29"/>
        <v/>
      </c>
      <c r="AH88" s="1271"/>
      <c r="AI88" s="1271" t="str">
        <f t="shared" ca="1" si="30"/>
        <v/>
      </c>
      <c r="AJ88" s="1271"/>
      <c r="AK88" s="874" t="s">
        <v>1048</v>
      </c>
      <c r="AL88" s="874" t="str">
        <f ca="1">AI88&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H$92,IF(ISNUMBER(SEARCH($AQ$73,AE88)),$AQ$73,""),""),IF(ISNUMBER(SEARCH($AQ$74,AE88)),$AQ$74,""),""),IF(ISNUMBER(SEARCH($AQ$75,AE88)),$AQ$75,""),""),IF(ISNUMBER(SEARCH($AQ$76,AE88)),$AQ$76,""),""),IF(ISNUMBER(SEARCH($AQ$77,AE88)),$AQ$77,""),""),IF(ISNUMBER(SEARCH($AQ$78,AE88)),$AQ$78,""),""),IF(ISNUMBER(SEARCH($AQ$79,AE88)),$AQ$79,""),""),IF(ISNUMBER(SEARCH($AQ$80,AE88)),$AQ$80,""),""),IF(ISNUMBER(SEARCH($AQ$81,AE88)),$AQ$81,""),""),IF(ISNUMBER(SEARCH($AQ$82,AE88)),$AQ$82,""),""),IF(ISNUMBER(SEARCH($AQ$83,AE88)),$AQ$83,""),""),IF(ISNUMBER(SEARCH($AQ$84,AE88)),$AQ$84,""),""),IF(ISNUMBER(SEARCH($AQ$85,AE88)),$AQ$85,""),""),IF(ISNUMBER(SEARCH($AQ$86,AE88)),$AQ$86,""),""),IF(ISNUMBER(SEARCH($AQ$87,AE88)),$AQ$87,""),""),IF(ISNUMBER(SEARCH($AQ$88,AE88)),$AQ$88,""),""),IF(ISNUMBER(SEARCH($AQ$89,AE88)),$AQ$89,""),""),IF(ISNUMBER(SEARCH($AQ$90,AE88)),$AQ$90,""),""),IF(ISNUMBER(SEARCH($AQ$91,AE88)),$AQ$91,""),""),IF(ISNUMBER(SEARCH($AQ$92,AE88)),$AQ$92,""),""),IF(ISNUMBER(SEARCH($AQ$93,AE88)),$AQ$93,""),""),IF(ISNUMBER(SEARCH($AQ$94,AE88)),$AQ$94,""),""),IF(ISNUMBER(SEARCH($AQ$95,AE88)),$AQ$95,""),""),IF(ISNUMBER(SEARCH($AQ$96,AE88)),$AQ$96,""),""),IF(ISNUMBER(SEARCH($AQ$97,AE88)),$AQ$97,""),""),IF(ISNUMBER(SEARCH($AQ$98,AE88)),$AQ$98,""),""),IF(ISNUMBER(SEARCH($AQ$99,AE88)),$AQ$99,""),""),IF(ISNUMBER(SEARCH($AQ$100,AE88)),$AQ$100,""),""),IF(ISNUMBER(SEARCH($AQ$101,AE88)),$AQ$101,""),""),IF(ISNUMBER(SEARCH($AQ$102,AE88)),$AQ$102,""),""),IF(ISNUMBER(SEARCH($AQ$103,AE88)),$AQ$103,""),""),IF(ISNUMBER(SEARCH($AQ$104,AE88)),$AQ$104,""),"")</f>
        <v>F4D1F3F1D2E3F2D3E4E1D4E2</v>
      </c>
      <c r="AM88" s="1269" t="str">
        <f ca="1">IF(AG88="","",IF(LEN(AG88)&gt;=2,VLOOKUP(LEFT(AG88,2),Voorblad!$X$67:$Y$98,2)&amp;IF(LEN(AG88)&gt;=4," / "&amp;VLOOKUP(RIGHT(LEFT(AG88,4),2),Voorblad!$X$67:$Y$98,2)&amp;IF(LEN(AG88)&gt;=6," / "&amp;VLOOKUP(RIGHT(LEFT(AG88,6),2),Voorblad!$X$67:$Y$98,2)&amp;IF(LEN(AG88)&gt;=8," / "&amp;VLOOKUP(RIGHT(LEFT(AG88,8),2),Voorblad!$X$67:$Y$98,2),""),""),""),""))</f>
        <v/>
      </c>
      <c r="AN88" s="1269"/>
      <c r="AO88" s="890" t="str">
        <f ca="1">IF(AI88="","",IF(LEN(AI88)&gt;=2,VLOOKUP(LEFT(AI88,2),Voorblad!$X$67:$Y$98,2)&amp;IF(LEN(AI88)&gt;=4," / "&amp;VLOOKUP(RIGHT(LEFT(AI88,4),2),Voorblad!$X$67:$Y$98,2)&amp;IF(LEN(AI88)&gt;=6," / "&amp;VLOOKUP(RIGHT(LEFT(AI88,6),2),Voorblad!$X$67:$Y$98,2)&amp;IF(LEN(AI88)&gt;=8," / "&amp;VLOOKUP(RIGHT(LEFT(AI88,8),2),Voorblad!$X$67:$Y$98,2)&amp;IF(LEN(AI88)&gt;=10," / "&amp;VLOOKUP(RIGHT(LEFT(AI88,10),2),Voorblad!$X$67:$Y$98,2)&amp;IF(LEN(AI88)&gt;=12," / "&amp;VLOOKUP(RIGHT(LEFT(AI88,12),2),Voorblad!$X$67:$Y$98,2)&amp;IF(LEN(AI88)&gt;=14," / "&amp;VLOOKUP(RIGHT(LEFT(AI88,14),2),Voorblad!$X$67:$Y$98,2)&amp;IF(LEN(AI88)&gt;=16," / "&amp;VLOOKUP(RIGHT(LEFT(AI88,16),2),Voorblad!$X$67:$Y$98,2)&amp;IF(LEN(AI88)&gt;=18," / "&amp;VLOOKUP(RIGHT(LEFT(AI88,18),2),Voorblad!$X$67:$Y$98,2)&amp;IF(LEN(AI88)&gt;=20," / "&amp;VLOOKUP(RIGHT(LEFT(AI88,20),2),Voorblad!$X$67:$Y$98,2)&amp;IF(LEN(AI88)&gt;=22," / "&amp;VLOOKUP(RIGHT(LEFT(AI88,22),2),Voorblad!$X$67:$Y$98,2)&amp;IF(LEN(AI88)&gt;=24," / "&amp;VLOOKUP(RIGHT(LEFT(AI88,24),2),Voorblad!$X$67:$Y$98,2)&amp;IF(LEN(AI88)&gt;=26," / "&amp;VLOOKUP(RIGHT(LEFT(AI88,26),2),Voorblad!$X$67:$Y$98,2)&amp;IF(LEN(AI88)&gt;=28," / "&amp;VLOOKUP(RIGHT(LEFT(AI88,28),2),Voorblad!$X$67:$Y$98,2)&amp;IF(LEN(AI88)&gt;=30," / "&amp;VLOOKUP(RIGHT(LEFT(AI88,30),2),Voorblad!$X$67:$Y$98,2)&amp;IF(LEN(AI88)&gt;=32," / "&amp;VLOOKUP(RIGHT(LEFT(AI88,32),2),Voorblad!$X$67:$Y$98,2),""),""),""),""),""),""),""),""),""),""),""),""),""),""),""),""))</f>
        <v/>
      </c>
      <c r="AP88" s="408" t="s">
        <v>324</v>
      </c>
      <c r="AQ88" s="865" t="str">
        <f ca="1">Voorblad!AA82</f>
        <v>B4</v>
      </c>
      <c r="AR88" s="866"/>
      <c r="AS88" s="841" t="str">
        <f ca="1">VLOOKUP(AT88,Voorblad!$X$67:$Z$98,2,FALSE)</f>
        <v>Rusland</v>
      </c>
      <c r="AT88" s="842" t="str">
        <f t="shared" ca="1" si="19"/>
        <v>B4</v>
      </c>
      <c r="AU88" s="841" t="str">
        <f ca="1">VLOOKUP(AV88,Voorblad!$X$67:$Z$98,2,FALSE)</f>
        <v>Rusland</v>
      </c>
      <c r="AV88" s="842" t="str">
        <f t="shared" ca="1" si="20"/>
        <v>B4</v>
      </c>
      <c r="AW88" s="841" t="str">
        <f ca="1">VLOOKUP(AX88,Voorblad!$X$67:$Z$98,2,FALSE)</f>
        <v>Rusland</v>
      </c>
      <c r="AX88" s="842" t="str">
        <f t="shared" ca="1" si="21"/>
        <v>B4</v>
      </c>
      <c r="AY88" s="841" t="str">
        <f ca="1">VLOOKUP(AZ88,Voorblad!$X$67:$Z$98,2,FALSE)</f>
        <v>Rusland</v>
      </c>
      <c r="AZ88" s="842" t="str">
        <f t="shared" ca="1" si="22"/>
        <v>B4</v>
      </c>
      <c r="BA88" s="844">
        <f t="shared" si="27"/>
        <v>32</v>
      </c>
    </row>
    <row r="89" spans="28:53" x14ac:dyDescent="0.3">
      <c r="AB89" s="875">
        <f t="shared" si="28"/>
        <v>39</v>
      </c>
      <c r="AC89" s="1275" t="str">
        <f t="shared" si="25"/>
        <v/>
      </c>
      <c r="AD89" s="1275"/>
      <c r="AE89" s="1275" t="str">
        <f t="shared" si="26"/>
        <v/>
      </c>
      <c r="AF89" s="1275"/>
      <c r="AG89" s="1275" t="str">
        <f t="shared" ca="1" si="29"/>
        <v/>
      </c>
      <c r="AH89" s="1275"/>
      <c r="AI89" s="1275" t="str">
        <f t="shared" ca="1" si="30"/>
        <v/>
      </c>
      <c r="AJ89" s="1275"/>
      <c r="AK89" s="875" t="s">
        <v>1048</v>
      </c>
      <c r="AL89" s="875" t="str">
        <f ca="1">AI89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G$92,IF(ISNUMBER(SEARCH($AQ$73,AE89)),$AQ$73,""),""),IF(ISNUMBER(SEARCH($AQ$74,AE89)),$AQ$74,""),""),IF(ISNUMBER(SEARCH($AQ$75,AE89)),$AQ$75,""),""),IF(ISNUMBER(SEARCH($AQ$76,AE89)),$AQ$76,""),""),IF(ISNUMBER(SEARCH($AQ$77,AE89)),$AQ$77,""),""),IF(ISNUMBER(SEARCH($AQ$78,AE89)),$AQ$78,""),""),IF(ISNUMBER(SEARCH($AQ$79,AE89)),$AQ$79,""),""),IF(ISNUMBER(SEARCH($AQ$80,AE89)),$AQ$80,""),""),IF(ISNUMBER(SEARCH($AQ$81,AE89)),$AQ$81,""),""),IF(ISNUMBER(SEARCH($AQ$82,AE89)),$AQ$82,""),""),IF(ISNUMBER(SEARCH($AQ$83,AE89)),$AQ$83,""),""),IF(ISNUMBER(SEARCH($AQ$84,AE89)),$AQ$84,""),""),IF(ISNUMBER(SEARCH($AQ$85,AE89)),$AQ$85,""),""),IF(ISNUMBER(SEARCH($AQ$86,AE89)),$AQ$86,""),""),IF(ISNUMBER(SEARCH($AQ$87,AE89)),$AQ$87,""),""),IF(ISNUMBER(SEARCH($AQ$88,AE89)),$AQ$88,""),""),IF(ISNUMBER(SEARCH($AQ$89,AE89)),$AQ$89,""),""),IF(ISNUMBER(SEARCH($AQ$90,AE89)),$AQ$90,""),""),IF(ISNUMBER(SEARCH($AQ$91,AE89)),$AQ$91,""),""),IF(ISNUMBER(SEARCH($AQ$92,AE89)),$AQ$92,""),""),IF(ISNUMBER(SEARCH($AQ$93,AE89)),$AQ$93,""),""),IF(ISNUMBER(SEARCH($AQ$94,AE89)),$AQ$94,""),""),IF(ISNUMBER(SEARCH($AQ$95,AE89)),$AQ$95,""),""),IF(ISNUMBER(SEARCH($AQ$96,AE89)),$AQ$96,""),""),IF(ISNUMBER(SEARCH($AQ$97,AE89)),$AQ$97,""),""),IF(ISNUMBER(SEARCH($AQ$98,AE89)),$AQ$98,""),""),IF(ISNUMBER(SEARCH($AQ$99,AE89)),$AQ$99,""),""),IF(ISNUMBER(SEARCH($AQ$100,AE89)),$AQ$100,""),""),IF(ISNUMBER(SEARCH($AQ$101,AE89)),$AQ$101,""),""),IF(ISNUMBER(SEARCH($AQ$102,AE89)),$AQ$102,""),""),IF(ISNUMBER(SEARCH($AQ$103,AE89)),$AQ$103,""),""),IF(ISNUMBER(SEARCH($AQ$104,AE89)),$AQ$104,""),"")</f>
        <v>F4D1F3F1A2D2E3F2D3E4E1D4A1A3E2A4</v>
      </c>
      <c r="AM89" s="1268" t="str">
        <f ca="1">IF(AG89="","",IF(LEN(AG89)&gt;=2,VLOOKUP(LEFT(AG89,2),Voorblad!$X$67:$Y$98,2)&amp;IF(LEN(AG89)&gt;=4," / "&amp;VLOOKUP(RIGHT(LEFT(AG89,4),2),Voorblad!$X$67:$Y$98,2)&amp;IF(LEN(AG89)&gt;=6," / "&amp;VLOOKUP(RIGHT(LEFT(AG89,6),2),Voorblad!$X$67:$Y$98,2)&amp;IF(LEN(AG89)&gt;=8," / "&amp;VLOOKUP(RIGHT(LEFT(AG89,8),2),Voorblad!$X$67:$Y$98,2),""),""),""),""))</f>
        <v/>
      </c>
      <c r="AN89" s="1268"/>
      <c r="AO89" s="891" t="str">
        <f ca="1">IF(AI89="","",IF(LEN(AI89)&gt;=2,VLOOKUP(LEFT(AI89,2),Voorblad!$X$67:$Y$98,2)&amp;IF(LEN(AI89)&gt;=4," / "&amp;VLOOKUP(RIGHT(LEFT(AI89,4),2),Voorblad!$X$67:$Y$98,2)&amp;IF(LEN(AI89)&gt;=6," / "&amp;VLOOKUP(RIGHT(LEFT(AI89,6),2),Voorblad!$X$67:$Y$98,2)&amp;IF(LEN(AI89)&gt;=8," / "&amp;VLOOKUP(RIGHT(LEFT(AI89,8),2),Voorblad!$X$67:$Y$98,2)&amp;IF(LEN(AI89)&gt;=10," / "&amp;VLOOKUP(RIGHT(LEFT(AI89,10),2),Voorblad!$X$67:$Y$98,2)&amp;IF(LEN(AI89)&gt;=12," / "&amp;VLOOKUP(RIGHT(LEFT(AI89,12),2),Voorblad!$X$67:$Y$98,2)&amp;IF(LEN(AI89)&gt;=14," / "&amp;VLOOKUP(RIGHT(LEFT(AI89,14),2),Voorblad!$X$67:$Y$98,2)&amp;IF(LEN(AI89)&gt;=16," / "&amp;VLOOKUP(RIGHT(LEFT(AI89,16),2),Voorblad!$X$67:$Y$98,2)&amp;IF(LEN(AI89)&gt;=18," / "&amp;VLOOKUP(RIGHT(LEFT(AI89,18),2),Voorblad!$X$67:$Y$98,2)&amp;IF(LEN(AI89)&gt;=20," / "&amp;VLOOKUP(RIGHT(LEFT(AI89,20),2),Voorblad!$X$67:$Y$98,2)&amp;IF(LEN(AI89)&gt;=22," / "&amp;VLOOKUP(RIGHT(LEFT(AI89,22),2),Voorblad!$X$67:$Y$98,2)&amp;IF(LEN(AI89)&gt;=24," / "&amp;VLOOKUP(RIGHT(LEFT(AI89,24),2),Voorblad!$X$67:$Y$98,2)&amp;IF(LEN(AI89)&gt;=26," / "&amp;VLOOKUP(RIGHT(LEFT(AI89,26),2),Voorblad!$X$67:$Y$98,2)&amp;IF(LEN(AI89)&gt;=28," / "&amp;VLOOKUP(RIGHT(LEFT(AI89,28),2),Voorblad!$X$67:$Y$98,2)&amp;IF(LEN(AI89)&gt;=30," / "&amp;VLOOKUP(RIGHT(LEFT(AI89,30),2),Voorblad!$X$67:$Y$98,2)&amp;IF(LEN(AI89)&gt;=32," / "&amp;VLOOKUP(RIGHT(LEFT(AI89,32),2),Voorblad!$X$67:$Y$98,2),""),""),""),""),""),""),""),""),""),""),""),""),""),""),""),""))</f>
        <v/>
      </c>
      <c r="AP89" s="408" t="s">
        <v>324</v>
      </c>
      <c r="AQ89" s="865" t="str">
        <f ca="1">Voorblad!AA83</f>
        <v>D3</v>
      </c>
      <c r="AR89" s="866"/>
      <c r="AS89" s="841" t="str">
        <f ca="1">VLOOKUP(AT89,Voorblad!$X$67:$Z$98,2,FALSE)</f>
        <v>Schotland</v>
      </c>
      <c r="AT89" s="842" t="str">
        <f t="shared" ca="1" si="19"/>
        <v>D3</v>
      </c>
      <c r="AU89" s="841" t="str">
        <f ca="1">VLOOKUP(AV89,Voorblad!$X$67:$Z$98,2,FALSE)</f>
        <v>Schotland</v>
      </c>
      <c r="AV89" s="842" t="str">
        <f t="shared" ca="1" si="20"/>
        <v>D3</v>
      </c>
      <c r="AW89" s="841" t="str">
        <f ca="1">VLOOKUP(AX89,Voorblad!$X$67:$Z$98,2,FALSE)</f>
        <v>Schotland</v>
      </c>
      <c r="AX89" s="842" t="str">
        <f t="shared" ca="1" si="21"/>
        <v>D3</v>
      </c>
      <c r="AY89" s="841" t="str">
        <f ca="1">VLOOKUP(AZ89,Voorblad!$X$67:$Z$98,2,FALSE)</f>
        <v>Schotland</v>
      </c>
      <c r="AZ89" s="842" t="str">
        <f t="shared" ca="1" si="22"/>
        <v>D3</v>
      </c>
      <c r="BA89" s="844">
        <f t="shared" si="27"/>
        <v>34</v>
      </c>
    </row>
    <row r="90" spans="28:53" x14ac:dyDescent="0.3">
      <c r="AB90" s="874">
        <f t="shared" si="28"/>
        <v>42</v>
      </c>
      <c r="AC90" s="1271" t="str">
        <f t="shared" si="25"/>
        <v/>
      </c>
      <c r="AD90" s="1271"/>
      <c r="AE90" s="1271" t="str">
        <f t="shared" si="26"/>
        <v/>
      </c>
      <c r="AF90" s="1271"/>
      <c r="AG90" s="1271" t="str">
        <f t="shared" ca="1" si="29"/>
        <v/>
      </c>
      <c r="AH90" s="1271"/>
      <c r="AI90" s="1271" t="str">
        <f t="shared" ca="1" si="30"/>
        <v/>
      </c>
      <c r="AJ90" s="1271"/>
      <c r="AK90" s="874" t="s">
        <v>1048</v>
      </c>
      <c r="AL90" s="874" t="s">
        <v>1048</v>
      </c>
      <c r="AM90" s="1269" t="str">
        <f ca="1">IF(AG90="","",IF(LEN(AG90)&gt;=2,VLOOKUP(LEFT(AG90,2),Voorblad!$X$67:$Y$98,2)&amp;IF(LEN(AG90)&gt;=4," / "&amp;VLOOKUP(RIGHT(LEFT(AG90,4),2),Voorblad!$X$67:$Y$98,2)&amp;IF(LEN(AG90)&gt;=6," / "&amp;VLOOKUP(RIGHT(LEFT(AG90,6),2),Voorblad!$X$67:$Y$98,2)&amp;IF(LEN(AG90)&gt;=8," / "&amp;VLOOKUP(RIGHT(LEFT(AG90,8),2),Voorblad!$X$67:$Y$98,2),""),""),""),""))</f>
        <v/>
      </c>
      <c r="AN90" s="1269"/>
      <c r="AO90" s="876" t="str">
        <f ca="1">IF(AI90="","",IF(LEN(AI90)&gt;=2,VLOOKUP(LEFT(AI90,2),Voorblad!$X$67:$Y$98,2)&amp;IF(LEN(AI90)&gt;=4," / "&amp;VLOOKUP(RIGHT(LEFT(AI90,4),2),Voorblad!$X$67:$Y$98,2)&amp;IF(LEN(AI90)&gt;=6," / "&amp;VLOOKUP(RIGHT(LEFT(AI90,6),2),Voorblad!$X$67:$Y$98,2)&amp;IF(LEN(AI90)&gt;=8," / "&amp;VLOOKUP(RIGHT(LEFT(AI90,8),2),Voorblad!$X$67:$Y$98,2),""),""),""),""))</f>
        <v/>
      </c>
      <c r="AP90" s="408" t="s">
        <v>324</v>
      </c>
      <c r="AQ90" s="865" t="str">
        <f ca="1">Voorblad!AA84</f>
        <v>E4</v>
      </c>
      <c r="AR90" s="866"/>
      <c r="AS90" s="841" t="str">
        <f ca="1">VLOOKUP(AT90,Voorblad!$X$67:$Z$98,2,FALSE)</f>
        <v>Slowakije</v>
      </c>
      <c r="AT90" s="842" t="str">
        <f t="shared" ca="1" si="19"/>
        <v>E4</v>
      </c>
      <c r="AU90" s="841" t="str">
        <f ca="1">VLOOKUP(AV90,Voorblad!$X$67:$Z$98,2,FALSE)</f>
        <v>Slowakije</v>
      </c>
      <c r="AV90" s="842" t="str">
        <f t="shared" ca="1" si="20"/>
        <v>E4</v>
      </c>
      <c r="AW90" s="841" t="str">
        <f ca="1">VLOOKUP(AX90,Voorblad!$X$67:$Z$98,2,FALSE)</f>
        <v>Slowakije</v>
      </c>
      <c r="AX90" s="842" t="str">
        <f t="shared" ca="1" si="21"/>
        <v>E4</v>
      </c>
      <c r="AY90" s="841" t="str">
        <f ca="1">VLOOKUP(AZ90,Voorblad!$X$67:$Z$98,2,FALSE)</f>
        <v>Slowakije</v>
      </c>
      <c r="AZ90" s="842" t="str">
        <f t="shared" ca="1" si="22"/>
        <v>E4</v>
      </c>
      <c r="BA90" s="844">
        <f t="shared" si="27"/>
        <v>36</v>
      </c>
    </row>
    <row r="91" spans="28:53" x14ac:dyDescent="0.3">
      <c r="AB91" s="875">
        <f t="shared" si="28"/>
        <v>41</v>
      </c>
      <c r="AC91" s="1275" t="str">
        <f t="shared" si="25"/>
        <v/>
      </c>
      <c r="AD91" s="1275"/>
      <c r="AE91" s="1275" t="str">
        <f t="shared" si="26"/>
        <v/>
      </c>
      <c r="AF91" s="1275"/>
      <c r="AG91" s="1275" t="str">
        <f t="shared" ca="1" si="29"/>
        <v/>
      </c>
      <c r="AH91" s="1275"/>
      <c r="AI91" s="1275" t="str">
        <f t="shared" ca="1" si="30"/>
        <v/>
      </c>
      <c r="AJ91" s="1275"/>
      <c r="AK91" s="875" t="s">
        <v>1048</v>
      </c>
      <c r="AL91" s="875" t="str">
        <f ca="1">AI91&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I$92,IF(ISNUMBER(SEARCH($AQ$73,AE91)),$AQ$73,""),""),IF(ISNUMBER(SEARCH($AQ$74,AE91)),$AQ$74,""),""),IF(ISNUMBER(SEARCH($AQ$75,AE91)),$AQ$75,""),""),IF(ISNUMBER(SEARCH($AQ$76,AE91)),$AQ$76,""),""),IF(ISNUMBER(SEARCH($AQ$77,AE91)),$AQ$77,""),""),IF(ISNUMBER(SEARCH($AQ$78,AE91)),$AQ$78,""),""),IF(ISNUMBER(SEARCH($AQ$79,AE91)),$AQ$79,""),""),IF(ISNUMBER(SEARCH($AQ$80,AE91)),$AQ$80,""),""),IF(ISNUMBER(SEARCH($AQ$81,AE91)),$AQ$81,""),""),IF(ISNUMBER(SEARCH($AQ$82,AE91)),$AQ$82,""),""),IF(ISNUMBER(SEARCH($AQ$83,AE91)),$AQ$83,""),""),IF(ISNUMBER(SEARCH($AQ$84,AE91)),$AQ$84,""),""),IF(ISNUMBER(SEARCH($AQ$85,AE91)),$AQ$85,""),""),IF(ISNUMBER(SEARCH($AQ$86,AE91)),$AQ$86,""),""),IF(ISNUMBER(SEARCH($AQ$87,AE91)),$AQ$87,""),""),IF(ISNUMBER(SEARCH($AQ$88,AE91)),$AQ$88,""),""),IF(ISNUMBER(SEARCH($AQ$89,AE91)),$AQ$89,""),""),IF(ISNUMBER(SEARCH($AQ$90,AE91)),$AQ$90,""),""),IF(ISNUMBER(SEARCH($AQ$91,AE91)),$AQ$91,""),""),IF(ISNUMBER(SEARCH($AQ$92,AE91)),$AQ$92,""),""),IF(ISNUMBER(SEARCH($AQ$93,AE91)),$AQ$93,""),""),IF(ISNUMBER(SEARCH($AQ$94,AE91)),$AQ$94,""),""),IF(ISNUMBER(SEARCH($AQ$95,AE91)),$AQ$95,""),""),IF(ISNUMBER(SEARCH($AQ$96,AE91)),$AQ$96,""),""),IF(ISNUMBER(SEARCH($AQ$97,AE91)),$AQ$97,""),""),IF(ISNUMBER(SEARCH($AQ$98,AE91)),$AQ$98,""),""),IF(ISNUMBER(SEARCH($AQ$99,AE91)),$AQ$99,""),""),IF(ISNUMBER(SEARCH($AQ$100,AE91)),$AQ$100,""),""),IF(ISNUMBER(SEARCH($AQ$101,AE91)),$AQ$101,""),""),IF(ISNUMBER(SEARCH($AQ$102,AE91)),$AQ$102,""),""),IF(ISNUMBER(SEARCH($AQ$103,AE91)),$AQ$103,""),""),IF(ISNUMBER(SEARCH($AQ$104,AE91)),$AQ$104,""),"")</f>
        <v>B3B1B2A2C1C4C2C3B4A1A3A4</v>
      </c>
      <c r="AM91" s="1268" t="str">
        <f ca="1">IF(AG91="","",IF(LEN(AG91)&gt;=2,VLOOKUP(LEFT(AG91,2),Voorblad!$X$67:$Y$98,2)&amp;IF(LEN(AG91)&gt;=4," / "&amp;VLOOKUP(RIGHT(LEFT(AG91,4),2),Voorblad!$X$67:$Y$98,2)&amp;IF(LEN(AG91)&gt;=6," / "&amp;VLOOKUP(RIGHT(LEFT(AG91,6),2),Voorblad!$X$67:$Y$98,2)&amp;IF(LEN(AG91)&gt;=8," / "&amp;VLOOKUP(RIGHT(LEFT(AG91,8),2),Voorblad!$X$67:$Y$98,2),""),""),""),""))</f>
        <v/>
      </c>
      <c r="AN91" s="1268"/>
      <c r="AO91" s="891" t="str">
        <f ca="1">IF(AI91="","",IF(LEN(AI91)&gt;=2,VLOOKUP(LEFT(AI91,2),Voorblad!$X$67:$Y$98,2)&amp;IF(LEN(AI91)&gt;=4," / "&amp;VLOOKUP(RIGHT(LEFT(AI91,4),2),Voorblad!$X$67:$Y$98,2)&amp;IF(LEN(AI91)&gt;=6," / "&amp;VLOOKUP(RIGHT(LEFT(AI91,6),2),Voorblad!$X$67:$Y$98,2)&amp;IF(LEN(AI91)&gt;=8," / "&amp;VLOOKUP(RIGHT(LEFT(AI91,8),2),Voorblad!$X$67:$Y$98,2)&amp;IF(LEN(AI91)&gt;=10," / "&amp;VLOOKUP(RIGHT(LEFT(AI91,10),2),Voorblad!$X$67:$Y$98,2)&amp;IF(LEN(AI91)&gt;=12," / "&amp;VLOOKUP(RIGHT(LEFT(AI91,12),2),Voorblad!$X$67:$Y$98,2)&amp;IF(LEN(AI91)&gt;=14," / "&amp;VLOOKUP(RIGHT(LEFT(AI91,14),2),Voorblad!$X$67:$Y$98,2)&amp;IF(LEN(AI91)&gt;=16," / "&amp;VLOOKUP(RIGHT(LEFT(AI91,16),2),Voorblad!$X$67:$Y$98,2)&amp;IF(LEN(AI91)&gt;=18," / "&amp;VLOOKUP(RIGHT(LEFT(AI91,18),2),Voorblad!$X$67:$Y$98,2)&amp;IF(LEN(AI91)&gt;=20," / "&amp;VLOOKUP(RIGHT(LEFT(AI91,20),2),Voorblad!$X$67:$Y$98,2)&amp;IF(LEN(AI91)&gt;=22," / "&amp;VLOOKUP(RIGHT(LEFT(AI91,22),2),Voorblad!$X$67:$Y$98,2)&amp;IF(LEN(AI91)&gt;=24," / "&amp;VLOOKUP(RIGHT(LEFT(AI91,24),2),Voorblad!$X$67:$Y$98,2)&amp;IF(LEN(AI91)&gt;=26," / "&amp;VLOOKUP(RIGHT(LEFT(AI91,26),2),Voorblad!$X$67:$Y$98,2)&amp;IF(LEN(AI91)&gt;=28," / "&amp;VLOOKUP(RIGHT(LEFT(AI91,28),2),Voorblad!$X$67:$Y$98,2)&amp;IF(LEN(AI91)&gt;=30," / "&amp;VLOOKUP(RIGHT(LEFT(AI91,30),2),Voorblad!$X$67:$Y$98,2)&amp;IF(LEN(AI91)&gt;=32," / "&amp;VLOOKUP(RIGHT(LEFT(AI91,32),2),Voorblad!$X$67:$Y$98,2),""),""),""),""),""),""),""),""),""),""),""),""),""),""),""),""))</f>
        <v/>
      </c>
      <c r="AP91" s="408" t="s">
        <v>324</v>
      </c>
      <c r="AQ91" s="865" t="str">
        <f ca="1">Voorblad!AA85</f>
        <v>E1</v>
      </c>
      <c r="AR91" s="866"/>
      <c r="AS91" s="841" t="str">
        <f ca="1">VLOOKUP(AT91,Voorblad!$X$67:$Z$98,2,FALSE)</f>
        <v>Spanje</v>
      </c>
      <c r="AT91" s="842" t="str">
        <f t="shared" ca="1" si="19"/>
        <v>E1</v>
      </c>
      <c r="AU91" s="841" t="str">
        <f ca="1">VLOOKUP(AV91,Voorblad!$X$67:$Z$98,2,FALSE)</f>
        <v>Spanje</v>
      </c>
      <c r="AV91" s="842" t="str">
        <f t="shared" ca="1" si="20"/>
        <v>E1</v>
      </c>
      <c r="AW91" s="841" t="str">
        <f ca="1">VLOOKUP(AX91,Voorblad!$X$67:$Z$98,2,FALSE)</f>
        <v>Spanje</v>
      </c>
      <c r="AX91" s="842" t="str">
        <f t="shared" ca="1" si="21"/>
        <v>E1</v>
      </c>
      <c r="AY91" s="841" t="str">
        <f ca="1">VLOOKUP(AZ91,Voorblad!$X$67:$Z$98,2,FALSE)</f>
        <v>Spanje</v>
      </c>
      <c r="AZ91" s="842" t="str">
        <f t="shared" ca="1" si="22"/>
        <v>E1</v>
      </c>
      <c r="BA91" s="844">
        <f t="shared" si="27"/>
        <v>38</v>
      </c>
    </row>
    <row r="92" spans="28:53" x14ac:dyDescent="0.3">
      <c r="AB92" s="874">
        <f t="shared" si="28"/>
        <v>44</v>
      </c>
      <c r="AC92" s="1271" t="str">
        <f t="shared" si="25"/>
        <v/>
      </c>
      <c r="AD92" s="1271"/>
      <c r="AE92" s="1271" t="str">
        <f t="shared" si="26"/>
        <v/>
      </c>
      <c r="AF92" s="1271"/>
      <c r="AG92" s="1271" t="str">
        <f t="shared" ca="1" si="29"/>
        <v/>
      </c>
      <c r="AH92" s="1271"/>
      <c r="AI92" s="1271" t="str">
        <f t="shared" ca="1" si="30"/>
        <v/>
      </c>
      <c r="AJ92" s="1271"/>
      <c r="AK92" s="874" t="s">
        <v>1048</v>
      </c>
      <c r="AL92" s="874" t="s">
        <v>1048</v>
      </c>
      <c r="AM92" s="1269" t="str">
        <f ca="1">IF(AG92="","",IF(LEN(AG92)&gt;=2,VLOOKUP(LEFT(AG92,2),Voorblad!$X$67:$Y$98,2)&amp;IF(LEN(AG92)&gt;=4," / "&amp;VLOOKUP(RIGHT(LEFT(AG92,4),2),Voorblad!$X$67:$Y$98,2)&amp;IF(LEN(AG92)&gt;=6," / "&amp;VLOOKUP(RIGHT(LEFT(AG92,6),2),Voorblad!$X$67:$Y$98,2)&amp;IF(LEN(AG92)&gt;=8," / "&amp;VLOOKUP(RIGHT(LEFT(AG92,8),2),Voorblad!$X$67:$Y$98,2),""),""),""),""))</f>
        <v/>
      </c>
      <c r="AN92" s="1269"/>
      <c r="AO92" s="876" t="str">
        <f ca="1">IF(AI92="","",IF(LEN(AI92)&gt;=2,VLOOKUP(LEFT(AI92,2),Voorblad!$X$67:$Y$98,2)&amp;IF(LEN(AI92)&gt;=4," / "&amp;VLOOKUP(RIGHT(LEFT(AI92,4),2),Voorblad!$X$67:$Y$98,2)&amp;IF(LEN(AI92)&gt;=6," / "&amp;VLOOKUP(RIGHT(LEFT(AI92,6),2),Voorblad!$X$67:$Y$98,2)&amp;IF(LEN(AI92)&gt;=8," / "&amp;VLOOKUP(RIGHT(LEFT(AI92,8),2),Voorblad!$X$67:$Y$98,2),""),""),""),""))</f>
        <v/>
      </c>
      <c r="AP92" s="408" t="s">
        <v>324</v>
      </c>
      <c r="AQ92" s="865" t="str">
        <f ca="1">Voorblad!AA86</f>
        <v>D4</v>
      </c>
      <c r="AR92" s="866"/>
      <c r="AS92" s="841" t="str">
        <f ca="1">VLOOKUP(AT92,Voorblad!$X$67:$Z$98,2,FALSE)</f>
        <v>Tsjechië</v>
      </c>
      <c r="AT92" s="842" t="str">
        <f t="shared" ca="1" si="19"/>
        <v>D4</v>
      </c>
      <c r="AU92" s="841" t="str">
        <f ca="1">VLOOKUP(AV92,Voorblad!$X$67:$Z$98,2,FALSE)</f>
        <v>Tsjechië</v>
      </c>
      <c r="AV92" s="842" t="str">
        <f t="shared" ca="1" si="20"/>
        <v>D4</v>
      </c>
      <c r="AW92" s="841" t="str">
        <f ca="1">VLOOKUP(AX92,Voorblad!$X$67:$Z$98,2,FALSE)</f>
        <v>Tsjechië</v>
      </c>
      <c r="AX92" s="842" t="str">
        <f t="shared" ca="1" si="21"/>
        <v>D4</v>
      </c>
      <c r="AY92" s="841" t="str">
        <f ca="1">VLOOKUP(AZ92,Voorblad!$X$67:$Z$98,2,FALSE)</f>
        <v>Tsjechië</v>
      </c>
      <c r="AZ92" s="842" t="str">
        <f t="shared" ca="1" si="22"/>
        <v>D4</v>
      </c>
      <c r="BA92" s="844">
        <f t="shared" si="27"/>
        <v>40</v>
      </c>
    </row>
    <row r="93" spans="28:53" x14ac:dyDescent="0.3">
      <c r="AB93" s="875">
        <f t="shared" si="28"/>
        <v>43</v>
      </c>
      <c r="AC93" s="1275" t="str">
        <f t="shared" si="25"/>
        <v/>
      </c>
      <c r="AD93" s="1275"/>
      <c r="AE93" s="1275" t="str">
        <f t="shared" si="26"/>
        <v/>
      </c>
      <c r="AF93" s="1275"/>
      <c r="AG93" s="1275" t="str">
        <f t="shared" ca="1" si="29"/>
        <v/>
      </c>
      <c r="AH93" s="1275"/>
      <c r="AI93" s="1275" t="str">
        <f t="shared" ca="1" si="30"/>
        <v/>
      </c>
      <c r="AJ93" s="1275"/>
      <c r="AK93" s="875" t="s">
        <v>1048</v>
      </c>
      <c r="AL93" s="875" t="str">
        <f ca="1">AI93&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J$92,IF(ISNUMBER(SEARCH($AQ$73,AE93)),$AQ$73,""),""),IF(ISNUMBER(SEARCH($AQ$74,AE93)),$AQ$74,""),""),IF(ISNUMBER(SEARCH($AQ$75,AE93)),$AQ$75,""),""),IF(ISNUMBER(SEARCH($AQ$76,AE93)),$AQ$76,""),""),IF(ISNUMBER(SEARCH($AQ$77,AE93)),$AQ$77,""),""),IF(ISNUMBER(SEARCH($AQ$78,AE93)),$AQ$78,""),""),IF(ISNUMBER(SEARCH($AQ$79,AE93)),$AQ$79,""),""),IF(ISNUMBER(SEARCH($AQ$80,AE93)),$AQ$80,""),""),IF(ISNUMBER(SEARCH($AQ$81,AE93)),$AQ$81,""),""),IF(ISNUMBER(SEARCH($AQ$82,AE93)),$AQ$82,""),""),IF(ISNUMBER(SEARCH($AQ$83,AE93)),$AQ$83,""),""),IF(ISNUMBER(SEARCH($AQ$84,AE93)),$AQ$84,""),""),IF(ISNUMBER(SEARCH($AQ$85,AE93)),$AQ$85,""),""),IF(ISNUMBER(SEARCH($AQ$86,AE93)),$AQ$86,""),""),IF(ISNUMBER(SEARCH($AQ$87,AE93)),$AQ$87,""),""),IF(ISNUMBER(SEARCH($AQ$88,AE93)),$AQ$88,""),""),IF(ISNUMBER(SEARCH($AQ$89,AE93)),$AQ$89,""),""),IF(ISNUMBER(SEARCH($AQ$90,AE93)),$AQ$90,""),""),IF(ISNUMBER(SEARCH($AQ$91,AE93)),$AQ$91,""),""),IF(ISNUMBER(SEARCH($AQ$92,AE93)),$AQ$92,""),""),IF(ISNUMBER(SEARCH($AQ$93,AE93)),$AQ$93,""),""),IF(ISNUMBER(SEARCH($AQ$94,AE93)),$AQ$94,""),""),IF(ISNUMBER(SEARCH($AQ$95,AE93)),$AQ$95,""),""),IF(ISNUMBER(SEARCH($AQ$96,AE93)),$AQ$96,""),""),IF(ISNUMBER(SEARCH($AQ$97,AE93)),$AQ$97,""),""),IF(ISNUMBER(SEARCH($AQ$98,AE93)),$AQ$98,""),""),IF(ISNUMBER(SEARCH($AQ$99,AE93)),$AQ$99,""),""),IF(ISNUMBER(SEARCH($AQ$100,AE93)),$AQ$100,""),""),IF(ISNUMBER(SEARCH($AQ$101,AE93)),$AQ$101,""),""),IF(ISNUMBER(SEARCH($AQ$102,AE93)),$AQ$102,""),""),IF(ISNUMBER(SEARCH($AQ$103,AE93)),$AQ$103,""),""),IF(ISNUMBER(SEARCH($AQ$104,AE93)),$AQ$104,""),"")</f>
        <v>B3B1D1B2A2D2C1C4C2C3B4D3D4A1A3A4</v>
      </c>
      <c r="AM93" s="1268" t="str">
        <f ca="1">IF(AG93="","",IF(LEN(AG93)&gt;=2,VLOOKUP(LEFT(AG93,2),Voorblad!$X$67:$Y$98,2)&amp;IF(LEN(AG93)&gt;=4," / "&amp;VLOOKUP(RIGHT(LEFT(AG93,4),2),Voorblad!$X$67:$Y$98,2)&amp;IF(LEN(AG93)&gt;=6," / "&amp;VLOOKUP(RIGHT(LEFT(AG93,6),2),Voorblad!$X$67:$Y$98,2)&amp;IF(LEN(AG93)&gt;=8," / "&amp;VLOOKUP(RIGHT(LEFT(AG93,8),2),Voorblad!$X$67:$Y$98,2),""),""),""),""))</f>
        <v/>
      </c>
      <c r="AN93" s="1268"/>
      <c r="AO93" s="891" t="str">
        <f ca="1">IF(AI93="","",IF(LEN(AI93)&gt;=2,VLOOKUP(LEFT(AI93,2),Voorblad!$X$67:$Y$98,2)&amp;IF(LEN(AI93)&gt;=4," / "&amp;VLOOKUP(RIGHT(LEFT(AI93,4),2),Voorblad!$X$67:$Y$98,2)&amp;IF(LEN(AI93)&gt;=6," / "&amp;VLOOKUP(RIGHT(LEFT(AI93,6),2),Voorblad!$X$67:$Y$98,2)&amp;IF(LEN(AI93)&gt;=8," / "&amp;VLOOKUP(RIGHT(LEFT(AI93,8),2),Voorblad!$X$67:$Y$98,2)&amp;IF(LEN(AI93)&gt;=10," / "&amp;VLOOKUP(RIGHT(LEFT(AI93,10),2),Voorblad!$X$67:$Y$98,2)&amp;IF(LEN(AI93)&gt;=12," / "&amp;VLOOKUP(RIGHT(LEFT(AI93,12),2),Voorblad!$X$67:$Y$98,2)&amp;IF(LEN(AI93)&gt;=14," / "&amp;VLOOKUP(RIGHT(LEFT(AI93,14),2),Voorblad!$X$67:$Y$98,2)&amp;IF(LEN(AI93)&gt;=16," / "&amp;VLOOKUP(RIGHT(LEFT(AI93,16),2),Voorblad!$X$67:$Y$98,2)&amp;IF(LEN(AI93)&gt;=18," / "&amp;VLOOKUP(RIGHT(LEFT(AI93,18),2),Voorblad!$X$67:$Y$98,2)&amp;IF(LEN(AI93)&gt;=20," / "&amp;VLOOKUP(RIGHT(LEFT(AI93,20),2),Voorblad!$X$67:$Y$98,2)&amp;IF(LEN(AI93)&gt;=22," / "&amp;VLOOKUP(RIGHT(LEFT(AI93,22),2),Voorblad!$X$67:$Y$98,2)&amp;IF(LEN(AI93)&gt;=24," / "&amp;VLOOKUP(RIGHT(LEFT(AI93,24),2),Voorblad!$X$67:$Y$98,2)&amp;IF(LEN(AI93)&gt;=26," / "&amp;VLOOKUP(RIGHT(LEFT(AI93,26),2),Voorblad!$X$67:$Y$98,2)&amp;IF(LEN(AI93)&gt;=28," / "&amp;VLOOKUP(RIGHT(LEFT(AI93,28),2),Voorblad!$X$67:$Y$98,2)&amp;IF(LEN(AI93)&gt;=30," / "&amp;VLOOKUP(RIGHT(LEFT(AI93,30),2),Voorblad!$X$67:$Y$98,2)&amp;IF(LEN(AI93)&gt;=32," / "&amp;VLOOKUP(RIGHT(LEFT(AI93,32),2),Voorblad!$X$67:$Y$98,2),""),""),""),""),""),""),""),""),""),""),""),""),""),""),""),""))</f>
        <v/>
      </c>
      <c r="AP93" s="408" t="s">
        <v>324</v>
      </c>
      <c r="AQ93" s="865" t="str">
        <f ca="1">Voorblad!AA87</f>
        <v>A1</v>
      </c>
      <c r="AR93" s="866"/>
      <c r="AS93" s="841" t="str">
        <f ca="1">VLOOKUP(AT93,Voorblad!$X$67:$Z$98,2,FALSE)</f>
        <v>Turkije</v>
      </c>
      <c r="AT93" s="842" t="str">
        <f t="shared" ca="1" si="19"/>
        <v>A1</v>
      </c>
      <c r="AU93" s="841" t="str">
        <f ca="1">VLOOKUP(AV93,Voorblad!$X$67:$Z$98,2,FALSE)</f>
        <v>Turkije</v>
      </c>
      <c r="AV93" s="842" t="str">
        <f t="shared" ca="1" si="20"/>
        <v>A1</v>
      </c>
      <c r="AW93" s="841" t="str">
        <f ca="1">VLOOKUP(AX93,Voorblad!$X$67:$Z$98,2,FALSE)</f>
        <v>Turkije</v>
      </c>
      <c r="AX93" s="842" t="str">
        <f t="shared" ca="1" si="21"/>
        <v>A1</v>
      </c>
      <c r="AY93" s="841" t="str">
        <f ca="1">VLOOKUP(AZ93,Voorblad!$X$67:$Z$98,2,FALSE)</f>
        <v>Turkije</v>
      </c>
      <c r="AZ93" s="842" t="str">
        <f t="shared" ca="1" si="22"/>
        <v>A1</v>
      </c>
      <c r="BA93" s="844">
        <f t="shared" si="27"/>
        <v>42</v>
      </c>
    </row>
    <row r="94" spans="28:53" x14ac:dyDescent="0.3">
      <c r="AB94" s="339"/>
      <c r="AC94" s="339"/>
      <c r="AD94" s="339"/>
      <c r="AE94" s="339"/>
      <c r="AF94" s="339"/>
      <c r="AG94" s="339"/>
      <c r="AH94" s="339"/>
      <c r="AI94" s="339"/>
      <c r="AJ94" s="339"/>
      <c r="AK94" s="339"/>
      <c r="AL94" s="339"/>
      <c r="AM94" s="339"/>
      <c r="AN94" s="339"/>
      <c r="AO94" s="339"/>
      <c r="AP94" s="408"/>
      <c r="AQ94" s="865" t="str">
        <f ca="1">Voorblad!AA88</f>
        <v>A3</v>
      </c>
      <c r="AR94" s="866"/>
      <c r="AS94" s="841" t="str">
        <f ca="1">VLOOKUP(AT94,Voorblad!$X$67:$Z$98,2,FALSE)</f>
        <v>Wales</v>
      </c>
      <c r="AT94" s="842" t="str">
        <f t="shared" ca="1" si="19"/>
        <v>A3</v>
      </c>
      <c r="AU94" s="841" t="str">
        <f ca="1">VLOOKUP(AV94,Voorblad!$X$67:$Z$98,2,FALSE)</f>
        <v>Wales</v>
      </c>
      <c r="AV94" s="842" t="str">
        <f t="shared" ca="1" si="20"/>
        <v>A3</v>
      </c>
      <c r="AW94" s="841" t="str">
        <f ca="1">VLOOKUP(AX94,Voorblad!$X$67:$Z$98,2,FALSE)</f>
        <v>Wales</v>
      </c>
      <c r="AX94" s="842" t="str">
        <f t="shared" ca="1" si="21"/>
        <v>A3</v>
      </c>
      <c r="AY94" s="841" t="str">
        <f ca="1">VLOOKUP(AZ94,Voorblad!$X$67:$Z$98,2,FALSE)</f>
        <v>Wales</v>
      </c>
      <c r="AZ94" s="842" t="str">
        <f t="shared" ca="1" si="22"/>
        <v>A3</v>
      </c>
      <c r="BA94" s="844">
        <f t="shared" si="27"/>
        <v>44</v>
      </c>
    </row>
    <row r="95" spans="28:53" x14ac:dyDescent="0.3">
      <c r="AB95" s="879" t="str">
        <f>$AB$85</f>
        <v>nr.</v>
      </c>
      <c r="AC95" s="1272" t="str">
        <f>$AC$85</f>
        <v>suggestie - thuis</v>
      </c>
      <c r="AD95" s="1272"/>
      <c r="AE95" s="1272" t="str">
        <f>$AE$85</f>
        <v>suggestie - uit</v>
      </c>
      <c r="AF95" s="1272"/>
      <c r="AG95" s="1272" t="str">
        <f>$AG$85</f>
        <v>thuis code</v>
      </c>
      <c r="AH95" s="1272"/>
      <c r="AI95" s="1272" t="str">
        <f>$AG$85</f>
        <v>thuis code</v>
      </c>
      <c r="AJ95" s="1272"/>
      <c r="AK95" s="879" t="str">
        <f>$AK$85</f>
        <v>thuis menu</v>
      </c>
      <c r="AL95" s="879" t="str">
        <f>$AL$85</f>
        <v>uit menu</v>
      </c>
      <c r="AM95" s="1253" t="str">
        <f>$AM$85</f>
        <v>thuis (landen)</v>
      </c>
      <c r="AN95" s="1253"/>
      <c r="AO95" s="880" t="str">
        <f>$AO$85</f>
        <v>uit (landen)</v>
      </c>
      <c r="AP95" s="408"/>
      <c r="AQ95" s="865" t="str">
        <f ca="1">Voorblad!AA89</f>
        <v>E2</v>
      </c>
      <c r="AR95" s="866"/>
      <c r="AS95" s="841" t="str">
        <f ca="1">VLOOKUP(AT95,Voorblad!$X$67:$Z$98,2,FALSE)</f>
        <v>Zweden</v>
      </c>
      <c r="AT95" s="842" t="str">
        <f t="shared" ca="1" si="19"/>
        <v>E2</v>
      </c>
      <c r="AU95" s="841" t="str">
        <f ca="1">VLOOKUP(AV95,Voorblad!$X$67:$Z$98,2,FALSE)</f>
        <v>Zweden</v>
      </c>
      <c r="AV95" s="842" t="str">
        <f t="shared" ca="1" si="20"/>
        <v>E2</v>
      </c>
      <c r="AW95" s="841" t="str">
        <f ca="1">VLOOKUP(AX95,Voorblad!$X$67:$Z$98,2,FALSE)</f>
        <v>Zweden</v>
      </c>
      <c r="AX95" s="842" t="str">
        <f t="shared" ca="1" si="21"/>
        <v>E2</v>
      </c>
      <c r="AY95" s="841" t="str">
        <f ca="1">VLOOKUP(AZ95,Voorblad!$X$67:$Z$98,2,FALSE)</f>
        <v>Zweden</v>
      </c>
      <c r="AZ95" s="842" t="str">
        <f t="shared" ca="1" si="22"/>
        <v>E2</v>
      </c>
      <c r="BA95" s="844">
        <f t="shared" si="27"/>
        <v>46</v>
      </c>
    </row>
    <row r="96" spans="28:53" x14ac:dyDescent="0.3">
      <c r="AB96" s="874">
        <f>D36</f>
        <v>45</v>
      </c>
      <c r="AC96" s="1269" t="str">
        <f>AG25</f>
        <v/>
      </c>
      <c r="AD96" s="1269"/>
      <c r="AE96" s="1269" t="str">
        <f>AG23</f>
        <v/>
      </c>
      <c r="AF96" s="1269"/>
      <c r="AG96"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96)),$AQ$73,""),""),IF(ISERROR(SEARCH($AQ$74,AC96)),$AQ$74,""),""),IF(ISERROR(SEARCH($AQ$75,AC96)),$AQ$75,""),""),IF(ISERROR(SEARCH($AQ$76,AC96)),$AQ$76,""),""),IF(ISERROR(SEARCH($AQ$77,AC96)),$AQ$77,""),""),IF(ISERROR(SEARCH($AQ$78,AC96)),$AQ$78,""),""),IF(ISERROR(SEARCH($AQ$79,AC96)),$AQ$79,""),""),IF(ISERROR(SEARCH($AQ$80,AC96)),$AQ$80,""),""),IF(ISERROR(SEARCH($AQ$81,AC96)),$AQ$81,""),""),IF(ISERROR(SEARCH($AQ$82,AC96)),$AQ$82,""),""),IF(ISERROR(SEARCH($AQ$83,AC96)),$AQ$83,""),""),IF(ISERROR(SEARCH($AQ$84,AC96)),$AQ$84,""),""),IF(ISERROR(SEARCH($AQ$85,AC96)),$AQ$85,""),""),IF(ISERROR(SEARCH($AQ$86,AC96)),$AQ$86,""),""),IF(ISERROR(SEARCH($AQ$87,AC96)),$AQ$87,""),""),IF(ISERROR(SEARCH($AQ$88,AC96)),$AQ$88,""),""),IF(ISERROR(SEARCH($AQ$89,AC96)),$AQ$89,""),""),IF(ISERROR(SEARCH($AQ$90,AC96)),$AQ$90,""),""),IF(ISERROR(SEARCH($AQ$91,AC96)),$AQ$91,""),""),IF(ISERROR(SEARCH($AQ$92,AC96)),$AQ$92,""),""),IF(ISERROR(SEARCH($AQ$93,AC96)),$AQ$93,""),""),IF(ISERROR(SEARCH($AQ$94,AC96)),$AQ$94,""),""),IF(ISERROR(SEARCH($AQ$95,AC96)),$AQ$95,""),""),IF(ISERROR(SEARCH($AQ$96,AC96)),$AQ$96,""),""),IF(ISERROR(SEARCH($AQ$97,AC96)),$AQ$97,""),""),IF(ISERROR(SEARCH($AQ$98,AC96)),$AQ$98,""),""),IF(ISERROR(SEARCH($AQ$99,AC96)),$AQ$99,""),""),IF(ISERROR(SEARCH($AQ$100,AC96)),$AQ$100,""),""),IF(ISERROR(SEARCH($AQ$101,AC96)),$AQ$101,""),""),IF(ISERROR(SEARCH($AQ$102,AC96)),$AQ$102,""),""),IF(ISERROR(SEARCH($AQ$103,AC96)),$AQ$103,""),""),IF(ISERROR(SEARCH($AQ$104,AC96)),$AQ$104,""),"")</f>
        <v/>
      </c>
      <c r="AH96" s="1269"/>
      <c r="AI96"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96)),$AQ$73,""),""),IF(ISERROR(SEARCH($AQ$74,AE96)),$AQ$74,""),""),IF(ISERROR(SEARCH($AQ$75,AE96)),$AQ$75,""),""),IF(ISERROR(SEARCH($AQ$76,AE96)),$AQ$76,""),""),IF(ISERROR(SEARCH($AQ$77,AE96)),$AQ$77,""),""),IF(ISERROR(SEARCH($AQ$78,AE96)),$AQ$78,""),""),IF(ISERROR(SEARCH($AQ$79,AE96)),$AQ$79,""),""),IF(ISERROR(SEARCH($AQ$80,AE96)),$AQ$80,""),""),IF(ISERROR(SEARCH($AQ$81,AE96)),$AQ$81,""),""),IF(ISERROR(SEARCH($AQ$82,AE96)),$AQ$82,""),""),IF(ISERROR(SEARCH($AQ$83,AE96)),$AQ$83,""),""),IF(ISERROR(SEARCH($AQ$84,AE96)),$AQ$84,""),""),IF(ISERROR(SEARCH($AQ$85,AE96)),$AQ$85,""),""),IF(ISERROR(SEARCH($AQ$86,AE96)),$AQ$86,""),""),IF(ISERROR(SEARCH($AQ$87,AE96)),$AQ$87,""),""),IF(ISERROR(SEARCH($AQ$88,AE96)),$AQ$88,""),""),IF(ISERROR(SEARCH($AQ$89,AE96)),$AQ$89,""),""),IF(ISERROR(SEARCH($AQ$90,AE96)),$AQ$90,""),""),IF(ISERROR(SEARCH($AQ$91,AE96)),$AQ$91,""),""),IF(ISERROR(SEARCH($AQ$92,AE96)),$AQ$92,""),""),IF(ISERROR(SEARCH($AQ$93,AE96)),$AQ$93,""),""),IF(ISERROR(SEARCH($AQ$94,AE96)),$AQ$94,""),""),IF(ISERROR(SEARCH($AQ$95,AE96)),$AQ$95,""),""),IF(ISERROR(SEARCH($AQ$96,AE96)),$AQ$96,""),""),IF(ISERROR(SEARCH($AQ$97,AE96)),$AQ$97,""),""),IF(ISERROR(SEARCH($AQ$98,AE96)),$AQ$98,""),""),IF(ISERROR(SEARCH($AQ$99,AE96)),$AQ$99,""),""),IF(ISERROR(SEARCH($AQ$100,AE96)),$AQ$100,""),""),IF(ISERROR(SEARCH($AQ$101,AE96)),$AQ$101,""),""),IF(ISERROR(SEARCH($AQ$102,AE96)),$AQ$102,""),""),IF(ISERROR(SEARCH($AQ$103,AE96)),$AQ$103,""),""),IF(ISERROR(SEARCH($AQ$104,AE96)),$AQ$104,""),"")</f>
        <v/>
      </c>
      <c r="AJ96" s="1269"/>
      <c r="AK96" s="876" t="str">
        <f ca="1">AG96&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K$92,IF(ISNUMBER(SEARCH($AQ$73,AC96)),$AQ$73,""),""),IF(ISNUMBER(SEARCH($AQ$74,AC96)),$AQ$74,""),""),IF(ISNUMBER(SEARCH($AQ$75,AC96)),$AQ$75,""),""),IF(ISNUMBER(SEARCH($AQ$76,AC96)),$AQ$76,""),""),IF(ISNUMBER(SEARCH($AQ$77,AC96)),$AQ$77,""),""),IF(ISNUMBER(SEARCH($AQ$78,AC96)),$AQ$78,""),""),IF(ISNUMBER(SEARCH($AQ$79,AC96)),$AQ$79,""),""),IF(ISNUMBER(SEARCH($AQ$80,AC96)),$AQ$80,""),""),IF(ISNUMBER(SEARCH($AQ$81,AC96)),$AQ$81,""),""),IF(ISNUMBER(SEARCH($AQ$82,AC96)),$AQ$82,""),""),IF(ISNUMBER(SEARCH($AQ$83,AC96)),$AQ$83,""),""),IF(ISNUMBER(SEARCH($AQ$84,AC96)),$AQ$84,""),""),IF(ISNUMBER(SEARCH($AQ$85,AC96)),$AQ$85,""),""),IF(ISNUMBER(SEARCH($AQ$86,AC96)),$AQ$86,""),""),IF(ISNUMBER(SEARCH($AQ$87,AC96)),$AQ$87,""),""),IF(ISNUMBER(SEARCH($AQ$88,AC96)),$AQ$88,""),""),IF(ISNUMBER(SEARCH($AQ$89,AC96)),$AQ$89,""),""),IF(ISNUMBER(SEARCH($AQ$90,AC96)),$AQ$90,""),""),IF(ISNUMBER(SEARCH($AQ$91,AC96)),$AQ$91,""),""),IF(ISNUMBER(SEARCH($AQ$92,AC96)),$AQ$92,""),""),IF(ISNUMBER(SEARCH($AQ$93,AC96)),$AQ$93,""),""),IF(ISNUMBER(SEARCH($AQ$94,AC96)),$AQ$94,""),""),IF(ISNUMBER(SEARCH($AQ$95,AC96)),$AQ$95,""),""),IF(ISNUMBER(SEARCH($AQ$96,AC96)),$AQ$96,""),""),IF(ISNUMBER(SEARCH($AQ$97,AC96)),$AQ$97,""),""),IF(ISNUMBER(SEARCH($AQ$98,AC96)),$AQ$98,""),""),IF(ISNUMBER(SEARCH($AQ$99,AC96)),$AQ$99,""),""),IF(ISNUMBER(SEARCH($AQ$100,AC96)),$AQ$100,""),""),IF(ISNUMBER(SEARCH($AQ$101,AC96)),$AQ$101,""),""),IF(ISNUMBER(SEARCH($AQ$102,AC96)),$AQ$102,""),""),IF(ISNUMBER(SEARCH($AQ$103,AC96)),$AQ$103,""),""),IF(ISNUMBER(SEARCH($AQ$104,AC96)),$AQ$104,""),"")</f>
        <v>B3B1F4B2F3F1A2C1C4C2C3F2B4A1A3A4</v>
      </c>
      <c r="AL96" s="876" t="str">
        <f ca="1">AI96&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L$92,IF(ISNUMBER(SEARCH($AQ$73,AE96)),$AQ$73,""),""),IF(ISNUMBER(SEARCH($AQ$74,AE96)),$AQ$74,""),""),IF(ISNUMBER(SEARCH($AQ$75,AE96)),$AQ$75,""),""),IF(ISNUMBER(SEARCH($AQ$76,AE96)),$AQ$76,""),""),IF(ISNUMBER(SEARCH($AQ$77,AE96)),$AQ$77,""),""),IF(ISNUMBER(SEARCH($AQ$78,AE96)),$AQ$78,""),""),IF(ISNUMBER(SEARCH($AQ$79,AE96)),$AQ$79,""),""),IF(ISNUMBER(SEARCH($AQ$80,AE96)),$AQ$80,""),""),IF(ISNUMBER(SEARCH($AQ$81,AE96)),$AQ$81,""),""),IF(ISNUMBER(SEARCH($AQ$82,AE96)),$AQ$82,""),""),IF(ISNUMBER(SEARCH($AQ$83,AE96)),$AQ$83,""),""),IF(ISNUMBER(SEARCH($AQ$84,AE96)),$AQ$84,""),""),IF(ISNUMBER(SEARCH($AQ$85,AE96)),$AQ$85,""),""),IF(ISNUMBER(SEARCH($AQ$86,AE96)),$AQ$86,""),""),IF(ISNUMBER(SEARCH($AQ$87,AE96)),$AQ$87,""),""),IF(ISNUMBER(SEARCH($AQ$88,AE96)),$AQ$88,""),""),IF(ISNUMBER(SEARCH($AQ$89,AE96)),$AQ$89,""),""),IF(ISNUMBER(SEARCH($AQ$90,AE96)),$AQ$90,""),""),IF(ISNUMBER(SEARCH($AQ$91,AE96)),$AQ$91,""),""),IF(ISNUMBER(SEARCH($AQ$92,AE96)),$AQ$92,""),""),IF(ISNUMBER(SEARCH($AQ$93,AE96)),$AQ$93,""),""),IF(ISNUMBER(SEARCH($AQ$94,AE96)),$AQ$94,""),""),IF(ISNUMBER(SEARCH($AQ$95,AE96)),$AQ$95,""),""),IF(ISNUMBER(SEARCH($AQ$96,AE96)),$AQ$96,""),""),IF(ISNUMBER(SEARCH($AQ$97,AE96)),$AQ$97,""),""),IF(ISNUMBER(SEARCH($AQ$98,AE96)),$AQ$98,""),""),IF(ISNUMBER(SEARCH($AQ$99,AE96)),$AQ$99,""),""),IF(ISNUMBER(SEARCH($AQ$100,AE96)),$AQ$100,""),""),IF(ISNUMBER(SEARCH($AQ$101,AE96)),$AQ$101,""),""),IF(ISNUMBER(SEARCH($AQ$102,AE96)),$AQ$102,""),""),IF(ISNUMBER(SEARCH($AQ$103,AE96)),$AQ$103,""),""),IF(ISNUMBER(SEARCH($AQ$104,AE96)),$AQ$104,""),"")</f>
        <v>D1D2E3D3E4E1D4E2</v>
      </c>
      <c r="AM96" s="1271" t="str">
        <f ca="1">IF(AG96="","",IF(LEN(AG96)&gt;=2,VLOOKUP(LEFT(AG96,2),Voorblad!$X$67:$Y$98,2)&amp;IF(LEN(AG96)&gt;=4," / "&amp;VLOOKUP(RIGHT(LEFT(AG96,4),2),Voorblad!$X$67:$Y$98,2),""),""))</f>
        <v/>
      </c>
      <c r="AN96" s="1271"/>
      <c r="AO96" s="874" t="str">
        <f ca="1">IF(AI96="","",IF(LEN(AI96)&gt;=2,VLOOKUP(LEFT(AI96,2),Voorblad!$X$67:$Y$98,2)&amp;IF(LEN(AI96)&gt;=4," / "&amp;VLOOKUP(RIGHT(LEFT(AI96,4),2),Voorblad!$X$67:$Y$98,2),""),""))</f>
        <v/>
      </c>
      <c r="AP96" s="408"/>
      <c r="AQ96" s="865" t="str">
        <f ca="1">Voorblad!AA90</f>
        <v>A4</v>
      </c>
      <c r="AR96" s="866"/>
      <c r="AS96" s="841" t="str">
        <f ca="1">VLOOKUP(AT96,Voorblad!$X$67:$Z$98,2,FALSE)</f>
        <v>Zwitserland</v>
      </c>
      <c r="AT96" s="842" t="str">
        <f t="shared" ca="1" si="19"/>
        <v>A4</v>
      </c>
      <c r="AU96" s="841" t="str">
        <f ca="1">VLOOKUP(AV96,Voorblad!$X$67:$Z$98,2,FALSE)</f>
        <v>Zwitserland</v>
      </c>
      <c r="AV96" s="842" t="str">
        <f t="shared" ca="1" si="20"/>
        <v>A4</v>
      </c>
      <c r="AW96" s="841" t="str">
        <f ca="1">VLOOKUP(AX96,Voorblad!$X$67:$Z$98,2,FALSE)</f>
        <v>Zwitserland</v>
      </c>
      <c r="AX96" s="842" t="str">
        <f t="shared" ca="1" si="21"/>
        <v>A4</v>
      </c>
      <c r="AY96" s="841" t="str">
        <f ca="1">VLOOKUP(AZ96,Voorblad!$X$67:$Z$98,2,FALSE)</f>
        <v>Zwitserland</v>
      </c>
      <c r="AZ96" s="842" t="str">
        <f t="shared" ca="1" si="22"/>
        <v>A4</v>
      </c>
      <c r="BA96" s="844">
        <f t="shared" si="27"/>
        <v>48</v>
      </c>
    </row>
    <row r="97" spans="2:53" x14ac:dyDescent="0.3">
      <c r="AB97" s="875">
        <f>D38</f>
        <v>46</v>
      </c>
      <c r="AC97" s="1268" t="str">
        <f>AG21</f>
        <v/>
      </c>
      <c r="AD97" s="1268"/>
      <c r="AE97" s="1268" t="str">
        <f>AG17</f>
        <v/>
      </c>
      <c r="AF97" s="1268"/>
      <c r="AG97" s="1268"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97)),$AQ$73,""),""),IF(ISERROR(SEARCH($AQ$74,AC97)),$AQ$74,""),""),IF(ISERROR(SEARCH($AQ$75,AC97)),$AQ$75,""),""),IF(ISERROR(SEARCH($AQ$76,AC97)),$AQ$76,""),""),IF(ISERROR(SEARCH($AQ$77,AC97)),$AQ$77,""),""),IF(ISERROR(SEARCH($AQ$78,AC97)),$AQ$78,""),""),IF(ISERROR(SEARCH($AQ$79,AC97)),$AQ$79,""),""),IF(ISERROR(SEARCH($AQ$80,AC97)),$AQ$80,""),""),IF(ISERROR(SEARCH($AQ$81,AC97)),$AQ$81,""),""),IF(ISERROR(SEARCH($AQ$82,AC97)),$AQ$82,""),""),IF(ISERROR(SEARCH($AQ$83,AC97)),$AQ$83,""),""),IF(ISERROR(SEARCH($AQ$84,AC97)),$AQ$84,""),""),IF(ISERROR(SEARCH($AQ$85,AC97)),$AQ$85,""),""),IF(ISERROR(SEARCH($AQ$86,AC97)),$AQ$86,""),""),IF(ISERROR(SEARCH($AQ$87,AC97)),$AQ$87,""),""),IF(ISERROR(SEARCH($AQ$88,AC97)),$AQ$88,""),""),IF(ISERROR(SEARCH($AQ$89,AC97)),$AQ$89,""),""),IF(ISERROR(SEARCH($AQ$90,AC97)),$AQ$90,""),""),IF(ISERROR(SEARCH($AQ$91,AC97)),$AQ$91,""),""),IF(ISERROR(SEARCH($AQ$92,AC97)),$AQ$92,""),""),IF(ISERROR(SEARCH($AQ$93,AC97)),$AQ$93,""),""),IF(ISERROR(SEARCH($AQ$94,AC97)),$AQ$94,""),""),IF(ISERROR(SEARCH($AQ$95,AC97)),$AQ$95,""),""),IF(ISERROR(SEARCH($AQ$96,AC97)),$AQ$96,""),""),IF(ISERROR(SEARCH($AQ$97,AC97)),$AQ$97,""),""),IF(ISERROR(SEARCH($AQ$98,AC97)),$AQ$98,""),""),IF(ISERROR(SEARCH($AQ$99,AC97)),$AQ$99,""),""),IF(ISERROR(SEARCH($AQ$100,AC97)),$AQ$100,""),""),IF(ISERROR(SEARCH($AQ$101,AC97)),$AQ$101,""),""),IF(ISERROR(SEARCH($AQ$102,AC97)),$AQ$102,""),""),IF(ISERROR(SEARCH($AQ$103,AC97)),$AQ$103,""),""),IF(ISERROR(SEARCH($AQ$104,AC97)),$AQ$104,""),"")</f>
        <v/>
      </c>
      <c r="AH97" s="1268"/>
      <c r="AI97" s="1268"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97)),$AQ$73,""),""),IF(ISERROR(SEARCH($AQ$74,AE97)),$AQ$74,""),""),IF(ISERROR(SEARCH($AQ$75,AE97)),$AQ$75,""),""),IF(ISERROR(SEARCH($AQ$76,AE97)),$AQ$76,""),""),IF(ISERROR(SEARCH($AQ$77,AE97)),$AQ$77,""),""),IF(ISERROR(SEARCH($AQ$78,AE97)),$AQ$78,""),""),IF(ISERROR(SEARCH($AQ$79,AE97)),$AQ$79,""),""),IF(ISERROR(SEARCH($AQ$80,AE97)),$AQ$80,""),""),IF(ISERROR(SEARCH($AQ$81,AE97)),$AQ$81,""),""),IF(ISERROR(SEARCH($AQ$82,AE97)),$AQ$82,""),""),IF(ISERROR(SEARCH($AQ$83,AE97)),$AQ$83,""),""),IF(ISERROR(SEARCH($AQ$84,AE97)),$AQ$84,""),""),IF(ISERROR(SEARCH($AQ$85,AE97)),$AQ$85,""),""),IF(ISERROR(SEARCH($AQ$86,AE97)),$AQ$86,""),""),IF(ISERROR(SEARCH($AQ$87,AE97)),$AQ$87,""),""),IF(ISERROR(SEARCH($AQ$88,AE97)),$AQ$88,""),""),IF(ISERROR(SEARCH($AQ$89,AE97)),$AQ$89,""),""),IF(ISERROR(SEARCH($AQ$90,AE97)),$AQ$90,""),""),IF(ISERROR(SEARCH($AQ$91,AE97)),$AQ$91,""),""),IF(ISERROR(SEARCH($AQ$92,AE97)),$AQ$92,""),""),IF(ISERROR(SEARCH($AQ$93,AE97)),$AQ$93,""),""),IF(ISERROR(SEARCH($AQ$94,AE97)),$AQ$94,""),""),IF(ISERROR(SEARCH($AQ$95,AE97)),$AQ$95,""),""),IF(ISERROR(SEARCH($AQ$96,AE97)),$AQ$96,""),""),IF(ISERROR(SEARCH($AQ$97,AE97)),$AQ$97,""),""),IF(ISERROR(SEARCH($AQ$98,AE97)),$AQ$98,""),""),IF(ISERROR(SEARCH($AQ$99,AE97)),$AQ$99,""),""),IF(ISERROR(SEARCH($AQ$100,AE97)),$AQ$100,""),""),IF(ISERROR(SEARCH($AQ$101,AE97)),$AQ$101,""),""),IF(ISERROR(SEARCH($AQ$102,AE97)),$AQ$102,""),""),IF(ISERROR(SEARCH($AQ$103,AE97)),$AQ$103,""),""),IF(ISERROR(SEARCH($AQ$104,AE97)),$AQ$104,""),"")</f>
        <v/>
      </c>
      <c r="AJ97" s="1268"/>
      <c r="AK97" s="877" t="str">
        <f ca="1">AG97&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M$92,IF(ISNUMBER(SEARCH($AQ$73,AC97)),$AQ$73,""),""),IF(ISNUMBER(SEARCH($AQ$74,AC97)),$AQ$74,""),""),IF(ISNUMBER(SEARCH($AQ$75,AC97)),$AQ$75,""),""),IF(ISNUMBER(SEARCH($AQ$76,AC97)),$AQ$76,""),""),IF(ISNUMBER(SEARCH($AQ$77,AC97)),$AQ$77,""),""),IF(ISNUMBER(SEARCH($AQ$78,AC97)),$AQ$78,""),""),IF(ISNUMBER(SEARCH($AQ$79,AC97)),$AQ$79,""),""),IF(ISNUMBER(SEARCH($AQ$80,AC97)),$AQ$80,""),""),IF(ISNUMBER(SEARCH($AQ$81,AC97)),$AQ$81,""),""),IF(ISNUMBER(SEARCH($AQ$82,AC97)),$AQ$82,""),""),IF(ISNUMBER(SEARCH($AQ$83,AC97)),$AQ$83,""),""),IF(ISNUMBER(SEARCH($AQ$84,AC97)),$AQ$84,""),""),IF(ISNUMBER(SEARCH($AQ$85,AC97)),$AQ$85,""),""),IF(ISNUMBER(SEARCH($AQ$86,AC97)),$AQ$86,""),""),IF(ISNUMBER(SEARCH($AQ$87,AC97)),$AQ$87,""),""),IF(ISNUMBER(SEARCH($AQ$88,AC97)),$AQ$88,""),""),IF(ISNUMBER(SEARCH($AQ$89,AC97)),$AQ$89,""),""),IF(ISNUMBER(SEARCH($AQ$90,AC97)),$AQ$90,""),""),IF(ISNUMBER(SEARCH($AQ$91,AC97)),$AQ$91,""),""),IF(ISNUMBER(SEARCH($AQ$92,AC97)),$AQ$92,""),""),IF(ISNUMBER(SEARCH($AQ$93,AC97)),$AQ$93,""),""),IF(ISNUMBER(SEARCH($AQ$94,AC97)),$AQ$94,""),""),IF(ISNUMBER(SEARCH($AQ$95,AC97)),$AQ$95,""),""),IF(ISNUMBER(SEARCH($AQ$96,AC97)),$AQ$96,""),""),IF(ISNUMBER(SEARCH($AQ$97,AC97)),$AQ$97,""),""),IF(ISNUMBER(SEARCH($AQ$98,AC97)),$AQ$98,""),""),IF(ISNUMBER(SEARCH($AQ$99,AC97)),$AQ$99,""),""),IF(ISNUMBER(SEARCH($AQ$100,AC97)),$AQ$100,""),""),IF(ISNUMBER(SEARCH($AQ$101,AC97)),$AQ$101,""),""),IF(ISNUMBER(SEARCH($AQ$102,AC97)),$AQ$102,""),""),IF(ISNUMBER(SEARCH($AQ$103,AC97)),$AQ$103,""),""),IF(ISNUMBER(SEARCH($AQ$104,AC97)),$AQ$104,""),"")</f>
        <v>B3B1F4D1B2F3F1A2D2E3F2B4D3E4E1D4A1A3E2A4</v>
      </c>
      <c r="AL97" s="877" t="str">
        <f ca="1">AI97&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N$92,IF(ISNUMBER(SEARCH($AQ$73,AE97)),$AQ$73,""),""),IF(ISNUMBER(SEARCH($AQ$74,AE97)),$AQ$74,""),""),IF(ISNUMBER(SEARCH($AQ$75,AE97)),$AQ$75,""),""),IF(ISNUMBER(SEARCH($AQ$76,AE97)),$AQ$76,""),""),IF(ISNUMBER(SEARCH($AQ$77,AE97)),$AQ$77,""),""),IF(ISNUMBER(SEARCH($AQ$78,AE97)),$AQ$78,""),""),IF(ISNUMBER(SEARCH($AQ$79,AE97)),$AQ$79,""),""),IF(ISNUMBER(SEARCH($AQ$80,AE97)),$AQ$80,""),""),IF(ISNUMBER(SEARCH($AQ$81,AE97)),$AQ$81,""),""),IF(ISNUMBER(SEARCH($AQ$82,AE97)),$AQ$82,""),""),IF(ISNUMBER(SEARCH($AQ$83,AE97)),$AQ$83,""),""),IF(ISNUMBER(SEARCH($AQ$84,AE97)),$AQ$84,""),""),IF(ISNUMBER(SEARCH($AQ$85,AE97)),$AQ$85,""),""),IF(ISNUMBER(SEARCH($AQ$86,AE97)),$AQ$86,""),""),IF(ISNUMBER(SEARCH($AQ$87,AE97)),$AQ$87,""),""),IF(ISNUMBER(SEARCH($AQ$88,AE97)),$AQ$88,""),""),IF(ISNUMBER(SEARCH($AQ$89,AE97)),$AQ$89,""),""),IF(ISNUMBER(SEARCH($AQ$90,AE97)),$AQ$90,""),""),IF(ISNUMBER(SEARCH($AQ$91,AE97)),$AQ$91,""),""),IF(ISNUMBER(SEARCH($AQ$92,AE97)),$AQ$92,""),""),IF(ISNUMBER(SEARCH($AQ$93,AE97)),$AQ$93,""),""),IF(ISNUMBER(SEARCH($AQ$94,AE97)),$AQ$94,""),""),IF(ISNUMBER(SEARCH($AQ$95,AE97)),$AQ$95,""),""),IF(ISNUMBER(SEARCH($AQ$96,AE97)),$AQ$96,""),""),IF(ISNUMBER(SEARCH($AQ$97,AE97)),$AQ$97,""),""),IF(ISNUMBER(SEARCH($AQ$98,AE97)),$AQ$98,""),""),IF(ISNUMBER(SEARCH($AQ$99,AE97)),$AQ$99,""),""),IF(ISNUMBER(SEARCH($AQ$100,AE97)),$AQ$100,""),""),IF(ISNUMBER(SEARCH($AQ$101,AE97)),$AQ$101,""),""),IF(ISNUMBER(SEARCH($AQ$102,AE97)),$AQ$102,""),""),IF(ISNUMBER(SEARCH($AQ$103,AE97)),$AQ$103,""),""),IF(ISNUMBER(SEARCH($AQ$104,AE97)),$AQ$104,""),"")</f>
        <v>A2C1C4C2C3A1A3A4</v>
      </c>
      <c r="AM97" s="1275" t="str">
        <f ca="1">IF(AG97="","",IF(LEN(AG97)&gt;=2,VLOOKUP(LEFT(AG97,2),Voorblad!$X$67:$Y$98,2)&amp;IF(LEN(AG97)&gt;=4," / "&amp;VLOOKUP(RIGHT(LEFT(AG97,4),2),Voorblad!$X$67:$Y$98,2),""),""))</f>
        <v/>
      </c>
      <c r="AN97" s="1275"/>
      <c r="AO97" s="875" t="str">
        <f ca="1">IF(AI97="","",IF(LEN(AI97)&gt;=2,VLOOKUP(LEFT(AI97,2),Voorblad!$X$67:$Y$98,2)&amp;IF(LEN(AI97)&gt;=4," / "&amp;VLOOKUP(RIGHT(LEFT(AI97,4),2),Voorblad!$X$67:$Y$98,2),""),""))</f>
        <v/>
      </c>
      <c r="AP97" s="408"/>
      <c r="AQ97" s="865" t="str">
        <f ca="1">Voorblad!AA91</f>
        <v>G1</v>
      </c>
      <c r="AR97" s="866"/>
      <c r="AS97" s="841"/>
      <c r="AT97" s="842"/>
      <c r="AU97" s="841"/>
      <c r="AV97" s="842"/>
      <c r="AW97" s="841"/>
      <c r="AX97" s="842"/>
      <c r="AY97" s="841"/>
      <c r="AZ97" s="842"/>
      <c r="BA97" s="844">
        <f t="shared" si="27"/>
        <v>50</v>
      </c>
    </row>
    <row r="98" spans="2:53" x14ac:dyDescent="0.3">
      <c r="AB98" s="874">
        <f>D40</f>
        <v>47</v>
      </c>
      <c r="AC98" s="1269" t="str">
        <f>AG19</f>
        <v/>
      </c>
      <c r="AD98" s="1269"/>
      <c r="AE98" s="1269" t="str">
        <f>AG15</f>
        <v/>
      </c>
      <c r="AF98" s="1269"/>
      <c r="AG98"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98)),$AQ$73,""),""),IF(ISERROR(SEARCH($AQ$74,AC98)),$AQ$74,""),""),IF(ISERROR(SEARCH($AQ$75,AC98)),$AQ$75,""),""),IF(ISERROR(SEARCH($AQ$76,AC98)),$AQ$76,""),""),IF(ISERROR(SEARCH($AQ$77,AC98)),$AQ$77,""),""),IF(ISERROR(SEARCH($AQ$78,AC98)),$AQ$78,""),""),IF(ISERROR(SEARCH($AQ$79,AC98)),$AQ$79,""),""),IF(ISERROR(SEARCH($AQ$80,AC98)),$AQ$80,""),""),IF(ISERROR(SEARCH($AQ$81,AC98)),$AQ$81,""),""),IF(ISERROR(SEARCH($AQ$82,AC98)),$AQ$82,""),""),IF(ISERROR(SEARCH($AQ$83,AC98)),$AQ$83,""),""),IF(ISERROR(SEARCH($AQ$84,AC98)),$AQ$84,""),""),IF(ISERROR(SEARCH($AQ$85,AC98)),$AQ$85,""),""),IF(ISERROR(SEARCH($AQ$86,AC98)),$AQ$86,""),""),IF(ISERROR(SEARCH($AQ$87,AC98)),$AQ$87,""),""),IF(ISERROR(SEARCH($AQ$88,AC98)),$AQ$88,""),""),IF(ISERROR(SEARCH($AQ$89,AC98)),$AQ$89,""),""),IF(ISERROR(SEARCH($AQ$90,AC98)),$AQ$90,""),""),IF(ISERROR(SEARCH($AQ$91,AC98)),$AQ$91,""),""),IF(ISERROR(SEARCH($AQ$92,AC98)),$AQ$92,""),""),IF(ISERROR(SEARCH($AQ$93,AC98)),$AQ$93,""),""),IF(ISERROR(SEARCH($AQ$94,AC98)),$AQ$94,""),""),IF(ISERROR(SEARCH($AQ$95,AC98)),$AQ$95,""),""),IF(ISERROR(SEARCH($AQ$96,AC98)),$AQ$96,""),""),IF(ISERROR(SEARCH($AQ$97,AC98)),$AQ$97,""),""),IF(ISERROR(SEARCH($AQ$98,AC98)),$AQ$98,""),""),IF(ISERROR(SEARCH($AQ$99,AC98)),$AQ$99,""),""),IF(ISERROR(SEARCH($AQ$100,AC98)),$AQ$100,""),""),IF(ISERROR(SEARCH($AQ$101,AC98)),$AQ$101,""),""),IF(ISERROR(SEARCH($AQ$102,AC98)),$AQ$102,""),""),IF(ISERROR(SEARCH($AQ$103,AC98)),$AQ$103,""),""),IF(ISERROR(SEARCH($AQ$104,AC98)),$AQ$104,""),"")</f>
        <v/>
      </c>
      <c r="AH98" s="1269"/>
      <c r="AI98"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98)),$AQ$73,""),""),IF(ISERROR(SEARCH($AQ$74,AE98)),$AQ$74,""),""),IF(ISERROR(SEARCH($AQ$75,AE98)),$AQ$75,""),""),IF(ISERROR(SEARCH($AQ$76,AE98)),$AQ$76,""),""),IF(ISERROR(SEARCH($AQ$77,AE98)),$AQ$77,""),""),IF(ISERROR(SEARCH($AQ$78,AE98)),$AQ$78,""),""),IF(ISERROR(SEARCH($AQ$79,AE98)),$AQ$79,""),""),IF(ISERROR(SEARCH($AQ$80,AE98)),$AQ$80,""),""),IF(ISERROR(SEARCH($AQ$81,AE98)),$AQ$81,""),""),IF(ISERROR(SEARCH($AQ$82,AE98)),$AQ$82,""),""),IF(ISERROR(SEARCH($AQ$83,AE98)),$AQ$83,""),""),IF(ISERROR(SEARCH($AQ$84,AE98)),$AQ$84,""),""),IF(ISERROR(SEARCH($AQ$85,AE98)),$AQ$85,""),""),IF(ISERROR(SEARCH($AQ$86,AE98)),$AQ$86,""),""),IF(ISERROR(SEARCH($AQ$87,AE98)),$AQ$87,""),""),IF(ISERROR(SEARCH($AQ$88,AE98)),$AQ$88,""),""),IF(ISERROR(SEARCH($AQ$89,AE98)),$AQ$89,""),""),IF(ISERROR(SEARCH($AQ$90,AE98)),$AQ$90,""),""),IF(ISERROR(SEARCH($AQ$91,AE98)),$AQ$91,""),""),IF(ISERROR(SEARCH($AQ$92,AE98)),$AQ$92,""),""),IF(ISERROR(SEARCH($AQ$93,AE98)),$AQ$93,""),""),IF(ISERROR(SEARCH($AQ$94,AE98)),$AQ$94,""),""),IF(ISERROR(SEARCH($AQ$95,AE98)),$AQ$95,""),""),IF(ISERROR(SEARCH($AQ$96,AE98)),$AQ$96,""),""),IF(ISERROR(SEARCH($AQ$97,AE98)),$AQ$97,""),""),IF(ISERROR(SEARCH($AQ$98,AE98)),$AQ$98,""),""),IF(ISERROR(SEARCH($AQ$99,AE98)),$AQ$99,""),""),IF(ISERROR(SEARCH($AQ$100,AE98)),$AQ$100,""),""),IF(ISERROR(SEARCH($AQ$101,AE98)),$AQ$101,""),""),IF(ISERROR(SEARCH($AQ$102,AE98)),$AQ$102,""),""),IF(ISERROR(SEARCH($AQ$103,AE98)),$AQ$103,""),""),IF(ISERROR(SEARCH($AQ$104,AE98)),$AQ$104,""),"")</f>
        <v/>
      </c>
      <c r="AJ98" s="1269"/>
      <c r="AK98" s="876" t="str">
        <f ca="1">AG98&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O$92,IF(ISNUMBER(SEARCH($AQ$73,AC98)),$AQ$73,""),""),IF(ISNUMBER(SEARCH($AQ$74,AC98)),$AQ$74,""),""),IF(ISNUMBER(SEARCH($AQ$75,AC98)),$AQ$75,""),""),IF(ISNUMBER(SEARCH($AQ$76,AC98)),$AQ$76,""),""),IF(ISNUMBER(SEARCH($AQ$77,AC98)),$AQ$77,""),""),IF(ISNUMBER(SEARCH($AQ$78,AC98)),$AQ$78,""),""),IF(ISNUMBER(SEARCH($AQ$79,AC98)),$AQ$79,""),""),IF(ISNUMBER(SEARCH($AQ$80,AC98)),$AQ$80,""),""),IF(ISNUMBER(SEARCH($AQ$81,AC98)),$AQ$81,""),""),IF(ISNUMBER(SEARCH($AQ$82,AC98)),$AQ$82,""),""),IF(ISNUMBER(SEARCH($AQ$83,AC98)),$AQ$83,""),""),IF(ISNUMBER(SEARCH($AQ$84,AC98)),$AQ$84,""),""),IF(ISNUMBER(SEARCH($AQ$85,AC98)),$AQ$85,""),""),IF(ISNUMBER(SEARCH($AQ$86,AC98)),$AQ$86,""),""),IF(ISNUMBER(SEARCH($AQ$87,AC98)),$AQ$87,""),""),IF(ISNUMBER(SEARCH($AQ$88,AC98)),$AQ$88,""),""),IF(ISNUMBER(SEARCH($AQ$89,AC98)),$AQ$89,""),""),IF(ISNUMBER(SEARCH($AQ$90,AC98)),$AQ$90,""),""),IF(ISNUMBER(SEARCH($AQ$91,AC98)),$AQ$91,""),""),IF(ISNUMBER(SEARCH($AQ$92,AC98)),$AQ$92,""),""),IF(ISNUMBER(SEARCH($AQ$93,AC98)),$AQ$93,""),""),IF(ISNUMBER(SEARCH($AQ$94,AC98)),$AQ$94,""),""),IF(ISNUMBER(SEARCH($AQ$95,AC98)),$AQ$95,""),""),IF(ISNUMBER(SEARCH($AQ$96,AC98)),$AQ$96,""),""),IF(ISNUMBER(SEARCH($AQ$97,AC98)),$AQ$97,""),""),IF(ISNUMBER(SEARCH($AQ$98,AC98)),$AQ$98,""),""),IF(ISNUMBER(SEARCH($AQ$99,AC98)),$AQ$99,""),""),IF(ISNUMBER(SEARCH($AQ$100,AC98)),$AQ$100,""),""),IF(ISNUMBER(SEARCH($AQ$101,AC98)),$AQ$101,""),""),IF(ISNUMBER(SEARCH($AQ$102,AC98)),$AQ$102,""),""),IF(ISNUMBER(SEARCH($AQ$103,AC98)),$AQ$103,""),""),IF(ISNUMBER(SEARCH($AQ$104,AC98)),$AQ$104,""),"")</f>
        <v>F4D1F3F1D2C1C4C2C3E3F2D3E4E1D4E2</v>
      </c>
      <c r="AL98" s="876" t="str">
        <f ca="1">AI98&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P$92,IF(ISNUMBER(SEARCH($AQ$73,AE98)),$AQ$73,""),""),IF(ISNUMBER(SEARCH($AQ$74,AE98)),$AQ$74,""),""),IF(ISNUMBER(SEARCH($AQ$75,AE98)),$AQ$75,""),""),IF(ISNUMBER(SEARCH($AQ$76,AE98)),$AQ$76,""),""),IF(ISNUMBER(SEARCH($AQ$77,AE98)),$AQ$77,""),""),IF(ISNUMBER(SEARCH($AQ$78,AE98)),$AQ$78,""),""),IF(ISNUMBER(SEARCH($AQ$79,AE98)),$AQ$79,""),""),IF(ISNUMBER(SEARCH($AQ$80,AE98)),$AQ$80,""),""),IF(ISNUMBER(SEARCH($AQ$81,AE98)),$AQ$81,""),""),IF(ISNUMBER(SEARCH($AQ$82,AE98)),$AQ$82,""),""),IF(ISNUMBER(SEARCH($AQ$83,AE98)),$AQ$83,""),""),IF(ISNUMBER(SEARCH($AQ$84,AE98)),$AQ$84,""),""),IF(ISNUMBER(SEARCH($AQ$85,AE98)),$AQ$85,""),""),IF(ISNUMBER(SEARCH($AQ$86,AE98)),$AQ$86,""),""),IF(ISNUMBER(SEARCH($AQ$87,AE98)),$AQ$87,""),""),IF(ISNUMBER(SEARCH($AQ$88,AE98)),$AQ$88,""),""),IF(ISNUMBER(SEARCH($AQ$89,AE98)),$AQ$89,""),""),IF(ISNUMBER(SEARCH($AQ$90,AE98)),$AQ$90,""),""),IF(ISNUMBER(SEARCH($AQ$91,AE98)),$AQ$91,""),""),IF(ISNUMBER(SEARCH($AQ$92,AE98)),$AQ$92,""),""),IF(ISNUMBER(SEARCH($AQ$93,AE98)),$AQ$93,""),""),IF(ISNUMBER(SEARCH($AQ$94,AE98)),$AQ$94,""),""),IF(ISNUMBER(SEARCH($AQ$95,AE98)),$AQ$95,""),""),IF(ISNUMBER(SEARCH($AQ$96,AE98)),$AQ$96,""),""),IF(ISNUMBER(SEARCH($AQ$97,AE98)),$AQ$97,""),""),IF(ISNUMBER(SEARCH($AQ$98,AE98)),$AQ$98,""),""),IF(ISNUMBER(SEARCH($AQ$99,AE98)),$AQ$99,""),""),IF(ISNUMBER(SEARCH($AQ$100,AE98)),$AQ$100,""),""),IF(ISNUMBER(SEARCH($AQ$101,AE98)),$AQ$101,""),""),IF(ISNUMBER(SEARCH($AQ$102,AE98)),$AQ$102,""),""),IF(ISNUMBER(SEARCH($AQ$103,AE98)),$AQ$103,""),""),IF(ISNUMBER(SEARCH($AQ$104,AE98)),$AQ$104,""),"")</f>
        <v>B3B1B2A2B4A1A3A4</v>
      </c>
      <c r="AM98" s="1271" t="str">
        <f ca="1">IF(AG98="","",IF(LEN(AG98)&gt;=2,VLOOKUP(LEFT(AG98,2),Voorblad!$X$67:$Y$98,2)&amp;IF(LEN(AG98)&gt;=4," / "&amp;VLOOKUP(RIGHT(LEFT(AG98,4),2),Voorblad!$X$67:$Y$98,2),""),""))</f>
        <v/>
      </c>
      <c r="AN98" s="1271"/>
      <c r="AO98" s="874" t="str">
        <f ca="1">IF(AI98="","",IF(LEN(AI98)&gt;=2,VLOOKUP(LEFT(AI98,2),Voorblad!$X$67:$Y$98,2)&amp;IF(LEN(AI98)&gt;=4," / "&amp;VLOOKUP(RIGHT(LEFT(AI98,4),2),Voorblad!$X$67:$Y$98,2),""),""))</f>
        <v/>
      </c>
      <c r="AP98" s="408"/>
      <c r="AQ98" s="865" t="str">
        <f ca="1">Voorblad!AA92</f>
        <v>G2</v>
      </c>
      <c r="AR98" s="866"/>
      <c r="AS98" s="841"/>
      <c r="AT98" s="842"/>
      <c r="AU98" s="841"/>
      <c r="AV98" s="842"/>
      <c r="AW98" s="841"/>
      <c r="AX98" s="842"/>
      <c r="AY98" s="841"/>
      <c r="AZ98" s="842"/>
      <c r="BA98" s="844">
        <f t="shared" si="27"/>
        <v>52</v>
      </c>
    </row>
    <row r="99" spans="2:53" x14ac:dyDescent="0.3">
      <c r="AB99" s="875">
        <f>D42</f>
        <v>48</v>
      </c>
      <c r="AC99" s="1268" t="str">
        <f>AG29</f>
        <v/>
      </c>
      <c r="AD99" s="1268"/>
      <c r="AE99" s="1268" t="str">
        <f>AG27</f>
        <v/>
      </c>
      <c r="AF99" s="1268"/>
      <c r="AG99" s="1268"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99)),$AQ$73,""),""),IF(ISERROR(SEARCH($AQ$74,AC99)),$AQ$74,""),""),IF(ISERROR(SEARCH($AQ$75,AC99)),$AQ$75,""),""),IF(ISERROR(SEARCH($AQ$76,AC99)),$AQ$76,""),""),IF(ISERROR(SEARCH($AQ$77,AC99)),$AQ$77,""),""),IF(ISERROR(SEARCH($AQ$78,AC99)),$AQ$78,""),""),IF(ISERROR(SEARCH($AQ$79,AC99)),$AQ$79,""),""),IF(ISERROR(SEARCH($AQ$80,AC99)),$AQ$80,""),""),IF(ISERROR(SEARCH($AQ$81,AC99)),$AQ$81,""),""),IF(ISERROR(SEARCH($AQ$82,AC99)),$AQ$82,""),""),IF(ISERROR(SEARCH($AQ$83,AC99)),$AQ$83,""),""),IF(ISERROR(SEARCH($AQ$84,AC99)),$AQ$84,""),""),IF(ISERROR(SEARCH($AQ$85,AC99)),$AQ$85,""),""),IF(ISERROR(SEARCH($AQ$86,AC99)),$AQ$86,""),""),IF(ISERROR(SEARCH($AQ$87,AC99)),$AQ$87,""),""),IF(ISERROR(SEARCH($AQ$88,AC99)),$AQ$88,""),""),IF(ISERROR(SEARCH($AQ$89,AC99)),$AQ$89,""),""),IF(ISERROR(SEARCH($AQ$90,AC99)),$AQ$90,""),""),IF(ISERROR(SEARCH($AQ$91,AC99)),$AQ$91,""),""),IF(ISERROR(SEARCH($AQ$92,AC99)),$AQ$92,""),""),IF(ISERROR(SEARCH($AQ$93,AC99)),$AQ$93,""),""),IF(ISERROR(SEARCH($AQ$94,AC99)),$AQ$94,""),""),IF(ISERROR(SEARCH($AQ$95,AC99)),$AQ$95,""),""),IF(ISERROR(SEARCH($AQ$96,AC99)),$AQ$96,""),""),IF(ISERROR(SEARCH($AQ$97,AC99)),$AQ$97,""),""),IF(ISERROR(SEARCH($AQ$98,AC99)),$AQ$98,""),""),IF(ISERROR(SEARCH($AQ$99,AC99)),$AQ$99,""),""),IF(ISERROR(SEARCH($AQ$100,AC99)),$AQ$100,""),""),IF(ISERROR(SEARCH($AQ$101,AC99)),$AQ$101,""),""),IF(ISERROR(SEARCH($AQ$102,AC99)),$AQ$102,""),""),IF(ISERROR(SEARCH($AQ$103,AC99)),$AQ$103,""),""),IF(ISERROR(SEARCH($AQ$104,AC99)),$AQ$104,""),"")</f>
        <v/>
      </c>
      <c r="AH99" s="1268"/>
      <c r="AI99" s="1268"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99)),$AQ$73,""),""),IF(ISERROR(SEARCH($AQ$74,AE99)),$AQ$74,""),""),IF(ISERROR(SEARCH($AQ$75,AE99)),$AQ$75,""),""),IF(ISERROR(SEARCH($AQ$76,AE99)),$AQ$76,""),""),IF(ISERROR(SEARCH($AQ$77,AE99)),$AQ$77,""),""),IF(ISERROR(SEARCH($AQ$78,AE99)),$AQ$78,""),""),IF(ISERROR(SEARCH($AQ$79,AE99)),$AQ$79,""),""),IF(ISERROR(SEARCH($AQ$80,AE99)),$AQ$80,""),""),IF(ISERROR(SEARCH($AQ$81,AE99)),$AQ$81,""),""),IF(ISERROR(SEARCH($AQ$82,AE99)),$AQ$82,""),""),IF(ISERROR(SEARCH($AQ$83,AE99)),$AQ$83,""),""),IF(ISERROR(SEARCH($AQ$84,AE99)),$AQ$84,""),""),IF(ISERROR(SEARCH($AQ$85,AE99)),$AQ$85,""),""),IF(ISERROR(SEARCH($AQ$86,AE99)),$AQ$86,""),""),IF(ISERROR(SEARCH($AQ$87,AE99)),$AQ$87,""),""),IF(ISERROR(SEARCH($AQ$88,AE99)),$AQ$88,""),""),IF(ISERROR(SEARCH($AQ$89,AE99)),$AQ$89,""),""),IF(ISERROR(SEARCH($AQ$90,AE99)),$AQ$90,""),""),IF(ISERROR(SEARCH($AQ$91,AE99)),$AQ$91,""),""),IF(ISERROR(SEARCH($AQ$92,AE99)),$AQ$92,""),""),IF(ISERROR(SEARCH($AQ$93,AE99)),$AQ$93,""),""),IF(ISERROR(SEARCH($AQ$94,AE99)),$AQ$94,""),""),IF(ISERROR(SEARCH($AQ$95,AE99)),$AQ$95,""),""),IF(ISERROR(SEARCH($AQ$96,AE99)),$AQ$96,""),""),IF(ISERROR(SEARCH($AQ$97,AE99)),$AQ$97,""),""),IF(ISERROR(SEARCH($AQ$98,AE99)),$AQ$98,""),""),IF(ISERROR(SEARCH($AQ$99,AE99)),$AQ$99,""),""),IF(ISERROR(SEARCH($AQ$100,AE99)),$AQ$100,""),""),IF(ISERROR(SEARCH($AQ$101,AE99)),$AQ$101,""),""),IF(ISERROR(SEARCH($AQ$102,AE99)),$AQ$102,""),""),IF(ISERROR(SEARCH($AQ$103,AE99)),$AQ$103,""),""),IF(ISERROR(SEARCH($AQ$104,AE99)),$AQ$104,""),"")</f>
        <v/>
      </c>
      <c r="AJ99" s="1268"/>
      <c r="AK99" s="877" t="str">
        <f ca="1">AG99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Q$92,IF(ISNUMBER(SEARCH($AQ$73,AC99)),$AQ$73,""),""),IF(ISNUMBER(SEARCH($AQ$74,AC99)),$AQ$74,""),""),IF(ISNUMBER(SEARCH($AQ$75,AC99)),$AQ$75,""),""),IF(ISNUMBER(SEARCH($AQ$76,AC99)),$AQ$76,""),""),IF(ISNUMBER(SEARCH($AQ$77,AC99)),$AQ$77,""),""),IF(ISNUMBER(SEARCH($AQ$78,AC99)),$AQ$78,""),""),IF(ISNUMBER(SEARCH($AQ$79,AC99)),$AQ$79,""),""),IF(ISNUMBER(SEARCH($AQ$80,AC99)),$AQ$80,""),""),IF(ISNUMBER(SEARCH($AQ$81,AC99)),$AQ$81,""),""),IF(ISNUMBER(SEARCH($AQ$82,AC99)),$AQ$82,""),""),IF(ISNUMBER(SEARCH($AQ$83,AC99)),$AQ$83,""),""),IF(ISNUMBER(SEARCH($AQ$84,AC99)),$AQ$84,""),""),IF(ISNUMBER(SEARCH($AQ$85,AC99)),$AQ$85,""),""),IF(ISNUMBER(SEARCH($AQ$86,AC99)),$AQ$86,""),""),IF(ISNUMBER(SEARCH($AQ$87,AC99)),$AQ$87,""),""),IF(ISNUMBER(SEARCH($AQ$88,AC99)),$AQ$88,""),""),IF(ISNUMBER(SEARCH($AQ$89,AC99)),$AQ$89,""),""),IF(ISNUMBER(SEARCH($AQ$90,AC99)),$AQ$90,""),""),IF(ISNUMBER(SEARCH($AQ$91,AC99)),$AQ$91,""),""),IF(ISNUMBER(SEARCH($AQ$92,AC99)),$AQ$92,""),""),IF(ISNUMBER(SEARCH($AQ$93,AC99)),$AQ$93,""),""),IF(ISNUMBER(SEARCH($AQ$94,AC99)),$AQ$94,""),""),IF(ISNUMBER(SEARCH($AQ$95,AC99)),$AQ$95,""),""),IF(ISNUMBER(SEARCH($AQ$96,AC99)),$AQ$96,""),""),IF(ISNUMBER(SEARCH($AQ$97,AC99)),$AQ$97,""),""),IF(ISNUMBER(SEARCH($AQ$98,AC99)),$AQ$98,""),""),IF(ISNUMBER(SEARCH($AQ$99,AC99)),$AQ$99,""),""),IF(ISNUMBER(SEARCH($AQ$100,AC99)),$AQ$100,""),""),IF(ISNUMBER(SEARCH($AQ$101,AC99)),$AQ$101,""),""),IF(ISNUMBER(SEARCH($AQ$102,AC99)),$AQ$102,""),""),IF(ISNUMBER(SEARCH($AQ$103,AC99)),$AQ$103,""),""),IF(ISNUMBER(SEARCH($AQ$104,AC99)),$AQ$104,""),"")</f>
        <v>B3B1D1B2A2D2C1C4C2C3E3B4D3E4E1D4A1A3E2A4</v>
      </c>
      <c r="AL99" s="877" t="str">
        <f ca="1">AI99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R$92,IF(ISNUMBER(SEARCH($AQ$73,AE99)),$AQ$73,""),""),IF(ISNUMBER(SEARCH($AQ$74,AE99)),$AQ$74,""),""),IF(ISNUMBER(SEARCH($AQ$75,AE99)),$AQ$75,""),""),IF(ISNUMBER(SEARCH($AQ$76,AE99)),$AQ$76,""),""),IF(ISNUMBER(SEARCH($AQ$77,AE99)),$AQ$77,""),""),IF(ISNUMBER(SEARCH($AQ$78,AE99)),$AQ$78,""),""),IF(ISNUMBER(SEARCH($AQ$79,AE99)),$AQ$79,""),""),IF(ISNUMBER(SEARCH($AQ$80,AE99)),$AQ$80,""),""),IF(ISNUMBER(SEARCH($AQ$81,AE99)),$AQ$81,""),""),IF(ISNUMBER(SEARCH($AQ$82,AE99)),$AQ$82,""),""),IF(ISNUMBER(SEARCH($AQ$83,AE99)),$AQ$83,""),""),IF(ISNUMBER(SEARCH($AQ$84,AE99)),$AQ$84,""),""),IF(ISNUMBER(SEARCH($AQ$85,AE99)),$AQ$85,""),""),IF(ISNUMBER(SEARCH($AQ$86,AE99)),$AQ$86,""),""),IF(ISNUMBER(SEARCH($AQ$87,AE99)),$AQ$87,""),""),IF(ISNUMBER(SEARCH($AQ$88,AE99)),$AQ$88,""),""),IF(ISNUMBER(SEARCH($AQ$89,AE99)),$AQ$89,""),""),IF(ISNUMBER(SEARCH($AQ$90,AE99)),$AQ$90,""),""),IF(ISNUMBER(SEARCH($AQ$91,AE99)),$AQ$91,""),""),IF(ISNUMBER(SEARCH($AQ$92,AE99)),$AQ$92,""),""),IF(ISNUMBER(SEARCH($AQ$93,AE99)),$AQ$93,""),""),IF(ISNUMBER(SEARCH($AQ$94,AE99)),$AQ$94,""),""),IF(ISNUMBER(SEARCH($AQ$95,AE99)),$AQ$95,""),""),IF(ISNUMBER(SEARCH($AQ$96,AE99)),$AQ$96,""),""),IF(ISNUMBER(SEARCH($AQ$97,AE99)),$AQ$97,""),""),IF(ISNUMBER(SEARCH($AQ$98,AE99)),$AQ$98,""),""),IF(ISNUMBER(SEARCH($AQ$99,AE99)),$AQ$99,""),""),IF(ISNUMBER(SEARCH($AQ$100,AE99)),$AQ$100,""),""),IF(ISNUMBER(SEARCH($AQ$101,AE99)),$AQ$101,""),""),IF(ISNUMBER(SEARCH($AQ$102,AE99)),$AQ$102,""),""),IF(ISNUMBER(SEARCH($AQ$103,AE99)),$AQ$103,""),""),IF(ISNUMBER(SEARCH($AQ$104,AE99)),$AQ$104,""),"")</f>
        <v>F4D1F3F1D2F2D3D4</v>
      </c>
      <c r="AM99" s="1275" t="str">
        <f ca="1">IF(AG99="","",IF(LEN(AG99)&gt;=2,VLOOKUP(LEFT(AG99,2),Voorblad!$X$67:$Y$98,2)&amp;IF(LEN(AG99)&gt;=4," / "&amp;VLOOKUP(RIGHT(LEFT(AG99,4),2),Voorblad!$X$67:$Y$98,2),""),""))</f>
        <v/>
      </c>
      <c r="AN99" s="1275"/>
      <c r="AO99" s="875" t="str">
        <f ca="1">IF(AI99="","",IF(LEN(AI99)&gt;=2,VLOOKUP(LEFT(AI99,2),Voorblad!$X$67:$Y$98,2)&amp;IF(LEN(AI99)&gt;=4," / "&amp;VLOOKUP(RIGHT(LEFT(AI99,4),2),Voorblad!$X$67:$Y$98,2),""),""))</f>
        <v/>
      </c>
      <c r="AP99" s="408"/>
      <c r="AQ99" s="865" t="str">
        <f ca="1">Voorblad!AA93</f>
        <v>G3</v>
      </c>
      <c r="AR99" s="866"/>
      <c r="AS99" s="841"/>
      <c r="AT99" s="842"/>
      <c r="AU99" s="841"/>
      <c r="AV99" s="842"/>
      <c r="AW99" s="841"/>
      <c r="AX99" s="842"/>
      <c r="AY99" s="841"/>
      <c r="AZ99" s="842"/>
      <c r="BA99" s="844">
        <f t="shared" si="27"/>
        <v>54</v>
      </c>
    </row>
    <row r="100" spans="2:53" x14ac:dyDescent="0.3">
      <c r="AB100" s="339"/>
      <c r="AC100" s="339"/>
      <c r="AD100" s="339"/>
      <c r="AE100" s="339"/>
      <c r="AF100" s="339"/>
      <c r="AG100" s="339"/>
      <c r="AH100" s="339"/>
      <c r="AI100" s="339"/>
      <c r="AJ100" s="339"/>
      <c r="AK100" s="339"/>
      <c r="AL100" s="339"/>
      <c r="AM100" s="339"/>
      <c r="AN100" s="339"/>
      <c r="AO100" s="339"/>
      <c r="AP100" s="408"/>
      <c r="AQ100" s="865" t="str">
        <f ca="1">Voorblad!AA94</f>
        <v>G4</v>
      </c>
      <c r="AR100" s="866"/>
      <c r="AS100" s="841"/>
      <c r="AT100" s="842"/>
      <c r="AU100" s="841"/>
      <c r="AV100" s="842"/>
      <c r="AW100" s="841"/>
      <c r="AX100" s="842"/>
      <c r="AY100" s="841"/>
      <c r="AZ100" s="842"/>
      <c r="BA100" s="844">
        <f t="shared" si="27"/>
        <v>56</v>
      </c>
    </row>
    <row r="101" spans="2:53" x14ac:dyDescent="0.3">
      <c r="AB101" s="879" t="str">
        <f>$AB$85</f>
        <v>nr.</v>
      </c>
      <c r="AC101" s="1272" t="str">
        <f>$AC$85</f>
        <v>suggestie - thuis</v>
      </c>
      <c r="AD101" s="1272"/>
      <c r="AE101" s="1272" t="str">
        <f>$AE$85</f>
        <v>suggestie - uit</v>
      </c>
      <c r="AF101" s="1272"/>
      <c r="AG101" s="1272" t="str">
        <f>$AG$85</f>
        <v>thuis code</v>
      </c>
      <c r="AH101" s="1272"/>
      <c r="AI101" s="1272" t="str">
        <f>$AG$85</f>
        <v>thuis code</v>
      </c>
      <c r="AJ101" s="1272"/>
      <c r="AK101" s="879" t="str">
        <f>$AK$85</f>
        <v>thuis menu</v>
      </c>
      <c r="AL101" s="879" t="str">
        <f>$AL$85</f>
        <v>uit menu</v>
      </c>
      <c r="AM101" s="1253" t="str">
        <f>$AM$85</f>
        <v>thuis (landen)</v>
      </c>
      <c r="AN101" s="1253"/>
      <c r="AO101" s="880" t="str">
        <f>$AO$85</f>
        <v>uit (landen)</v>
      </c>
      <c r="AP101" s="408"/>
      <c r="AQ101" s="865" t="str">
        <f ca="1">Voorblad!AA95</f>
        <v>H1</v>
      </c>
      <c r="AR101" s="866"/>
      <c r="AS101" s="841"/>
      <c r="AT101" s="842"/>
      <c r="AU101" s="841"/>
      <c r="AV101" s="842"/>
      <c r="AW101" s="841"/>
      <c r="AX101" s="842"/>
      <c r="AY101" s="841"/>
      <c r="AZ101" s="842"/>
      <c r="BA101" s="844">
        <f t="shared" si="27"/>
        <v>58</v>
      </c>
    </row>
    <row r="102" spans="2:53" x14ac:dyDescent="0.3">
      <c r="B102" s="462"/>
      <c r="C102" s="462"/>
      <c r="D102" s="462"/>
      <c r="E102" s="462"/>
      <c r="AB102" s="874">
        <f>D46</f>
        <v>49</v>
      </c>
      <c r="AC102" s="1269" t="str">
        <f>AG39</f>
        <v/>
      </c>
      <c r="AD102" s="1269"/>
      <c r="AE102" s="1269" t="str">
        <f>AG37</f>
        <v/>
      </c>
      <c r="AF102" s="1269"/>
      <c r="AG102"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102)),$AQ$73,""),""),IF(ISERROR(SEARCH($AQ$74,AC102)),$AQ$74,""),""),IF(ISERROR(SEARCH($AQ$75,AC102)),$AQ$75,""),""),IF(ISERROR(SEARCH($AQ$76,AC102)),$AQ$76,""),""),IF(ISERROR(SEARCH($AQ$77,AC102)),$AQ$77,""),""),IF(ISERROR(SEARCH($AQ$78,AC102)),$AQ$78,""),""),IF(ISERROR(SEARCH($AQ$79,AC102)),$AQ$79,""),""),IF(ISERROR(SEARCH($AQ$80,AC102)),$AQ$80,""),""),IF(ISERROR(SEARCH($AQ$81,AC102)),$AQ$81,""),""),IF(ISERROR(SEARCH($AQ$82,AC102)),$AQ$82,""),""),IF(ISERROR(SEARCH($AQ$83,AC102)),$AQ$83,""),""),IF(ISERROR(SEARCH($AQ$84,AC102)),$AQ$84,""),""),IF(ISERROR(SEARCH($AQ$85,AC102)),$AQ$85,""),""),IF(ISERROR(SEARCH($AQ$86,AC102)),$AQ$86,""),""),IF(ISERROR(SEARCH($AQ$87,AC102)),$AQ$87,""),""),IF(ISERROR(SEARCH($AQ$88,AC102)),$AQ$88,""),""),IF(ISERROR(SEARCH($AQ$89,AC102)),$AQ$89,""),""),IF(ISERROR(SEARCH($AQ$90,AC102)),$AQ$90,""),""),IF(ISERROR(SEARCH($AQ$91,AC102)),$AQ$91,""),""),IF(ISERROR(SEARCH($AQ$92,AC102)),$AQ$92,""),""),IF(ISERROR(SEARCH($AQ$93,AC102)),$AQ$93,""),""),IF(ISERROR(SEARCH($AQ$94,AC102)),$AQ$94,""),""),IF(ISERROR(SEARCH($AQ$95,AC102)),$AQ$95,""),""),IF(ISERROR(SEARCH($AQ$96,AC102)),$AQ$96,""),""),IF(ISERROR(SEARCH($AQ$97,AC102)),$AQ$97,""),""),IF(ISERROR(SEARCH($AQ$98,AC102)),$AQ$98,""),""),IF(ISERROR(SEARCH($AQ$99,AC102)),$AQ$99,""),""),IF(ISERROR(SEARCH($AQ$100,AC102)),$AQ$100,""),""),IF(ISERROR(SEARCH($AQ$101,AC102)),$AQ$101,""),""),IF(ISERROR(SEARCH($AQ$102,AC102)),$AQ$102,""),""),IF(ISERROR(SEARCH($AQ$103,AC102)),$AQ$103,""),""),IF(ISERROR(SEARCH($AQ$104,AC102)),$AQ$104,""),"")</f>
        <v/>
      </c>
      <c r="AH102" s="1269"/>
      <c r="AI102"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102)),$AQ$73,""),""),IF(ISERROR(SEARCH($AQ$74,AE102)),$AQ$74,""),""),IF(ISERROR(SEARCH($AQ$75,AE102)),$AQ$75,""),""),IF(ISERROR(SEARCH($AQ$76,AE102)),$AQ$76,""),""),IF(ISERROR(SEARCH($AQ$77,AE102)),$AQ$77,""),""),IF(ISERROR(SEARCH($AQ$78,AE102)),$AQ$78,""),""),IF(ISERROR(SEARCH($AQ$79,AE102)),$AQ$79,""),""),IF(ISERROR(SEARCH($AQ$80,AE102)),$AQ$80,""),""),IF(ISERROR(SEARCH($AQ$81,AE102)),$AQ$81,""),""),IF(ISERROR(SEARCH($AQ$82,AE102)),$AQ$82,""),""),IF(ISERROR(SEARCH($AQ$83,AE102)),$AQ$83,""),""),IF(ISERROR(SEARCH($AQ$84,AE102)),$AQ$84,""),""),IF(ISERROR(SEARCH($AQ$85,AE102)),$AQ$85,""),""),IF(ISERROR(SEARCH($AQ$86,AE102)),$AQ$86,""),""),IF(ISERROR(SEARCH($AQ$87,AE102)),$AQ$87,""),""),IF(ISERROR(SEARCH($AQ$88,AE102)),$AQ$88,""),""),IF(ISERROR(SEARCH($AQ$89,AE102)),$AQ$89,""),""),IF(ISERROR(SEARCH($AQ$90,AE102)),$AQ$90,""),""),IF(ISERROR(SEARCH($AQ$91,AE102)),$AQ$91,""),""),IF(ISERROR(SEARCH($AQ$92,AE102)),$AQ$92,""),""),IF(ISERROR(SEARCH($AQ$93,AE102)),$AQ$93,""),""),IF(ISERROR(SEARCH($AQ$94,AE102)),$AQ$94,""),""),IF(ISERROR(SEARCH($AQ$95,AE102)),$AQ$95,""),""),IF(ISERROR(SEARCH($AQ$96,AE102)),$AQ$96,""),""),IF(ISERROR(SEARCH($AQ$97,AE102)),$AQ$97,""),""),IF(ISERROR(SEARCH($AQ$98,AE102)),$AQ$98,""),""),IF(ISERROR(SEARCH($AQ$99,AE102)),$AQ$99,""),""),IF(ISERROR(SEARCH($AQ$100,AE102)),$AQ$100,""),""),IF(ISERROR(SEARCH($AQ$101,AE102)),$AQ$101,""),""),IF(ISERROR(SEARCH($AQ$102,AE102)),$AQ$102,""),""),IF(ISERROR(SEARCH($AQ$103,AE102)),$AQ$103,""),""),IF(ISERROR(SEARCH($AQ$104,AE102)),$AQ$104,""),"")</f>
        <v/>
      </c>
      <c r="AJ102" s="1269"/>
      <c r="AK102" s="876" t="str">
        <f ca="1">AG102&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102)),$AQ$73,""),""),IF(ISNUMBER(SEARCH($AQ$74,AC102)),$AQ$74,""),""),IF(ISNUMBER(SEARCH($AQ$75,AC102)),$AQ$75,""),""),IF(ISNUMBER(SEARCH($AQ$76,AC102)),$AQ$76,""),""),IF(ISNUMBER(SEARCH($AQ$77,AC102)),$AQ$77,""),""),IF(ISNUMBER(SEARCH($AQ$78,AC102)),$AQ$78,""),""),IF(ISNUMBER(SEARCH($AQ$79,AC102)),$AQ$79,""),""),IF(ISNUMBER(SEARCH($AQ$80,AC102)),$AQ$80,""),""),IF(ISNUMBER(SEARCH($AQ$81,AC102)),$AQ$81,""),""),IF(ISNUMBER(SEARCH($AQ$82,AC102)),$AQ$82,""),""),IF(ISNUMBER(SEARCH($AQ$83,AC102)),$AQ$83,""),""),IF(ISNUMBER(SEARCH($AQ$84,AC102)),$AQ$84,""),""),IF(ISNUMBER(SEARCH($AQ$85,AC102)),$AQ$85,""),""),IF(ISNUMBER(SEARCH($AQ$86,AC102)),$AQ$86,""),""),IF(ISNUMBER(SEARCH($AQ$87,AC102)),$AQ$87,""),""),IF(ISNUMBER(SEARCH($AQ$88,AC102)),$AQ$88,""),""),IF(ISNUMBER(SEARCH($AQ$89,AC102)),$AQ$89,""),""),IF(ISNUMBER(SEARCH($AQ$90,AC102)),$AQ$90,""),""),IF(ISNUMBER(SEARCH($AQ$91,AC102)),$AQ$91,""),""),IF(ISNUMBER(SEARCH($AQ$92,AC102)),$AQ$92,""),""),IF(ISNUMBER(SEARCH($AQ$93,AC102)),$AQ$93,""),""),IF(ISNUMBER(SEARCH($AQ$94,AC102)),$AQ$94,""),""),IF(ISNUMBER(SEARCH($AQ$95,AC102)),$AQ$95,""),""),IF(ISNUMBER(SEARCH($AQ$96,AC102)),$AQ$96,""),""),IF(ISNUMBER(SEARCH($AQ$97,AC102)),$AQ$97,""),""),IF(ISNUMBER(SEARCH($AQ$98,AC102)),$AQ$98,""),""),IF(ISNUMBER(SEARCH($AQ$99,AC102)),$AQ$99,""),""),IF(ISNUMBER(SEARCH($AQ$100,AC102)),$AQ$100,""),""),IF(ISNUMBER(SEARCH($AQ$101,AC102)),$AQ$101,""),""),IF(ISNUMBER(SEARCH($AQ$102,AC102)),$AQ$102,""),""),IF(ISNUMBER(SEARCH($AQ$103,AC102)),$AQ$103,""),""),IF(ISNUMBER(SEARCH($AQ$104,AC102)),$AQ$104,""),"")</f>
        <v>B3B1F4D1B2F3F1A2D2C1C4C2C3E3F2B4D3E4E1D4A1A3E2A4</v>
      </c>
      <c r="AL102" s="876" t="str">
        <f ca="1">AI102&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E102)),$AQ$73,""),""),IF(ISNUMBER(SEARCH($AQ$74,AE102)),$AQ$74,""),""),IF(ISNUMBER(SEARCH($AQ$75,AE102)),$AQ$75,""),""),IF(ISNUMBER(SEARCH($AQ$76,AE102)),$AQ$76,""),""),IF(ISNUMBER(SEARCH($AQ$77,AE102)),$AQ$77,""),""),IF(ISNUMBER(SEARCH($AQ$78,AE102)),$AQ$78,""),""),IF(ISNUMBER(SEARCH($AQ$79,AE102)),$AQ$79,""),""),IF(ISNUMBER(SEARCH($AQ$80,AE102)),$AQ$80,""),""),IF(ISNUMBER(SEARCH($AQ$81,AE102)),$AQ$81,""),""),IF(ISNUMBER(SEARCH($AQ$82,AE102)),$AQ$82,""),""),IF(ISNUMBER(SEARCH($AQ$83,AE102)),$AQ$83,""),""),IF(ISNUMBER(SEARCH($AQ$84,AE102)),$AQ$84,""),""),IF(ISNUMBER(SEARCH($AQ$85,AE102)),$AQ$85,""),""),IF(ISNUMBER(SEARCH($AQ$86,AE102)),$AQ$86,""),""),IF(ISNUMBER(SEARCH($AQ$87,AE102)),$AQ$87,""),""),IF(ISNUMBER(SEARCH($AQ$88,AE102)),$AQ$88,""),""),IF(ISNUMBER(SEARCH($AQ$89,AE102)),$AQ$89,""),""),IF(ISNUMBER(SEARCH($AQ$90,AE102)),$AQ$90,""),""),IF(ISNUMBER(SEARCH($AQ$91,AE102)),$AQ$91,""),""),IF(ISNUMBER(SEARCH($AQ$92,AE102)),$AQ$92,""),""),IF(ISNUMBER(SEARCH($AQ$93,AE102)),$AQ$93,""),""),IF(ISNUMBER(SEARCH($AQ$94,AE102)),$AQ$94,""),""),IF(ISNUMBER(SEARCH($AQ$95,AE102)),$AQ$95,""),""),IF(ISNUMBER(SEARCH($AQ$96,AE102)),$AQ$96,""),""),IF(ISNUMBER(SEARCH($AQ$97,AE102)),$AQ$97,""),""),IF(ISNUMBER(SEARCH($AQ$98,AE102)),$AQ$98,""),""),IF(ISNUMBER(SEARCH($AQ$99,AE102)),$AQ$99,""),""),IF(ISNUMBER(SEARCH($AQ$100,AE102)),$AQ$100,""),""),IF(ISNUMBER(SEARCH($AQ$101,AE102)),$AQ$101,""),""),IF(ISNUMBER(SEARCH($AQ$102,AE102)),$AQ$102,""),""),IF(ISNUMBER(SEARCH($AQ$103,AE102)),$AQ$103,""),""),IF(ISNUMBER(SEARCH($AQ$104,AE102)),$AQ$104,""),"")</f>
        <v>B3B1F4D1B2F3F1A2D2C1C4C2C3E3F2B4D3E4E1D4A1A3E2A4</v>
      </c>
      <c r="AM102" s="1271" t="str">
        <f ca="1">IF(AG102="","",IF(LEN(AG102)&gt;=2,VLOOKUP(LEFT(AG102,2),Voorblad!$X$67:$Y$98,2)&amp;IF(LEN(AG102)&gt;=4," / "&amp;VLOOKUP(RIGHT(LEFT(AG102,4),2),Voorblad!$X$67:$Y$98,2),""),""))</f>
        <v/>
      </c>
      <c r="AN102" s="1271"/>
      <c r="AO102" s="874" t="str">
        <f ca="1">IF(AI102="","",IF(LEN(AI102)&gt;=2,VLOOKUP(LEFT(AI102,2),Voorblad!$X$67:$Y$98,2)&amp;IF(LEN(AI102)&gt;=4," / "&amp;VLOOKUP(RIGHT(LEFT(AI102,4),2),Voorblad!$X$67:$Y$98,2),""),""))</f>
        <v/>
      </c>
      <c r="AP102" s="408"/>
      <c r="AQ102" s="865" t="str">
        <f ca="1">Voorblad!AA96</f>
        <v>H2</v>
      </c>
      <c r="AR102" s="866"/>
      <c r="AS102" s="841"/>
      <c r="AT102" s="842"/>
      <c r="AU102" s="841"/>
      <c r="AV102" s="842"/>
      <c r="AW102" s="841"/>
      <c r="AX102" s="842"/>
      <c r="AY102" s="841"/>
      <c r="AZ102" s="842"/>
      <c r="BA102" s="844">
        <f t="shared" si="27"/>
        <v>60</v>
      </c>
    </row>
    <row r="103" spans="2:53" x14ac:dyDescent="0.3">
      <c r="B103" s="462"/>
      <c r="C103" s="462"/>
      <c r="D103" s="462"/>
      <c r="E103" s="462"/>
      <c r="AB103" s="875">
        <f>D48</f>
        <v>50</v>
      </c>
      <c r="AC103" s="1268" t="str">
        <f>AG43</f>
        <v/>
      </c>
      <c r="AD103" s="1268"/>
      <c r="AE103" s="1268" t="str">
        <f>AG41</f>
        <v/>
      </c>
      <c r="AF103" s="1268"/>
      <c r="AG103" s="1268"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103)),$AQ$73,""),""),IF(ISERROR(SEARCH($AQ$74,AC103)),$AQ$74,""),""),IF(ISERROR(SEARCH($AQ$75,AC103)),$AQ$75,""),""),IF(ISERROR(SEARCH($AQ$76,AC103)),$AQ$76,""),""),IF(ISERROR(SEARCH($AQ$77,AC103)),$AQ$77,""),""),IF(ISERROR(SEARCH($AQ$78,AC103)),$AQ$78,""),""),IF(ISERROR(SEARCH($AQ$79,AC103)),$AQ$79,""),""),IF(ISERROR(SEARCH($AQ$80,AC103)),$AQ$80,""),""),IF(ISERROR(SEARCH($AQ$81,AC103)),$AQ$81,""),""),IF(ISERROR(SEARCH($AQ$82,AC103)),$AQ$82,""),""),IF(ISERROR(SEARCH($AQ$83,AC103)),$AQ$83,""),""),IF(ISERROR(SEARCH($AQ$84,AC103)),$AQ$84,""),""),IF(ISERROR(SEARCH($AQ$85,AC103)),$AQ$85,""),""),IF(ISERROR(SEARCH($AQ$86,AC103)),$AQ$86,""),""),IF(ISERROR(SEARCH($AQ$87,AC103)),$AQ$87,""),""),IF(ISERROR(SEARCH($AQ$88,AC103)),$AQ$88,""),""),IF(ISERROR(SEARCH($AQ$89,AC103)),$AQ$89,""),""),IF(ISERROR(SEARCH($AQ$90,AC103)),$AQ$90,""),""),IF(ISERROR(SEARCH($AQ$91,AC103)),$AQ$91,""),""),IF(ISERROR(SEARCH($AQ$92,AC103)),$AQ$92,""),""),IF(ISERROR(SEARCH($AQ$93,AC103)),$AQ$93,""),""),IF(ISERROR(SEARCH($AQ$94,AC103)),$AQ$94,""),""),IF(ISERROR(SEARCH($AQ$95,AC103)),$AQ$95,""),""),IF(ISERROR(SEARCH($AQ$96,AC103)),$AQ$96,""),""),IF(ISERROR(SEARCH($AQ$97,AC103)),$AQ$97,""),""),IF(ISERROR(SEARCH($AQ$98,AC103)),$AQ$98,""),""),IF(ISERROR(SEARCH($AQ$99,AC103)),$AQ$99,""),""),IF(ISERROR(SEARCH($AQ$100,AC103)),$AQ$100,""),""),IF(ISERROR(SEARCH($AQ$101,AC103)),$AQ$101,""),""),IF(ISERROR(SEARCH($AQ$102,AC103)),$AQ$102,""),""),IF(ISERROR(SEARCH($AQ$103,AC103)),$AQ$103,""),""),IF(ISERROR(SEARCH($AQ$104,AC103)),$AQ$104,""),"")</f>
        <v/>
      </c>
      <c r="AH103" s="1268"/>
      <c r="AI103" s="1268"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103)),$AQ$73,""),""),IF(ISERROR(SEARCH($AQ$74,AE103)),$AQ$74,""),""),IF(ISERROR(SEARCH($AQ$75,AE103)),$AQ$75,""),""),IF(ISERROR(SEARCH($AQ$76,AE103)),$AQ$76,""),""),IF(ISERROR(SEARCH($AQ$77,AE103)),$AQ$77,""),""),IF(ISERROR(SEARCH($AQ$78,AE103)),$AQ$78,""),""),IF(ISERROR(SEARCH($AQ$79,AE103)),$AQ$79,""),""),IF(ISERROR(SEARCH($AQ$80,AE103)),$AQ$80,""),""),IF(ISERROR(SEARCH($AQ$81,AE103)),$AQ$81,""),""),IF(ISERROR(SEARCH($AQ$82,AE103)),$AQ$82,""),""),IF(ISERROR(SEARCH($AQ$83,AE103)),$AQ$83,""),""),IF(ISERROR(SEARCH($AQ$84,AE103)),$AQ$84,""),""),IF(ISERROR(SEARCH($AQ$85,AE103)),$AQ$85,""),""),IF(ISERROR(SEARCH($AQ$86,AE103)),$AQ$86,""),""),IF(ISERROR(SEARCH($AQ$87,AE103)),$AQ$87,""),""),IF(ISERROR(SEARCH($AQ$88,AE103)),$AQ$88,""),""),IF(ISERROR(SEARCH($AQ$89,AE103)),$AQ$89,""),""),IF(ISERROR(SEARCH($AQ$90,AE103)),$AQ$90,""),""),IF(ISERROR(SEARCH($AQ$91,AE103)),$AQ$91,""),""),IF(ISERROR(SEARCH($AQ$92,AE103)),$AQ$92,""),""),IF(ISERROR(SEARCH($AQ$93,AE103)),$AQ$93,""),""),IF(ISERROR(SEARCH($AQ$94,AE103)),$AQ$94,""),""),IF(ISERROR(SEARCH($AQ$95,AE103)),$AQ$95,""),""),IF(ISERROR(SEARCH($AQ$96,AE103)),$AQ$96,""),""),IF(ISERROR(SEARCH($AQ$97,AE103)),$AQ$97,""),""),IF(ISERROR(SEARCH($AQ$98,AE103)),$AQ$98,""),""),IF(ISERROR(SEARCH($AQ$99,AE103)),$AQ$99,""),""),IF(ISERROR(SEARCH($AQ$100,AE103)),$AQ$100,""),""),IF(ISERROR(SEARCH($AQ$101,AE103)),$AQ$101,""),""),IF(ISERROR(SEARCH($AQ$102,AE103)),$AQ$102,""),""),IF(ISERROR(SEARCH($AQ$103,AE103)),$AQ$103,""),""),IF(ISERROR(SEARCH($AQ$104,AE103)),$AQ$104,""),"")</f>
        <v/>
      </c>
      <c r="AJ103" s="1268"/>
      <c r="AK103" s="877" t="str">
        <f ca="1">AG103&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103)),$AQ$73,""),""),IF(ISNUMBER(SEARCH($AQ$74,AC103)),$AQ$74,""),""),IF(ISNUMBER(SEARCH($AQ$75,AC103)),$AQ$75,""),""),IF(ISNUMBER(SEARCH($AQ$76,AC103)),$AQ$76,""),""),IF(ISNUMBER(SEARCH($AQ$77,AC103)),$AQ$77,""),""),IF(ISNUMBER(SEARCH($AQ$78,AC103)),$AQ$78,""),""),IF(ISNUMBER(SEARCH($AQ$79,AC103)),$AQ$79,""),""),IF(ISNUMBER(SEARCH($AQ$80,AC103)),$AQ$80,""),""),IF(ISNUMBER(SEARCH($AQ$81,AC103)),$AQ$81,""),""),IF(ISNUMBER(SEARCH($AQ$82,AC103)),$AQ$82,""),""),IF(ISNUMBER(SEARCH($AQ$83,AC103)),$AQ$83,""),""),IF(ISNUMBER(SEARCH($AQ$84,AC103)),$AQ$84,""),""),IF(ISNUMBER(SEARCH($AQ$85,AC103)),$AQ$85,""),""),IF(ISNUMBER(SEARCH($AQ$86,AC103)),$AQ$86,""),""),IF(ISNUMBER(SEARCH($AQ$87,AC103)),$AQ$87,""),""),IF(ISNUMBER(SEARCH($AQ$88,AC103)),$AQ$88,""),""),IF(ISNUMBER(SEARCH($AQ$89,AC103)),$AQ$89,""),""),IF(ISNUMBER(SEARCH($AQ$90,AC103)),$AQ$90,""),""),IF(ISNUMBER(SEARCH($AQ$91,AC103)),$AQ$91,""),""),IF(ISNUMBER(SEARCH($AQ$92,AC103)),$AQ$92,""),""),IF(ISNUMBER(SEARCH($AQ$93,AC103)),$AQ$93,""),""),IF(ISNUMBER(SEARCH($AQ$94,AC103)),$AQ$94,""),""),IF(ISNUMBER(SEARCH($AQ$95,AC103)),$AQ$95,""),""),IF(ISNUMBER(SEARCH($AQ$96,AC103)),$AQ$96,""),""),IF(ISNUMBER(SEARCH($AQ$97,AC103)),$AQ$97,""),""),IF(ISNUMBER(SEARCH($AQ$98,AC103)),$AQ$98,""),""),IF(ISNUMBER(SEARCH($AQ$99,AC103)),$AQ$99,""),""),IF(ISNUMBER(SEARCH($AQ$100,AC103)),$AQ$100,""),""),IF(ISNUMBER(SEARCH($AQ$101,AC103)),$AQ$101,""),""),IF(ISNUMBER(SEARCH($AQ$102,AC103)),$AQ$102,""),""),IF(ISNUMBER(SEARCH($AQ$103,AC103)),$AQ$103,""),""),IF(ISNUMBER(SEARCH($AQ$104,AC103)),$AQ$104,""),"")</f>
        <v>B3B1F4D1B2F3F1A2D2C1C4C2C3E3F2B4D3E4E1D4A1A3E2A4</v>
      </c>
      <c r="AL103" s="877" t="str">
        <f ca="1">AI103&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E103)),$AQ$73,""),""),IF(ISNUMBER(SEARCH($AQ$74,AE103)),$AQ$74,""),""),IF(ISNUMBER(SEARCH($AQ$75,AE103)),$AQ$75,""),""),IF(ISNUMBER(SEARCH($AQ$76,AE103)),$AQ$76,""),""),IF(ISNUMBER(SEARCH($AQ$77,AE103)),$AQ$77,""),""),IF(ISNUMBER(SEARCH($AQ$78,AE103)),$AQ$78,""),""),IF(ISNUMBER(SEARCH($AQ$79,AE103)),$AQ$79,""),""),IF(ISNUMBER(SEARCH($AQ$80,AE103)),$AQ$80,""),""),IF(ISNUMBER(SEARCH($AQ$81,AE103)),$AQ$81,""),""),IF(ISNUMBER(SEARCH($AQ$82,AE103)),$AQ$82,""),""),IF(ISNUMBER(SEARCH($AQ$83,AE103)),$AQ$83,""),""),IF(ISNUMBER(SEARCH($AQ$84,AE103)),$AQ$84,""),""),IF(ISNUMBER(SEARCH($AQ$85,AE103)),$AQ$85,""),""),IF(ISNUMBER(SEARCH($AQ$86,AE103)),$AQ$86,""),""),IF(ISNUMBER(SEARCH($AQ$87,AE103)),$AQ$87,""),""),IF(ISNUMBER(SEARCH($AQ$88,AE103)),$AQ$88,""),""),IF(ISNUMBER(SEARCH($AQ$89,AE103)),$AQ$89,""),""),IF(ISNUMBER(SEARCH($AQ$90,AE103)),$AQ$90,""),""),IF(ISNUMBER(SEARCH($AQ$91,AE103)),$AQ$91,""),""),IF(ISNUMBER(SEARCH($AQ$92,AE103)),$AQ$92,""),""),IF(ISNUMBER(SEARCH($AQ$93,AE103)),$AQ$93,""),""),IF(ISNUMBER(SEARCH($AQ$94,AE103)),$AQ$94,""),""),IF(ISNUMBER(SEARCH($AQ$95,AE103)),$AQ$95,""),""),IF(ISNUMBER(SEARCH($AQ$96,AE103)),$AQ$96,""),""),IF(ISNUMBER(SEARCH($AQ$97,AE103)),$AQ$97,""),""),IF(ISNUMBER(SEARCH($AQ$98,AE103)),$AQ$98,""),""),IF(ISNUMBER(SEARCH($AQ$99,AE103)),$AQ$99,""),""),IF(ISNUMBER(SEARCH($AQ$100,AE103)),$AQ$100,""),""),IF(ISNUMBER(SEARCH($AQ$101,AE103)),$AQ$101,""),""),IF(ISNUMBER(SEARCH($AQ$102,AE103)),$AQ$102,""),""),IF(ISNUMBER(SEARCH($AQ$103,AE103)),$AQ$103,""),""),IF(ISNUMBER(SEARCH($AQ$104,AE103)),$AQ$104,""),"")</f>
        <v>B3B1F4D1B2F3F1A2D2C1C4C2C3E3F2B4D3E4E1D4A1A3E2A4</v>
      </c>
      <c r="AM103" s="1275" t="str">
        <f ca="1">IF(AG103="","",IF(LEN(AG103)&gt;=2,VLOOKUP(LEFT(AG103,2),Voorblad!$X$67:$Y$98,2)&amp;IF(LEN(AG103)&gt;=4," / "&amp;VLOOKUP(RIGHT(LEFT(AG103,4),2),Voorblad!$X$67:$Y$98,2),""),""))</f>
        <v/>
      </c>
      <c r="AN103" s="1275"/>
      <c r="AO103" s="875" t="str">
        <f ca="1">IF(AI103="","",IF(LEN(AI103)&gt;=2,VLOOKUP(LEFT(AI103,2),Voorblad!$X$67:$Y$98,2)&amp;IF(LEN(AI103)&gt;=4," / "&amp;VLOOKUP(RIGHT(LEFT(AI103,4),2),Voorblad!$X$67:$Y$98,2),""),""))</f>
        <v/>
      </c>
      <c r="AP103" s="408"/>
      <c r="AQ103" s="865" t="str">
        <f ca="1">Voorblad!AA97</f>
        <v>H3</v>
      </c>
      <c r="AR103" s="866"/>
      <c r="AS103" s="841"/>
      <c r="AT103" s="842"/>
      <c r="AU103" s="841"/>
      <c r="AV103" s="842"/>
      <c r="AW103" s="841"/>
      <c r="AX103" s="842"/>
      <c r="AY103" s="841"/>
      <c r="AZ103" s="842"/>
      <c r="BA103" s="844">
        <f t="shared" si="27"/>
        <v>62</v>
      </c>
    </row>
    <row r="104" spans="2:53" x14ac:dyDescent="0.3">
      <c r="B104" s="462"/>
      <c r="C104" s="462"/>
      <c r="D104" s="462"/>
      <c r="E104" s="462"/>
      <c r="AB104" s="339"/>
      <c r="AC104" s="339"/>
      <c r="AD104" s="339"/>
      <c r="AE104" s="339"/>
      <c r="AF104" s="339"/>
      <c r="AG104" s="339"/>
      <c r="AH104" s="339"/>
      <c r="AI104" s="339"/>
      <c r="AJ104" s="339"/>
      <c r="AK104" s="339"/>
      <c r="AL104" s="339"/>
      <c r="AM104" s="339"/>
      <c r="AN104" s="339"/>
      <c r="AO104" s="339"/>
      <c r="AP104" s="408"/>
      <c r="AQ104" s="867" t="str">
        <f ca="1">Voorblad!AA98</f>
        <v>H4</v>
      </c>
      <c r="AR104" s="868"/>
      <c r="AS104" s="845"/>
      <c r="AT104" s="846"/>
      <c r="AU104" s="845"/>
      <c r="AV104" s="846"/>
      <c r="AW104" s="845"/>
      <c r="AX104" s="846"/>
      <c r="AY104" s="845"/>
      <c r="AZ104" s="846"/>
      <c r="BA104" s="847">
        <f t="shared" si="27"/>
        <v>64</v>
      </c>
    </row>
    <row r="105" spans="2:53" ht="15.6" x14ac:dyDescent="0.3">
      <c r="D105" s="462"/>
      <c r="E105" s="462"/>
      <c r="AB105" s="879" t="str">
        <f>$AB$85</f>
        <v>nr.</v>
      </c>
      <c r="AC105" s="1272" t="str">
        <f>$AC$85</f>
        <v>suggestie - thuis</v>
      </c>
      <c r="AD105" s="1272"/>
      <c r="AE105" s="1272" t="str">
        <f>$AE$85</f>
        <v>suggestie - uit</v>
      </c>
      <c r="AF105" s="1272"/>
      <c r="AG105" s="1272" t="str">
        <f>$AG$85</f>
        <v>thuis code</v>
      </c>
      <c r="AH105" s="1272"/>
      <c r="AI105" s="1272" t="str">
        <f>$AG$85</f>
        <v>thuis code</v>
      </c>
      <c r="AJ105" s="1272"/>
      <c r="AK105" s="879" t="str">
        <f>$AK$85</f>
        <v>thuis menu</v>
      </c>
      <c r="AL105" s="879" t="str">
        <f>$AL$85</f>
        <v>uit menu</v>
      </c>
      <c r="AM105" s="1253" t="str">
        <f>$AM$85</f>
        <v>thuis (landen)</v>
      </c>
      <c r="AN105" s="1253"/>
      <c r="AO105" s="880" t="str">
        <f>$AO$85</f>
        <v>uit (landen)</v>
      </c>
      <c r="AP105" s="408"/>
      <c r="AQ105" s="882"/>
      <c r="AR105" s="883" t="s">
        <v>1039</v>
      </c>
      <c r="AS105" s="848"/>
      <c r="AT105" s="849" t="s">
        <v>1039</v>
      </c>
      <c r="AU105" s="848"/>
      <c r="AV105" s="849" t="s">
        <v>1039</v>
      </c>
      <c r="AW105" s="854"/>
      <c r="AX105" s="855" t="s">
        <v>1039</v>
      </c>
      <c r="AY105" s="854"/>
      <c r="AZ105" s="855" t="s">
        <v>1039</v>
      </c>
      <c r="BA105" s="856"/>
    </row>
    <row r="106" spans="2:53" x14ac:dyDescent="0.3">
      <c r="D106" s="462"/>
      <c r="E106" s="462"/>
      <c r="AB106" s="874">
        <f>D52</f>
        <v>51</v>
      </c>
      <c r="AC106" s="1269" t="str">
        <f>AG48</f>
        <v/>
      </c>
      <c r="AD106" s="1269"/>
      <c r="AE106" s="1269" t="str">
        <f>AG50</f>
        <v/>
      </c>
      <c r="AF106" s="1269"/>
      <c r="AG106"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106)),$AQ$73,""),""),IF(ISERROR(SEARCH($AQ$74,AC106)),$AQ$74,""),""),IF(ISERROR(SEARCH($AQ$75,AC106)),$AQ$75,""),""),IF(ISERROR(SEARCH($AQ$76,AC106)),$AQ$76,""),""),IF(ISERROR(SEARCH($AQ$77,AC106)),$AQ$77,""),""),IF(ISERROR(SEARCH($AQ$78,AC106)),$AQ$78,""),""),IF(ISERROR(SEARCH($AQ$79,AC106)),$AQ$79,""),""),IF(ISERROR(SEARCH($AQ$80,AC106)),$AQ$80,""),""),IF(ISERROR(SEARCH($AQ$81,AC106)),$AQ$81,""),""),IF(ISERROR(SEARCH($AQ$82,AC106)),$AQ$82,""),""),IF(ISERROR(SEARCH($AQ$83,AC106)),$AQ$83,""),""),IF(ISERROR(SEARCH($AQ$84,AC106)),$AQ$84,""),""),IF(ISERROR(SEARCH($AQ$85,AC106)),$AQ$85,""),""),IF(ISERROR(SEARCH($AQ$86,AC106)),$AQ$86,""),""),IF(ISERROR(SEARCH($AQ$87,AC106)),$AQ$87,""),""),IF(ISERROR(SEARCH($AQ$88,AC106)),$AQ$88,""),""),IF(ISERROR(SEARCH($AQ$89,AC106)),$AQ$89,""),""),IF(ISERROR(SEARCH($AQ$90,AC106)),$AQ$90,""),""),IF(ISERROR(SEARCH($AQ$91,AC106)),$AQ$91,""),""),IF(ISERROR(SEARCH($AQ$92,AC106)),$AQ$92,""),""),IF(ISERROR(SEARCH($AQ$93,AC106)),$AQ$93,""),""),IF(ISERROR(SEARCH($AQ$94,AC106)),$AQ$94,""),""),IF(ISERROR(SEARCH($AQ$95,AC106)),$AQ$95,""),""),IF(ISERROR(SEARCH($AQ$96,AC106)),$AQ$96,""),""),IF(ISERROR(SEARCH($AQ$97,AC106)),$AQ$97,""),""),IF(ISERROR(SEARCH($AQ$98,AC106)),$AQ$98,""),""),IF(ISERROR(SEARCH($AQ$99,AC106)),$AQ$99,""),""),IF(ISERROR(SEARCH($AQ$100,AC106)),$AQ$100,""),""),IF(ISERROR(SEARCH($AQ$101,AC106)),$AQ$101,""),""),IF(ISERROR(SEARCH($AQ$102,AC106)),$AQ$102,""),""),IF(ISERROR(SEARCH($AQ$103,AC106)),$AQ$103,""),""),IF(ISERROR(SEARCH($AQ$104,AC106)),$AQ$104,""),"")</f>
        <v/>
      </c>
      <c r="AH106" s="1269"/>
      <c r="AI106"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106)),$AQ$73,""),""),IF(ISERROR(SEARCH($AQ$74,AE106)),$AQ$74,""),""),IF(ISERROR(SEARCH($AQ$75,AE106)),$AQ$75,""),""),IF(ISERROR(SEARCH($AQ$76,AE106)),$AQ$76,""),""),IF(ISERROR(SEARCH($AQ$77,AE106)),$AQ$77,""),""),IF(ISERROR(SEARCH($AQ$78,AE106)),$AQ$78,""),""),IF(ISERROR(SEARCH($AQ$79,AE106)),$AQ$79,""),""),IF(ISERROR(SEARCH($AQ$80,AE106)),$AQ$80,""),""),IF(ISERROR(SEARCH($AQ$81,AE106)),$AQ$81,""),""),IF(ISERROR(SEARCH($AQ$82,AE106)),$AQ$82,""),""),IF(ISERROR(SEARCH($AQ$83,AE106)),$AQ$83,""),""),IF(ISERROR(SEARCH($AQ$84,AE106)),$AQ$84,""),""),IF(ISERROR(SEARCH($AQ$85,AE106)),$AQ$85,""),""),IF(ISERROR(SEARCH($AQ$86,AE106)),$AQ$86,""),""),IF(ISERROR(SEARCH($AQ$87,AE106)),$AQ$87,""),""),IF(ISERROR(SEARCH($AQ$88,AE106)),$AQ$88,""),""),IF(ISERROR(SEARCH($AQ$89,AE106)),$AQ$89,""),""),IF(ISERROR(SEARCH($AQ$90,AE106)),$AQ$90,""),""),IF(ISERROR(SEARCH($AQ$91,AE106)),$AQ$91,""),""),IF(ISERROR(SEARCH($AQ$92,AE106)),$AQ$92,""),""),IF(ISERROR(SEARCH($AQ$93,AE106)),$AQ$93,""),""),IF(ISERROR(SEARCH($AQ$94,AE106)),$AQ$94,""),""),IF(ISERROR(SEARCH($AQ$95,AE106)),$AQ$95,""),""),IF(ISERROR(SEARCH($AQ$96,AE106)),$AQ$96,""),""),IF(ISERROR(SEARCH($AQ$97,AE106)),$AQ$97,""),""),IF(ISERROR(SEARCH($AQ$98,AE106)),$AQ$98,""),""),IF(ISERROR(SEARCH($AQ$99,AE106)),$AQ$99,""),""),IF(ISERROR(SEARCH($AQ$100,AE106)),$AQ$100,""),""),IF(ISERROR(SEARCH($AQ$101,AE106)),$AQ$101,""),""),IF(ISERROR(SEARCH($AQ$102,AE106)),$AQ$102,""),""),IF(ISERROR(SEARCH($AQ$103,AE106)),$AQ$103,""),""),IF(ISERROR(SEARCH($AQ$104,AE106)),$AQ$104,""),"")</f>
        <v/>
      </c>
      <c r="AJ106" s="1269"/>
      <c r="AK106" s="876" t="str">
        <f ca="1">AG106&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106)),$AQ$73,""),""),IF(ISNUMBER(SEARCH($AQ$74,AC106)),$AQ$74,""),""),IF(ISNUMBER(SEARCH($AQ$75,AC106)),$AQ$75,""),""),IF(ISNUMBER(SEARCH($AQ$76,AC106)),$AQ$76,""),""),IF(ISNUMBER(SEARCH($AQ$77,AC106)),$AQ$77,""),""),IF(ISNUMBER(SEARCH($AQ$78,AC106)),$AQ$78,""),""),IF(ISNUMBER(SEARCH($AQ$79,AC106)),$AQ$79,""),""),IF(ISNUMBER(SEARCH($AQ$80,AC106)),$AQ$80,""),""),IF(ISNUMBER(SEARCH($AQ$81,AC106)),$AQ$81,""),""),IF(ISNUMBER(SEARCH($AQ$82,AC106)),$AQ$82,""),""),IF(ISNUMBER(SEARCH($AQ$83,AC106)),$AQ$83,""),""),IF(ISNUMBER(SEARCH($AQ$84,AC106)),$AQ$84,""),""),IF(ISNUMBER(SEARCH($AQ$85,AC106)),$AQ$85,""),""),IF(ISNUMBER(SEARCH($AQ$86,AC106)),$AQ$86,""),""),IF(ISNUMBER(SEARCH($AQ$87,AC106)),$AQ$87,""),""),IF(ISNUMBER(SEARCH($AQ$88,AC106)),$AQ$88,""),""),IF(ISNUMBER(SEARCH($AQ$89,AC106)),$AQ$89,""),""),IF(ISNUMBER(SEARCH($AQ$90,AC106)),$AQ$90,""),""),IF(ISNUMBER(SEARCH($AQ$91,AC106)),$AQ$91,""),""),IF(ISNUMBER(SEARCH($AQ$92,AC106)),$AQ$92,""),""),IF(ISNUMBER(SEARCH($AQ$93,AC106)),$AQ$93,""),""),IF(ISNUMBER(SEARCH($AQ$94,AC106)),$AQ$94,""),""),IF(ISNUMBER(SEARCH($AQ$95,AC106)),$AQ$95,""),""),IF(ISNUMBER(SEARCH($AQ$96,AC106)),$AQ$96,""),""),IF(ISNUMBER(SEARCH($AQ$97,AC106)),$AQ$97,""),""),IF(ISNUMBER(SEARCH($AQ$98,AC106)),$AQ$98,""),""),IF(ISNUMBER(SEARCH($AQ$99,AC106)),$AQ$99,""),""),IF(ISNUMBER(SEARCH($AQ$100,AC106)),$AQ$100,""),""),IF(ISNUMBER(SEARCH($AQ$101,AC106)),$AQ$101,""),""),IF(ISNUMBER(SEARCH($AQ$102,AC106)),$AQ$102,""),""),IF(ISNUMBER(SEARCH($AQ$103,AC106)),$AQ$103,""),""),IF(ISNUMBER(SEARCH($AQ$104,AC106)),$AQ$104,""),"")</f>
        <v>B3B1F4D1B2F3F1A2D2C1C4C2C3E3F2B4D3E4E1D4A1A3E2A4</v>
      </c>
      <c r="AL106" s="876" t="str">
        <f ca="1">AI106&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E106)),$AQ$73,""),""),IF(ISNUMBER(SEARCH($AQ$74,AE106)),$AQ$74,""),""),IF(ISNUMBER(SEARCH($AQ$75,AE106)),$AQ$75,""),""),IF(ISNUMBER(SEARCH($AQ$76,AE106)),$AQ$76,""),""),IF(ISNUMBER(SEARCH($AQ$77,AE106)),$AQ$77,""),""),IF(ISNUMBER(SEARCH($AQ$78,AE106)),$AQ$78,""),""),IF(ISNUMBER(SEARCH($AQ$79,AE106)),$AQ$79,""),""),IF(ISNUMBER(SEARCH($AQ$80,AE106)),$AQ$80,""),""),IF(ISNUMBER(SEARCH($AQ$81,AE106)),$AQ$81,""),""),IF(ISNUMBER(SEARCH($AQ$82,AE106)),$AQ$82,""),""),IF(ISNUMBER(SEARCH($AQ$83,AE106)),$AQ$83,""),""),IF(ISNUMBER(SEARCH($AQ$84,AE106)),$AQ$84,""),""),IF(ISNUMBER(SEARCH($AQ$85,AE106)),$AQ$85,""),""),IF(ISNUMBER(SEARCH($AQ$86,AE106)),$AQ$86,""),""),IF(ISNUMBER(SEARCH($AQ$87,AE106)),$AQ$87,""),""),IF(ISNUMBER(SEARCH($AQ$88,AE106)),$AQ$88,""),""),IF(ISNUMBER(SEARCH($AQ$89,AE106)),$AQ$89,""),""),IF(ISNUMBER(SEARCH($AQ$90,AE106)),$AQ$90,""),""),IF(ISNUMBER(SEARCH($AQ$91,AE106)),$AQ$91,""),""),IF(ISNUMBER(SEARCH($AQ$92,AE106)),$AQ$92,""),""),IF(ISNUMBER(SEARCH($AQ$93,AE106)),$AQ$93,""),""),IF(ISNUMBER(SEARCH($AQ$94,AE106)),$AQ$94,""),""),IF(ISNUMBER(SEARCH($AQ$95,AE106)),$AQ$95,""),""),IF(ISNUMBER(SEARCH($AQ$96,AE106)),$AQ$96,""),""),IF(ISNUMBER(SEARCH($AQ$97,AE106)),$AQ$97,""),""),IF(ISNUMBER(SEARCH($AQ$98,AE106)),$AQ$98,""),""),IF(ISNUMBER(SEARCH($AQ$99,AE106)),$AQ$99,""),""),IF(ISNUMBER(SEARCH($AQ$100,AE106)),$AQ$100,""),""),IF(ISNUMBER(SEARCH($AQ$101,AE106)),$AQ$101,""),""),IF(ISNUMBER(SEARCH($AQ$102,AE106)),$AQ$102,""),""),IF(ISNUMBER(SEARCH($AQ$103,AE106)),$AQ$103,""),""),IF(ISNUMBER(SEARCH($AQ$104,AE106)),$AQ$104,""),"")</f>
        <v>B3B1F4D1B2F3F1A2D2C1C4C2C3E3F2B4D3E4E1D4A1A3E2A4</v>
      </c>
      <c r="AM106" s="1271" t="str">
        <f ca="1">IF(AG106="","",IF(LEN(AG106)&gt;=2,VLOOKUP(LEFT(AG106,2),Voorblad!$X$67:$Y$98,2)&amp;IF(LEN(AG106)&gt;=4," / "&amp;VLOOKUP(RIGHT(LEFT(AG106,4),2),Voorblad!$X$67:$Y$98,2),""),""))</f>
        <v/>
      </c>
      <c r="AN106" s="1271"/>
      <c r="AO106" s="874" t="str">
        <f ca="1">IF(AI106="","",IF(LEN(AI106)&gt;=2,VLOOKUP(LEFT(AI106,2),Voorblad!$X$67:$Y$98,2)&amp;IF(LEN(AI106)&gt;=4," / "&amp;VLOOKUP(RIGHT(LEFT(AI106,4),2),Voorblad!$X$67:$Y$98,2),""),""))</f>
        <v/>
      </c>
      <c r="AP106" s="408"/>
      <c r="AQ106" s="884" t="str">
        <f ca="1">VLOOKUP(AR106,Voorblad!$X$67:$Z$98,2,FALSE)</f>
        <v>België</v>
      </c>
      <c r="AR106" s="885" t="str">
        <f ca="1">RIGHT(LEFT($AK$112,$BA106),2)</f>
        <v>B3</v>
      </c>
      <c r="AS106" s="850" t="str">
        <f ca="1">VLOOKUP(AT106,Voorblad!$X$67:$Z$98,2,FALSE)</f>
        <v>België</v>
      </c>
      <c r="AT106" s="851" t="str">
        <f ca="1">RIGHT(LEFT($AK$106,$BA106),2)</f>
        <v>B3</v>
      </c>
      <c r="AU106" s="850" t="str">
        <f ca="1">VLOOKUP(AV106,Voorblad!$X$67:$Z$98,2,FALSE)</f>
        <v>België</v>
      </c>
      <c r="AV106" s="851" t="str">
        <f ca="1">RIGHT(LEFT($AL$106,$BA106),2)</f>
        <v>B3</v>
      </c>
      <c r="AW106" s="857" t="str">
        <f ca="1">VLOOKUP(AX106,Voorblad!$X$67:$Z$98,2,FALSE)</f>
        <v>België</v>
      </c>
      <c r="AX106" s="858" t="str">
        <f ca="1">RIGHT(LEFT($AK$109,$BA106),2)</f>
        <v>B3</v>
      </c>
      <c r="AY106" s="857" t="str">
        <f ca="1">VLOOKUP(AZ106,Voorblad!$X$67:$Z$98,2,FALSE)</f>
        <v>België</v>
      </c>
      <c r="AZ106" s="858" t="str">
        <f ca="1">RIGHT(LEFT($AL$109,$BA106),2)</f>
        <v>B3</v>
      </c>
      <c r="BA106" s="859">
        <v>2</v>
      </c>
    </row>
    <row r="107" spans="2:53" x14ac:dyDescent="0.3">
      <c r="D107" s="462"/>
      <c r="E107" s="462"/>
      <c r="AB107" s="339"/>
      <c r="AC107" s="339"/>
      <c r="AD107" s="339"/>
      <c r="AE107" s="339"/>
      <c r="AF107" s="339"/>
      <c r="AG107" s="339"/>
      <c r="AH107" s="339"/>
      <c r="AI107" s="339"/>
      <c r="AJ107" s="339"/>
      <c r="AK107" s="339"/>
      <c r="AL107" s="339"/>
      <c r="AM107" s="339"/>
      <c r="AN107" s="339"/>
      <c r="AO107" s="339"/>
      <c r="AP107" s="408"/>
      <c r="AQ107" s="884" t="str">
        <f ca="1">VLOOKUP(AR107,Voorblad!$X$67:$Z$98,2,FALSE)</f>
        <v>Denemarken</v>
      </c>
      <c r="AR107" s="885" t="str">
        <f t="shared" ref="AR107:AR129" ca="1" si="31">RIGHT(LEFT($AK$112,$BA107),2)</f>
        <v>B1</v>
      </c>
      <c r="AS107" s="850" t="str">
        <f ca="1">VLOOKUP(AT107,Voorblad!$X$67:$Z$98,2,FALSE)</f>
        <v>Denemarken</v>
      </c>
      <c r="AT107" s="851" t="str">
        <f t="shared" ref="AT107:AT129" ca="1" si="32">RIGHT(LEFT($AK$106,$BA107),2)</f>
        <v>B1</v>
      </c>
      <c r="AU107" s="850" t="str">
        <f ca="1">VLOOKUP(AV107,Voorblad!$X$67:$Z$98,2,FALSE)</f>
        <v>Denemarken</v>
      </c>
      <c r="AV107" s="851" t="str">
        <f t="shared" ref="AV107:AV129" ca="1" si="33">RIGHT(LEFT($AL$106,$BA107),2)</f>
        <v>B1</v>
      </c>
      <c r="AW107" s="857" t="str">
        <f ca="1">VLOOKUP(AX107,Voorblad!$X$67:$Z$98,2,FALSE)</f>
        <v>Denemarken</v>
      </c>
      <c r="AX107" s="858" t="str">
        <f t="shared" ref="AX107:AX129" ca="1" si="34">RIGHT(LEFT($AK$109,$BA107),2)</f>
        <v>B1</v>
      </c>
      <c r="AY107" s="857" t="str">
        <f ca="1">VLOOKUP(AZ107,Voorblad!$X$67:$Z$98,2,FALSE)</f>
        <v>Denemarken</v>
      </c>
      <c r="AZ107" s="858" t="str">
        <f t="shared" ref="AZ107:AZ129" ca="1" si="35">RIGHT(LEFT($AL$109,$BA107),2)</f>
        <v>B1</v>
      </c>
      <c r="BA107" s="860">
        <f t="shared" ref="BA107:BA117" si="36">BA106+2</f>
        <v>4</v>
      </c>
    </row>
    <row r="108" spans="2:53" x14ac:dyDescent="0.3">
      <c r="D108" s="462"/>
      <c r="E108" s="462"/>
      <c r="AB108" s="879" t="str">
        <f>$AB$85</f>
        <v>nr.</v>
      </c>
      <c r="AC108" s="1272" t="str">
        <f>$AC$85</f>
        <v>suggestie - thuis</v>
      </c>
      <c r="AD108" s="1272"/>
      <c r="AE108" s="1272" t="str">
        <f>$AE$85</f>
        <v>suggestie - uit</v>
      </c>
      <c r="AF108" s="1272"/>
      <c r="AG108" s="1272" t="str">
        <f>$AG$85</f>
        <v>thuis code</v>
      </c>
      <c r="AH108" s="1272"/>
      <c r="AI108" s="1272" t="str">
        <f>$AG$85</f>
        <v>thuis code</v>
      </c>
      <c r="AJ108" s="1272"/>
      <c r="AK108" s="879" t="str">
        <f>$AK$85</f>
        <v>thuis menu</v>
      </c>
      <c r="AL108" s="879" t="str">
        <f>$AL$85</f>
        <v>uit menu</v>
      </c>
      <c r="AM108" s="1253" t="str">
        <f>$AM$85</f>
        <v>thuis (landen)</v>
      </c>
      <c r="AN108" s="1253"/>
      <c r="AO108" s="880" t="str">
        <f>$AO$85</f>
        <v>uit (landen)</v>
      </c>
      <c r="AP108" s="408"/>
      <c r="AQ108" s="884" t="str">
        <f ca="1">VLOOKUP(AR108,Voorblad!$X$67:$Z$98,2,FALSE)</f>
        <v>Duitsland</v>
      </c>
      <c r="AR108" s="885" t="str">
        <f t="shared" ca="1" si="31"/>
        <v>F4</v>
      </c>
      <c r="AS108" s="850" t="str">
        <f ca="1">VLOOKUP(AT108,Voorblad!$X$67:$Z$98,2,FALSE)</f>
        <v>Duitsland</v>
      </c>
      <c r="AT108" s="851" t="str">
        <f t="shared" ca="1" si="32"/>
        <v>F4</v>
      </c>
      <c r="AU108" s="850" t="str">
        <f ca="1">VLOOKUP(AV108,Voorblad!$X$67:$Z$98,2,FALSE)</f>
        <v>Duitsland</v>
      </c>
      <c r="AV108" s="851" t="str">
        <f t="shared" ca="1" si="33"/>
        <v>F4</v>
      </c>
      <c r="AW108" s="857" t="str">
        <f ca="1">VLOOKUP(AX108,Voorblad!$X$67:$Z$98,2,FALSE)</f>
        <v>Duitsland</v>
      </c>
      <c r="AX108" s="858" t="str">
        <f t="shared" ca="1" si="34"/>
        <v>F4</v>
      </c>
      <c r="AY108" s="857" t="str">
        <f ca="1">VLOOKUP(AZ108,Voorblad!$X$67:$Z$98,2,FALSE)</f>
        <v>Duitsland</v>
      </c>
      <c r="AZ108" s="858" t="str">
        <f t="shared" ca="1" si="35"/>
        <v>F4</v>
      </c>
      <c r="BA108" s="860">
        <f t="shared" si="36"/>
        <v>6</v>
      </c>
    </row>
    <row r="109" spans="2:53" x14ac:dyDescent="0.3">
      <c r="D109" s="462"/>
      <c r="E109" s="462"/>
      <c r="AB109" s="874">
        <f>D56</f>
        <v>51</v>
      </c>
      <c r="AC109" s="1269" t="str">
        <f>AG47</f>
        <v/>
      </c>
      <c r="AD109" s="1269"/>
      <c r="AE109" s="1269" t="str">
        <f>AG49</f>
        <v/>
      </c>
      <c r="AF109" s="1269"/>
      <c r="AG109"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109)),$AQ$73,""),""),IF(ISERROR(SEARCH($AQ$74,AC109)),$AQ$74,""),""),IF(ISERROR(SEARCH($AQ$75,AC109)),$AQ$75,""),""),IF(ISERROR(SEARCH($AQ$76,AC109)),$AQ$76,""),""),IF(ISERROR(SEARCH($AQ$77,AC109)),$AQ$77,""),""),IF(ISERROR(SEARCH($AQ$78,AC109)),$AQ$78,""),""),IF(ISERROR(SEARCH($AQ$79,AC109)),$AQ$79,""),""),IF(ISERROR(SEARCH($AQ$80,AC109)),$AQ$80,""),""),IF(ISERROR(SEARCH($AQ$81,AC109)),$AQ$81,""),""),IF(ISERROR(SEARCH($AQ$82,AC109)),$AQ$82,""),""),IF(ISERROR(SEARCH($AQ$83,AC109)),$AQ$83,""),""),IF(ISERROR(SEARCH($AQ$84,AC109)),$AQ$84,""),""),IF(ISERROR(SEARCH($AQ$85,AC109)),$AQ$85,""),""),IF(ISERROR(SEARCH($AQ$86,AC109)),$AQ$86,""),""),IF(ISERROR(SEARCH($AQ$87,AC109)),$AQ$87,""),""),IF(ISERROR(SEARCH($AQ$88,AC109)),$AQ$88,""),""),IF(ISERROR(SEARCH($AQ$89,AC109)),$AQ$89,""),""),IF(ISERROR(SEARCH($AQ$90,AC109)),$AQ$90,""),""),IF(ISERROR(SEARCH($AQ$91,AC109)),$AQ$91,""),""),IF(ISERROR(SEARCH($AQ$92,AC109)),$AQ$92,""),""),IF(ISERROR(SEARCH($AQ$93,AC109)),$AQ$93,""),""),IF(ISERROR(SEARCH($AQ$94,AC109)),$AQ$94,""),""),IF(ISERROR(SEARCH($AQ$95,AC109)),$AQ$95,""),""),IF(ISERROR(SEARCH($AQ$96,AC109)),$AQ$96,""),""),IF(ISERROR(SEARCH($AQ$97,AC109)),$AQ$97,""),""),IF(ISERROR(SEARCH($AQ$98,AC109)),$AQ$98,""),""),IF(ISERROR(SEARCH($AQ$99,AC109)),$AQ$99,""),""),IF(ISERROR(SEARCH($AQ$100,AC109)),$AQ$100,""),""),IF(ISERROR(SEARCH($AQ$101,AC109)),$AQ$101,""),""),IF(ISERROR(SEARCH($AQ$102,AC109)),$AQ$102,""),""),IF(ISERROR(SEARCH($AQ$103,AC109)),$AQ$103,""),""),IF(ISERROR(SEARCH($AQ$104,AC109)),$AQ$104,""),"")</f>
        <v/>
      </c>
      <c r="AH109" s="1269"/>
      <c r="AI109"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109)),$AQ$73,""),""),IF(ISERROR(SEARCH($AQ$74,AE109)),$AQ$74,""),""),IF(ISERROR(SEARCH($AQ$75,AE109)),$AQ$75,""),""),IF(ISERROR(SEARCH($AQ$76,AE109)),$AQ$76,""),""),IF(ISERROR(SEARCH($AQ$77,AE109)),$AQ$77,""),""),IF(ISERROR(SEARCH($AQ$78,AE109)),$AQ$78,""),""),IF(ISERROR(SEARCH($AQ$79,AE109)),$AQ$79,""),""),IF(ISERROR(SEARCH($AQ$80,AE109)),$AQ$80,""),""),IF(ISERROR(SEARCH($AQ$81,AE109)),$AQ$81,""),""),IF(ISERROR(SEARCH($AQ$82,AE109)),$AQ$82,""),""),IF(ISERROR(SEARCH($AQ$83,AE109)),$AQ$83,""),""),IF(ISERROR(SEARCH($AQ$84,AE109)),$AQ$84,""),""),IF(ISERROR(SEARCH($AQ$85,AE109)),$AQ$85,""),""),IF(ISERROR(SEARCH($AQ$86,AE109)),$AQ$86,""),""),IF(ISERROR(SEARCH($AQ$87,AE109)),$AQ$87,""),""),IF(ISERROR(SEARCH($AQ$88,AE109)),$AQ$88,""),""),IF(ISERROR(SEARCH($AQ$89,AE109)),$AQ$89,""),""),IF(ISERROR(SEARCH($AQ$90,AE109)),$AQ$90,""),""),IF(ISERROR(SEARCH($AQ$91,AE109)),$AQ$91,""),""),IF(ISERROR(SEARCH($AQ$92,AE109)),$AQ$92,""),""),IF(ISERROR(SEARCH($AQ$93,AE109)),$AQ$93,""),""),IF(ISERROR(SEARCH($AQ$94,AE109)),$AQ$94,""),""),IF(ISERROR(SEARCH($AQ$95,AE109)),$AQ$95,""),""),IF(ISERROR(SEARCH($AQ$96,AE109)),$AQ$96,""),""),IF(ISERROR(SEARCH($AQ$97,AE109)),$AQ$97,""),""),IF(ISERROR(SEARCH($AQ$98,AE109)),$AQ$98,""),""),IF(ISERROR(SEARCH($AQ$99,AE109)),$AQ$99,""),""),IF(ISERROR(SEARCH($AQ$100,AE109)),$AQ$100,""),""),IF(ISERROR(SEARCH($AQ$101,AE109)),$AQ$101,""),""),IF(ISERROR(SEARCH($AQ$102,AE109)),$AQ$102,""),""),IF(ISERROR(SEARCH($AQ$103,AE109)),$AQ$103,""),""),IF(ISERROR(SEARCH($AQ$104,AE109)),$AQ$104,""),"")</f>
        <v/>
      </c>
      <c r="AJ109" s="1269"/>
      <c r="AK109" s="876" t="str">
        <f ca="1">AG109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109)),$AQ$73,""),""),IF(ISNUMBER(SEARCH($AQ$74,AC109)),$AQ$74,""),""),IF(ISNUMBER(SEARCH($AQ$75,AC109)),$AQ$75,""),""),IF(ISNUMBER(SEARCH($AQ$76,AC109)),$AQ$76,""),""),IF(ISNUMBER(SEARCH($AQ$77,AC109)),$AQ$77,""),""),IF(ISNUMBER(SEARCH($AQ$78,AC109)),$AQ$78,""),""),IF(ISNUMBER(SEARCH($AQ$79,AC109)),$AQ$79,""),""),IF(ISNUMBER(SEARCH($AQ$80,AC109)),$AQ$80,""),""),IF(ISNUMBER(SEARCH($AQ$81,AC109)),$AQ$81,""),""),IF(ISNUMBER(SEARCH($AQ$82,AC109)),$AQ$82,""),""),IF(ISNUMBER(SEARCH($AQ$83,AC109)),$AQ$83,""),""),IF(ISNUMBER(SEARCH($AQ$84,AC109)),$AQ$84,""),""),IF(ISNUMBER(SEARCH($AQ$85,AC109)),$AQ$85,""),""),IF(ISNUMBER(SEARCH($AQ$86,AC109)),$AQ$86,""),""),IF(ISNUMBER(SEARCH($AQ$87,AC109)),$AQ$87,""),""),IF(ISNUMBER(SEARCH($AQ$88,AC109)),$AQ$88,""),""),IF(ISNUMBER(SEARCH($AQ$89,AC109)),$AQ$89,""),""),IF(ISNUMBER(SEARCH($AQ$90,AC109)),$AQ$90,""),""),IF(ISNUMBER(SEARCH($AQ$91,AC109)),$AQ$91,""),""),IF(ISNUMBER(SEARCH($AQ$92,AC109)),$AQ$92,""),""),IF(ISNUMBER(SEARCH($AQ$93,AC109)),$AQ$93,""),""),IF(ISNUMBER(SEARCH($AQ$94,AC109)),$AQ$94,""),""),IF(ISNUMBER(SEARCH($AQ$95,AC109)),$AQ$95,""),""),IF(ISNUMBER(SEARCH($AQ$96,AC109)),$AQ$96,""),""),IF(ISNUMBER(SEARCH($AQ$97,AC109)),$AQ$97,""),""),IF(ISNUMBER(SEARCH($AQ$98,AC109)),$AQ$98,""),""),IF(ISNUMBER(SEARCH($AQ$99,AC109)),$AQ$99,""),""),IF(ISNUMBER(SEARCH($AQ$100,AC109)),$AQ$100,""),""),IF(ISNUMBER(SEARCH($AQ$101,AC109)),$AQ$101,""),""),IF(ISNUMBER(SEARCH($AQ$102,AC109)),$AQ$102,""),""),IF(ISNUMBER(SEARCH($AQ$103,AC109)),$AQ$103,""),""),IF(ISNUMBER(SEARCH($AQ$104,AC109)),$AQ$104,""),"")</f>
        <v>B3B1F4D1B2F3F1A2D2C1C4C2C3E3F2B4D3E4E1D4A1A3E2A4</v>
      </c>
      <c r="AL109" s="876" t="str">
        <f ca="1">AI109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E109)),$AQ$73,""),""),IF(ISNUMBER(SEARCH($AQ$74,AE109)),$AQ$74,""),""),IF(ISNUMBER(SEARCH($AQ$75,AE109)),$AQ$75,""),""),IF(ISNUMBER(SEARCH($AQ$76,AE109)),$AQ$76,""),""),IF(ISNUMBER(SEARCH($AQ$77,AE109)),$AQ$77,""),""),IF(ISNUMBER(SEARCH($AQ$78,AE109)),$AQ$78,""),""),IF(ISNUMBER(SEARCH($AQ$79,AE109)),$AQ$79,""),""),IF(ISNUMBER(SEARCH($AQ$80,AE109)),$AQ$80,""),""),IF(ISNUMBER(SEARCH($AQ$81,AE109)),$AQ$81,""),""),IF(ISNUMBER(SEARCH($AQ$82,AE109)),$AQ$82,""),""),IF(ISNUMBER(SEARCH($AQ$83,AE109)),$AQ$83,""),""),IF(ISNUMBER(SEARCH($AQ$84,AE109)),$AQ$84,""),""),IF(ISNUMBER(SEARCH($AQ$85,AE109)),$AQ$85,""),""),IF(ISNUMBER(SEARCH($AQ$86,AE109)),$AQ$86,""),""),IF(ISNUMBER(SEARCH($AQ$87,AE109)),$AQ$87,""),""),IF(ISNUMBER(SEARCH($AQ$88,AE109)),$AQ$88,""),""),IF(ISNUMBER(SEARCH($AQ$89,AE109)),$AQ$89,""),""),IF(ISNUMBER(SEARCH($AQ$90,AE109)),$AQ$90,""),""),IF(ISNUMBER(SEARCH($AQ$91,AE109)),$AQ$91,""),""),IF(ISNUMBER(SEARCH($AQ$92,AE109)),$AQ$92,""),""),IF(ISNUMBER(SEARCH($AQ$93,AE109)),$AQ$93,""),""),IF(ISNUMBER(SEARCH($AQ$94,AE109)),$AQ$94,""),""),IF(ISNUMBER(SEARCH($AQ$95,AE109)),$AQ$95,""),""),IF(ISNUMBER(SEARCH($AQ$96,AE109)),$AQ$96,""),""),IF(ISNUMBER(SEARCH($AQ$97,AE109)),$AQ$97,""),""),IF(ISNUMBER(SEARCH($AQ$98,AE109)),$AQ$98,""),""),IF(ISNUMBER(SEARCH($AQ$99,AE109)),$AQ$99,""),""),IF(ISNUMBER(SEARCH($AQ$100,AE109)),$AQ$100,""),""),IF(ISNUMBER(SEARCH($AQ$101,AE109)),$AQ$101,""),""),IF(ISNUMBER(SEARCH($AQ$102,AE109)),$AQ$102,""),""),IF(ISNUMBER(SEARCH($AQ$103,AE109)),$AQ$103,""),""),IF(ISNUMBER(SEARCH($AQ$104,AE109)),$AQ$104,""),"")</f>
        <v>B3B1F4D1B2F3F1A2D2C1C4C2C3E3F2B4D3E4E1D4A1A3E2A4</v>
      </c>
      <c r="AM109" s="1271" t="str">
        <f ca="1">IF(AG109="","",IF(LEN(AG109)&gt;=2,VLOOKUP(LEFT(AG109,2),Voorblad!$X$67:$Y$98,2)&amp;IF(LEN(AG109)&gt;=4," / "&amp;VLOOKUP(RIGHT(LEFT(AG109,4),2),Voorblad!$X$67:$Y$98,2),""),""))</f>
        <v/>
      </c>
      <c r="AN109" s="1271"/>
      <c r="AO109" s="874" t="str">
        <f ca="1">IF(AI109="","",IF(LEN(AI109)&gt;=2,VLOOKUP(LEFT(AI109,2),Voorblad!$X$67:$Y$98,2)&amp;IF(LEN(AI109)&gt;=4," / "&amp;VLOOKUP(RIGHT(LEFT(AI109,4),2),Voorblad!$X$67:$Y$98,2),""),""))</f>
        <v/>
      </c>
      <c r="AP109" s="408"/>
      <c r="AQ109" s="884" t="str">
        <f ca="1">VLOOKUP(AR109,Voorblad!$X$67:$Z$98,2,FALSE)</f>
        <v>Engeland</v>
      </c>
      <c r="AR109" s="885" t="str">
        <f t="shared" ca="1" si="31"/>
        <v>D1</v>
      </c>
      <c r="AS109" s="850" t="str">
        <f ca="1">VLOOKUP(AT109,Voorblad!$X$67:$Z$98,2,FALSE)</f>
        <v>Engeland</v>
      </c>
      <c r="AT109" s="851" t="str">
        <f t="shared" ca="1" si="32"/>
        <v>D1</v>
      </c>
      <c r="AU109" s="850" t="str">
        <f ca="1">VLOOKUP(AV109,Voorblad!$X$67:$Z$98,2,FALSE)</f>
        <v>Engeland</v>
      </c>
      <c r="AV109" s="851" t="str">
        <f t="shared" ca="1" si="33"/>
        <v>D1</v>
      </c>
      <c r="AW109" s="857" t="str">
        <f ca="1">VLOOKUP(AX109,Voorblad!$X$67:$Z$98,2,FALSE)</f>
        <v>Engeland</v>
      </c>
      <c r="AX109" s="858" t="str">
        <f t="shared" ca="1" si="34"/>
        <v>D1</v>
      </c>
      <c r="AY109" s="857" t="str">
        <f ca="1">VLOOKUP(AZ109,Voorblad!$X$67:$Z$98,2,FALSE)</f>
        <v>Engeland</v>
      </c>
      <c r="AZ109" s="858" t="str">
        <f t="shared" ca="1" si="35"/>
        <v>D1</v>
      </c>
      <c r="BA109" s="860">
        <f t="shared" si="36"/>
        <v>8</v>
      </c>
    </row>
    <row r="110" spans="2:53" x14ac:dyDescent="0.3">
      <c r="D110" s="462"/>
      <c r="E110" s="462"/>
      <c r="AB110" s="408"/>
      <c r="AC110" s="408"/>
      <c r="AD110" s="408"/>
      <c r="AE110" s="408"/>
      <c r="AF110" s="408"/>
      <c r="AG110" s="408"/>
      <c r="AH110" s="408"/>
      <c r="AI110" s="408"/>
      <c r="AJ110" s="408"/>
      <c r="AK110" s="408"/>
      <c r="AL110" s="408"/>
      <c r="AM110" s="408"/>
      <c r="AN110" s="408"/>
      <c r="AO110" s="408"/>
      <c r="AP110" s="408"/>
      <c r="AQ110" s="884" t="str">
        <f ca="1">VLOOKUP(AR110,Voorblad!$X$67:$Z$98,2,FALSE)</f>
        <v>Finland</v>
      </c>
      <c r="AR110" s="885" t="str">
        <f t="shared" ca="1" si="31"/>
        <v>B2</v>
      </c>
      <c r="AS110" s="850" t="str">
        <f ca="1">VLOOKUP(AT110,Voorblad!$X$67:$Z$98,2,FALSE)</f>
        <v>Finland</v>
      </c>
      <c r="AT110" s="851" t="str">
        <f t="shared" ca="1" si="32"/>
        <v>B2</v>
      </c>
      <c r="AU110" s="850" t="str">
        <f ca="1">VLOOKUP(AV110,Voorblad!$X$67:$Z$98,2,FALSE)</f>
        <v>Finland</v>
      </c>
      <c r="AV110" s="851" t="str">
        <f t="shared" ca="1" si="33"/>
        <v>B2</v>
      </c>
      <c r="AW110" s="857" t="str">
        <f ca="1">VLOOKUP(AX110,Voorblad!$X$67:$Z$98,2,FALSE)</f>
        <v>Finland</v>
      </c>
      <c r="AX110" s="858" t="str">
        <f t="shared" ca="1" si="34"/>
        <v>B2</v>
      </c>
      <c r="AY110" s="857" t="str">
        <f ca="1">VLOOKUP(AZ110,Voorblad!$X$67:$Z$98,2,FALSE)</f>
        <v>Finland</v>
      </c>
      <c r="AZ110" s="858" t="str">
        <f t="shared" ca="1" si="35"/>
        <v>B2</v>
      </c>
      <c r="BA110" s="860">
        <f t="shared" si="36"/>
        <v>10</v>
      </c>
    </row>
    <row r="111" spans="2:53" x14ac:dyDescent="0.3">
      <c r="D111" s="462"/>
      <c r="E111" s="462"/>
      <c r="AB111" s="879" t="str">
        <f>$AB$85</f>
        <v>nr.</v>
      </c>
      <c r="AC111" s="1272" t="s">
        <v>1049</v>
      </c>
      <c r="AD111" s="1272"/>
      <c r="AE111" s="1272"/>
      <c r="AF111" s="1272"/>
      <c r="AG111" s="1272" t="s">
        <v>1051</v>
      </c>
      <c r="AH111" s="1272"/>
      <c r="AI111" s="1272"/>
      <c r="AJ111" s="1272"/>
      <c r="AK111" s="1272" t="s">
        <v>1052</v>
      </c>
      <c r="AL111" s="1272"/>
      <c r="AM111" s="1253" t="s">
        <v>1053</v>
      </c>
      <c r="AN111" s="1253"/>
      <c r="AO111" s="1253"/>
      <c r="AP111" s="408"/>
      <c r="AQ111" s="884" t="str">
        <f ca="1">VLOOKUP(AR111,Voorblad!$X$67:$Z$98,2,FALSE)</f>
        <v>Frankrijk</v>
      </c>
      <c r="AR111" s="885" t="str">
        <f t="shared" ca="1" si="31"/>
        <v>F3</v>
      </c>
      <c r="AS111" s="850" t="str">
        <f ca="1">VLOOKUP(AT111,Voorblad!$X$67:$Z$98,2,FALSE)</f>
        <v>Frankrijk</v>
      </c>
      <c r="AT111" s="851" t="str">
        <f t="shared" ca="1" si="32"/>
        <v>F3</v>
      </c>
      <c r="AU111" s="850" t="str">
        <f ca="1">VLOOKUP(AV111,Voorblad!$X$67:$Z$98,2,FALSE)</f>
        <v>Frankrijk</v>
      </c>
      <c r="AV111" s="851" t="str">
        <f t="shared" ca="1" si="33"/>
        <v>F3</v>
      </c>
      <c r="AW111" s="857" t="str">
        <f ca="1">VLOOKUP(AX111,Voorblad!$X$67:$Z$98,2,FALSE)</f>
        <v>Frankrijk</v>
      </c>
      <c r="AX111" s="858" t="str">
        <f t="shared" ca="1" si="34"/>
        <v>F3</v>
      </c>
      <c r="AY111" s="857" t="str">
        <f ca="1">VLOOKUP(AZ111,Voorblad!$X$67:$Z$98,2,FALSE)</f>
        <v>Frankrijk</v>
      </c>
      <c r="AZ111" s="858" t="str">
        <f t="shared" ca="1" si="35"/>
        <v>F3</v>
      </c>
      <c r="BA111" s="860">
        <f t="shared" si="36"/>
        <v>12</v>
      </c>
    </row>
    <row r="112" spans="2:53" x14ac:dyDescent="0.3">
      <c r="AB112" s="874" t="s">
        <v>1050</v>
      </c>
      <c r="AC112" s="1269" t="str">
        <f>AG57</f>
        <v/>
      </c>
      <c r="AD112" s="1269"/>
      <c r="AE112" s="1269"/>
      <c r="AF112" s="1269"/>
      <c r="AG112" s="1269"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112)),$AQ$73,""),""),IF(ISERROR(SEARCH($AQ$74,AC112)),$AQ$74,""),""),IF(ISERROR(SEARCH($AQ$75,AC112)),$AQ$75,""),""),IF(ISERROR(SEARCH($AQ$76,AC112)),$AQ$76,""),""),IF(ISERROR(SEARCH($AQ$77,AC112)),$AQ$77,""),""),IF(ISERROR(SEARCH($AQ$78,AC112)),$AQ$78,""),""),IF(ISERROR(SEARCH($AQ$79,AC112)),$AQ$79,""),""),IF(ISERROR(SEARCH($AQ$80,AC112)),$AQ$80,""),""),IF(ISERROR(SEARCH($AQ$81,AC112)),$AQ$81,""),""),IF(ISERROR(SEARCH($AQ$82,AC112)),$AQ$82,""),""),IF(ISERROR(SEARCH($AQ$83,AC112)),$AQ$83,""),""),IF(ISERROR(SEARCH($AQ$84,AC112)),$AQ$84,""),""),IF(ISERROR(SEARCH($AQ$85,AC112)),$AQ$85,""),""),IF(ISERROR(SEARCH($AQ$86,AC112)),$AQ$86,""),""),IF(ISERROR(SEARCH($AQ$87,AC112)),$AQ$87,""),""),IF(ISERROR(SEARCH($AQ$88,AC112)),$AQ$88,""),""),IF(ISERROR(SEARCH($AQ$89,AC112)),$AQ$89,""),""),IF(ISERROR(SEARCH($AQ$90,AC112)),$AQ$90,""),""),IF(ISERROR(SEARCH($AQ$91,AC112)),$AQ$91,""),""),IF(ISERROR(SEARCH($AQ$92,AC112)),$AQ$92,""),""),IF(ISERROR(SEARCH($AQ$93,AC112)),$AQ$93,""),""),IF(ISERROR(SEARCH($AQ$94,AC112)),$AQ$94,""),""),IF(ISERROR(SEARCH($AQ$95,AC112)),$AQ$95,""),""),IF(ISERROR(SEARCH($AQ$96,AC112)),$AQ$96,""),""),IF(ISERROR(SEARCH($AQ$97,AC112)),$AQ$97,""),""),IF(ISERROR(SEARCH($AQ$98,AC112)),$AQ$98,""),""),IF(ISERROR(SEARCH($AQ$99,AC112)),$AQ$99,""),""),IF(ISERROR(SEARCH($AQ$100,AC112)),$AQ$100,""),""),IF(ISERROR(SEARCH($AQ$101,AC112)),$AQ$101,""),""),IF(ISERROR(SEARCH($AQ$102,AC112)),$AQ$102,""),""),IF(ISERROR(SEARCH($AQ$103,AC112)),$AQ$103,""),""),IF(ISERROR(SEARCH($AQ$104,AC112)),$AQ$104,""),"")</f>
        <v/>
      </c>
      <c r="AH112" s="1269"/>
      <c r="AI112" s="1269"/>
      <c r="AJ112" s="1269"/>
      <c r="AK112" s="1269" t="str">
        <f ca="1">AG112&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112)),$AQ$73,""),""),IF(ISNUMBER(SEARCH($AQ$74,AC112)),$AQ$74,""),""),IF(ISNUMBER(SEARCH($AQ$75,AC112)),$AQ$75,""),""),IF(ISNUMBER(SEARCH($AQ$76,AC112)),$AQ$76,""),""),IF(ISNUMBER(SEARCH($AQ$77,AC112)),$AQ$77,""),""),IF(ISNUMBER(SEARCH($AQ$78,AC112)),$AQ$78,""),""),IF(ISNUMBER(SEARCH($AQ$79,AC112)),$AQ$79,""),""),IF(ISNUMBER(SEARCH($AQ$80,AC112)),$AQ$80,""),""),IF(ISNUMBER(SEARCH($AQ$81,AC112)),$AQ$81,""),""),IF(ISNUMBER(SEARCH($AQ$82,AC112)),$AQ$82,""),""),IF(ISNUMBER(SEARCH($AQ$83,AC112)),$AQ$83,""),""),IF(ISNUMBER(SEARCH($AQ$84,AC112)),$AQ$84,""),""),IF(ISNUMBER(SEARCH($AQ$85,AC112)),$AQ$85,""),""),IF(ISNUMBER(SEARCH($AQ$86,AC112)),$AQ$86,""),""),IF(ISNUMBER(SEARCH($AQ$87,AC112)),$AQ$87,""),""),IF(ISNUMBER(SEARCH($AQ$88,AC112)),$AQ$88,""),""),IF(ISNUMBER(SEARCH($AQ$89,AC112)),$AQ$89,""),""),IF(ISNUMBER(SEARCH($AQ$90,AC112)),$AQ$90,""),""),IF(ISNUMBER(SEARCH($AQ$91,AC112)),$AQ$91,""),""),IF(ISNUMBER(SEARCH($AQ$92,AC112)),$AQ$92,""),""),IF(ISNUMBER(SEARCH($AQ$93,AC112)),$AQ$93,""),""),IF(ISNUMBER(SEARCH($AQ$94,AC112)),$AQ$94,""),""),IF(ISNUMBER(SEARCH($AQ$95,AC112)),$AQ$95,""),""),IF(ISNUMBER(SEARCH($AQ$96,AC112)),$AQ$96,""),""),IF(ISNUMBER(SEARCH($AQ$97,AC112)),$AQ$97,""),""),IF(ISNUMBER(SEARCH($AQ$98,AC112)),$AQ$98,""),""),IF(ISNUMBER(SEARCH($AQ$99,AC112)),$AQ$99,""),""),IF(ISNUMBER(SEARCH($AQ$100,AC112)),$AQ$100,""),""),IF(ISNUMBER(SEARCH($AQ$101,AC112)),$AQ$101,""),""),IF(ISNUMBER(SEARCH($AQ$102,AC112)),$AQ$102,""),""),IF(ISNUMBER(SEARCH($AQ$103,AC112)),$AQ$103,""),""),IF(ISNUMBER(SEARCH($AQ$104,AC112)),$AQ$104,""),"")</f>
        <v>B3B1F4D1B2F3F1A2D2C1C4C2C3E3F2B4D3E4E1D4A1A3E2A4</v>
      </c>
      <c r="AL112" s="1269"/>
      <c r="AM112" s="1271" t="str">
        <f ca="1">IF(AG112="","",IF(LEN(AG112)&gt;=2,VLOOKUP(LEFT(AG112,2),Voorblad!$X$67:$Y$98,2)&amp;IF(LEN(AG112)&gt;=4," / "&amp;VLOOKUP(RIGHT(LEFT(AG112,4),2),Voorblad!$X$67:$Y$98,2),""),""))</f>
        <v/>
      </c>
      <c r="AN112" s="1271"/>
      <c r="AO112" s="1271"/>
      <c r="AP112" s="408"/>
      <c r="AQ112" s="884" t="str">
        <f ca="1">VLOOKUP(AR112,Voorblad!$X$67:$Z$98,2,FALSE)</f>
        <v>Hongarije</v>
      </c>
      <c r="AR112" s="885" t="str">
        <f t="shared" ca="1" si="31"/>
        <v>F1</v>
      </c>
      <c r="AS112" s="850" t="str">
        <f ca="1">VLOOKUP(AT112,Voorblad!$X$67:$Z$98,2,FALSE)</f>
        <v>Hongarije</v>
      </c>
      <c r="AT112" s="851" t="str">
        <f t="shared" ca="1" si="32"/>
        <v>F1</v>
      </c>
      <c r="AU112" s="850" t="str">
        <f ca="1">VLOOKUP(AV112,Voorblad!$X$67:$Z$98,2,FALSE)</f>
        <v>Hongarije</v>
      </c>
      <c r="AV112" s="851" t="str">
        <f t="shared" ca="1" si="33"/>
        <v>F1</v>
      </c>
      <c r="AW112" s="857" t="str">
        <f ca="1">VLOOKUP(AX112,Voorblad!$X$67:$Z$98,2,FALSE)</f>
        <v>Hongarije</v>
      </c>
      <c r="AX112" s="858" t="str">
        <f t="shared" ca="1" si="34"/>
        <v>F1</v>
      </c>
      <c r="AY112" s="857" t="str">
        <f ca="1">VLOOKUP(AZ112,Voorblad!$X$67:$Z$98,2,FALSE)</f>
        <v>Hongarije</v>
      </c>
      <c r="AZ112" s="858" t="str">
        <f t="shared" ca="1" si="35"/>
        <v>F1</v>
      </c>
      <c r="BA112" s="860">
        <f t="shared" si="36"/>
        <v>14</v>
      </c>
    </row>
    <row r="113" spans="2:53" x14ac:dyDescent="0.3">
      <c r="AB113" s="408"/>
      <c r="AC113" s="408"/>
      <c r="AD113" s="408"/>
      <c r="AE113" s="408"/>
      <c r="AF113" s="408"/>
      <c r="AG113" s="408"/>
      <c r="AH113" s="408"/>
      <c r="AI113" s="408"/>
      <c r="AJ113" s="408"/>
      <c r="AK113" s="408"/>
      <c r="AL113" s="408"/>
      <c r="AM113" s="408"/>
      <c r="AN113" s="408"/>
      <c r="AO113" s="408"/>
      <c r="AP113" s="408"/>
      <c r="AQ113" s="884" t="str">
        <f ca="1">VLOOKUP(AR113,Voorblad!$X$67:$Z$98,2,FALSE)</f>
        <v>Italië</v>
      </c>
      <c r="AR113" s="885" t="str">
        <f t="shared" ca="1" si="31"/>
        <v>A2</v>
      </c>
      <c r="AS113" s="850" t="str">
        <f ca="1">VLOOKUP(AT113,Voorblad!$X$67:$Z$98,2,FALSE)</f>
        <v>Italië</v>
      </c>
      <c r="AT113" s="851" t="str">
        <f t="shared" ca="1" si="32"/>
        <v>A2</v>
      </c>
      <c r="AU113" s="850" t="str">
        <f ca="1">VLOOKUP(AV113,Voorblad!$X$67:$Z$98,2,FALSE)</f>
        <v>Italië</v>
      </c>
      <c r="AV113" s="851" t="str">
        <f t="shared" ca="1" si="33"/>
        <v>A2</v>
      </c>
      <c r="AW113" s="857" t="str">
        <f ca="1">VLOOKUP(AX113,Voorblad!$X$67:$Z$98,2,FALSE)</f>
        <v>Italië</v>
      </c>
      <c r="AX113" s="858" t="str">
        <f t="shared" ca="1" si="34"/>
        <v>A2</v>
      </c>
      <c r="AY113" s="857" t="str">
        <f ca="1">VLOOKUP(AZ113,Voorblad!$X$67:$Z$98,2,FALSE)</f>
        <v>Italië</v>
      </c>
      <c r="AZ113" s="858" t="str">
        <f t="shared" ca="1" si="35"/>
        <v>A2</v>
      </c>
      <c r="BA113" s="860">
        <f t="shared" si="36"/>
        <v>16</v>
      </c>
    </row>
    <row r="114" spans="2:53" x14ac:dyDescent="0.3">
      <c r="AB114" s="920"/>
      <c r="AC114" s="920"/>
      <c r="AD114" s="920"/>
      <c r="AE114" s="920"/>
      <c r="AF114" s="920"/>
      <c r="AG114" s="920"/>
      <c r="AH114" s="920"/>
      <c r="AI114" s="920"/>
      <c r="AJ114" s="920"/>
      <c r="AK114" s="920"/>
      <c r="AL114" s="920"/>
      <c r="AM114" s="920"/>
      <c r="AN114" s="920"/>
      <c r="AO114" s="920"/>
      <c r="AP114" s="920"/>
      <c r="AQ114" s="884" t="str">
        <f ca="1">VLOOKUP(AR114,Voorblad!$X$67:$Z$98,2,FALSE)</f>
        <v>Kroatië</v>
      </c>
      <c r="AR114" s="885" t="str">
        <f t="shared" ca="1" si="31"/>
        <v>D2</v>
      </c>
      <c r="AS114" s="850" t="str">
        <f ca="1">VLOOKUP(AT114,Voorblad!$X$67:$Z$98,2,FALSE)</f>
        <v>Kroatië</v>
      </c>
      <c r="AT114" s="851" t="str">
        <f t="shared" ca="1" si="32"/>
        <v>D2</v>
      </c>
      <c r="AU114" s="850" t="str">
        <f ca="1">VLOOKUP(AV114,Voorblad!$X$67:$Z$98,2,FALSE)</f>
        <v>Kroatië</v>
      </c>
      <c r="AV114" s="851" t="str">
        <f t="shared" ca="1" si="33"/>
        <v>D2</v>
      </c>
      <c r="AW114" s="857" t="str">
        <f ca="1">VLOOKUP(AX114,Voorblad!$X$67:$Z$98,2,FALSE)</f>
        <v>Kroatië</v>
      </c>
      <c r="AX114" s="858" t="str">
        <f t="shared" ca="1" si="34"/>
        <v>D2</v>
      </c>
      <c r="AY114" s="857" t="str">
        <f ca="1">VLOOKUP(AZ114,Voorblad!$X$67:$Z$98,2,FALSE)</f>
        <v>Kroatië</v>
      </c>
      <c r="AZ114" s="858" t="str">
        <f t="shared" ca="1" si="35"/>
        <v>D2</v>
      </c>
      <c r="BA114" s="860">
        <f t="shared" si="36"/>
        <v>18</v>
      </c>
    </row>
    <row r="115" spans="2:53" x14ac:dyDescent="0.3">
      <c r="AB115" s="1278" t="s">
        <v>441</v>
      </c>
      <c r="AC115" s="1278"/>
      <c r="AD115" s="1278"/>
      <c r="AE115" s="1278"/>
      <c r="AF115" s="1278"/>
      <c r="AG115" s="1278"/>
      <c r="AH115" s="1278"/>
      <c r="AI115" s="1278"/>
      <c r="AJ115" s="1278"/>
      <c r="AK115" s="1278"/>
      <c r="AL115" s="1278"/>
      <c r="AM115" s="1278"/>
      <c r="AN115" s="1278"/>
      <c r="AO115" s="1278"/>
      <c r="AP115" s="1278"/>
      <c r="AQ115" s="884" t="str">
        <f ca="1">VLOOKUP(AR115,Voorblad!$X$67:$Z$98,2,FALSE)</f>
        <v>Nederland</v>
      </c>
      <c r="AR115" s="885" t="str">
        <f t="shared" ca="1" si="31"/>
        <v>C1</v>
      </c>
      <c r="AS115" s="850" t="str">
        <f ca="1">VLOOKUP(AT115,Voorblad!$X$67:$Z$98,2,FALSE)</f>
        <v>Nederland</v>
      </c>
      <c r="AT115" s="851" t="str">
        <f t="shared" ca="1" si="32"/>
        <v>C1</v>
      </c>
      <c r="AU115" s="850" t="str">
        <f ca="1">VLOOKUP(AV115,Voorblad!$X$67:$Z$98,2,FALSE)</f>
        <v>Nederland</v>
      </c>
      <c r="AV115" s="851" t="str">
        <f t="shared" ca="1" si="33"/>
        <v>C1</v>
      </c>
      <c r="AW115" s="857" t="str">
        <f ca="1">VLOOKUP(AX115,Voorblad!$X$67:$Z$98,2,FALSE)</f>
        <v>Nederland</v>
      </c>
      <c r="AX115" s="858" t="str">
        <f t="shared" ca="1" si="34"/>
        <v>C1</v>
      </c>
      <c r="AY115" s="857" t="str">
        <f ca="1">VLOOKUP(AZ115,Voorblad!$X$67:$Z$98,2,FALSE)</f>
        <v>Nederland</v>
      </c>
      <c r="AZ115" s="858" t="str">
        <f t="shared" ca="1" si="35"/>
        <v>C1</v>
      </c>
      <c r="BA115" s="860">
        <f t="shared" si="36"/>
        <v>20</v>
      </c>
    </row>
    <row r="116" spans="2:53" x14ac:dyDescent="0.3">
      <c r="AB116" s="1278"/>
      <c r="AC116" s="1278"/>
      <c r="AD116" s="1278"/>
      <c r="AE116" s="1278"/>
      <c r="AF116" s="1278"/>
      <c r="AG116" s="1278"/>
      <c r="AH116" s="1278"/>
      <c r="AI116" s="1278"/>
      <c r="AJ116" s="1278"/>
      <c r="AK116" s="1278"/>
      <c r="AL116" s="1278"/>
      <c r="AM116" s="1278"/>
      <c r="AN116" s="1278"/>
      <c r="AO116" s="1278"/>
      <c r="AP116" s="1278"/>
      <c r="AQ116" s="884" t="str">
        <f ca="1">VLOOKUP(AR116,Voorblad!$X$67:$Z$98,2,FALSE)</f>
        <v>N.-Macedonië</v>
      </c>
      <c r="AR116" s="885" t="str">
        <f t="shared" ca="1" si="31"/>
        <v>C4</v>
      </c>
      <c r="AS116" s="850" t="str">
        <f ca="1">VLOOKUP(AT116,Voorblad!$X$67:$Z$98,2,FALSE)</f>
        <v>N.-Macedonië</v>
      </c>
      <c r="AT116" s="851" t="str">
        <f t="shared" ca="1" si="32"/>
        <v>C4</v>
      </c>
      <c r="AU116" s="850" t="str">
        <f ca="1">VLOOKUP(AV116,Voorblad!$X$67:$Z$98,2,FALSE)</f>
        <v>N.-Macedonië</v>
      </c>
      <c r="AV116" s="851" t="str">
        <f t="shared" ca="1" si="33"/>
        <v>C4</v>
      </c>
      <c r="AW116" s="857" t="str">
        <f ca="1">VLOOKUP(AX116,Voorblad!$X$67:$Z$98,2,FALSE)</f>
        <v>N.-Macedonië</v>
      </c>
      <c r="AX116" s="858" t="str">
        <f t="shared" ca="1" si="34"/>
        <v>C4</v>
      </c>
      <c r="AY116" s="857" t="str">
        <f ca="1">VLOOKUP(AZ116,Voorblad!$X$67:$Z$98,2,FALSE)</f>
        <v>N.-Macedonië</v>
      </c>
      <c r="AZ116" s="858" t="str">
        <f t="shared" ca="1" si="35"/>
        <v>C4</v>
      </c>
      <c r="BA116" s="860">
        <f t="shared" si="36"/>
        <v>22</v>
      </c>
    </row>
    <row r="117" spans="2:53" x14ac:dyDescent="0.3">
      <c r="AB117" s="607" t="s">
        <v>65</v>
      </c>
      <c r="AC117" s="608" t="str">
        <f>Taal04!$C$129</f>
        <v>De groepshoofden, de landen welke zich als eerste hebben geplaatst (België, Duitsland, Engeland, Italië, Oekraïne en Spanje), weten allen de groepsfase te overleven.</v>
      </c>
      <c r="AD117" s="609"/>
      <c r="AE117" s="609"/>
      <c r="AF117" s="609"/>
      <c r="AG117" s="609"/>
      <c r="AH117" s="609"/>
      <c r="AI117" s="609"/>
      <c r="AJ117" s="609"/>
      <c r="AK117" s="609"/>
      <c r="AL117" s="609"/>
      <c r="AM117" s="609"/>
      <c r="AN117" s="609"/>
      <c r="AO117" s="609"/>
      <c r="AP117" s="609"/>
      <c r="AQ117" s="884" t="str">
        <f ca="1">VLOOKUP(AR117,Voorblad!$X$67:$Z$98,2,FALSE)</f>
        <v>Oekraïne</v>
      </c>
      <c r="AR117" s="885" t="str">
        <f t="shared" ca="1" si="31"/>
        <v>C2</v>
      </c>
      <c r="AS117" s="850" t="str">
        <f ca="1">VLOOKUP(AT117,Voorblad!$X$67:$Z$98,2,FALSE)</f>
        <v>Oekraïne</v>
      </c>
      <c r="AT117" s="851" t="str">
        <f t="shared" ca="1" si="32"/>
        <v>C2</v>
      </c>
      <c r="AU117" s="850" t="str">
        <f ca="1">VLOOKUP(AV117,Voorblad!$X$67:$Z$98,2,FALSE)</f>
        <v>Oekraïne</v>
      </c>
      <c r="AV117" s="851" t="str">
        <f t="shared" ca="1" si="33"/>
        <v>C2</v>
      </c>
      <c r="AW117" s="857" t="str">
        <f ca="1">VLOOKUP(AX117,Voorblad!$X$67:$Z$98,2,FALSE)</f>
        <v>Oekraïne</v>
      </c>
      <c r="AX117" s="858" t="str">
        <f t="shared" ca="1" si="34"/>
        <v>C2</v>
      </c>
      <c r="AY117" s="857" t="str">
        <f ca="1">VLOOKUP(AZ117,Voorblad!$X$67:$Z$98,2,FALSE)</f>
        <v>Oekraïne</v>
      </c>
      <c r="AZ117" s="858" t="str">
        <f t="shared" ca="1" si="35"/>
        <v>C2</v>
      </c>
      <c r="BA117" s="860">
        <f t="shared" si="36"/>
        <v>24</v>
      </c>
    </row>
    <row r="118" spans="2:53" x14ac:dyDescent="0.3">
      <c r="AB118" s="610"/>
      <c r="AC118" s="611" t="s">
        <v>1228</v>
      </c>
      <c r="AD118" s="611"/>
      <c r="AE118" s="611"/>
      <c r="AF118" s="610"/>
      <c r="AG118" s="911" t="s">
        <v>386</v>
      </c>
      <c r="AH118" s="611" t="str">
        <f>"|"&amp;IF(AK14="GOED",AD14,AK14)&amp;"|"&amp;IF(AL14="GOED",AF14,AL14)&amp;"|"&amp;IF(AK16="GOED",AD16,AK16)&amp;"|"&amp;IF(AL16="GOED",AF16,AL16)&amp;"|"&amp;IF(AK18="GOED",AD18,AK18)&amp;"|"&amp;IF(AL18="GOED",AF18,AL18)&amp;"|"&amp;IF(AK20="GOED",AD20,AK20)&amp;"|"&amp;IF(AL20="GOED",AF20,AL20)&amp;"|"&amp;IF(AK22="GOED",AD22,AK22)&amp;"|"&amp;IF(AL22="GOED",AF22,AL22)&amp;"|"&amp;IF(AK24="GOED",AD24,AK24)&amp;"|"&amp;IF(AL24="GOED",AF24,AL24)&amp;"|"&amp;IF(AK26="GOED",AD26,AK26)&amp;"|"&amp;IF(AL26="GOED",AF26,AL26)&amp;"|"&amp;IF(AK28="GOED",AD28,AK28)&amp;"|"&amp;IF(AL28="GOED",AF28,AL28)&amp;"|"</f>
        <v>|LEEG|LEEG|LEEG|LEEG|LEEG|LEEG|LEEG|LEEG|LEEG|LEEG|LEEG|LEEG|LEEG|LEEG|LEEG|LEEG|</v>
      </c>
      <c r="AI118" s="610"/>
      <c r="AJ118" s="610"/>
      <c r="AK118" s="610"/>
      <c r="AL118" s="610"/>
      <c r="AM118" s="610"/>
      <c r="AN118" s="610"/>
      <c r="AO118" s="610"/>
      <c r="AP118" s="610"/>
      <c r="AQ118" s="884" t="str">
        <f ca="1">VLOOKUP(AR118,Voorblad!$X$67:$Z$98,2,FALSE)</f>
        <v>Oostenrijk</v>
      </c>
      <c r="AR118" s="885" t="str">
        <f t="shared" ca="1" si="31"/>
        <v>C3</v>
      </c>
      <c r="AS118" s="850" t="str">
        <f ca="1">VLOOKUP(AT118,Voorblad!$X$67:$Z$98,2,FALSE)</f>
        <v>Oostenrijk</v>
      </c>
      <c r="AT118" s="851" t="str">
        <f t="shared" ca="1" si="32"/>
        <v>C3</v>
      </c>
      <c r="AU118" s="850" t="str">
        <f ca="1">VLOOKUP(AV118,Voorblad!$X$67:$Z$98,2,FALSE)</f>
        <v>Oostenrijk</v>
      </c>
      <c r="AV118" s="851" t="str">
        <f t="shared" ca="1" si="33"/>
        <v>C3</v>
      </c>
      <c r="AW118" s="857" t="str">
        <f ca="1">VLOOKUP(AX118,Voorblad!$X$67:$Z$98,2,FALSE)</f>
        <v>Oostenrijk</v>
      </c>
      <c r="AX118" s="858" t="str">
        <f t="shared" ca="1" si="34"/>
        <v>C3</v>
      </c>
      <c r="AY118" s="857" t="str">
        <f ca="1">VLOOKUP(AZ118,Voorblad!$X$67:$Z$98,2,FALSE)</f>
        <v>Oostenrijk</v>
      </c>
      <c r="AZ118" s="858" t="str">
        <f t="shared" ca="1" si="35"/>
        <v>C3</v>
      </c>
      <c r="BA118" s="860">
        <f t="shared" ref="BA118:BA137" si="37">BA117+2</f>
        <v>26</v>
      </c>
    </row>
    <row r="119" spans="2:53" x14ac:dyDescent="0.3">
      <c r="AB119" s="610"/>
      <c r="AC119" s="611" t="s">
        <v>1229</v>
      </c>
      <c r="AD119" s="611"/>
      <c r="AE119" s="611"/>
      <c r="AF119" s="610"/>
      <c r="AG119" s="911" t="s">
        <v>386</v>
      </c>
      <c r="AH119" s="610" t="str">
        <f>IF(SUBSTITUTE(SUBSTITUTE($AH$118,"LEEG","##"),"ONGELDIG","$$")=$AH$118,"JA","NEE")</f>
        <v>NEE</v>
      </c>
      <c r="AI119" s="610"/>
      <c r="AJ119" s="610"/>
      <c r="AK119" s="610"/>
      <c r="AL119" s="610"/>
      <c r="AM119" s="610"/>
      <c r="AN119" s="610"/>
      <c r="AO119" s="610"/>
      <c r="AP119" s="610"/>
      <c r="AQ119" s="884" t="str">
        <f ca="1">VLOOKUP(AR119,Voorblad!$X$67:$Z$98,2,FALSE)</f>
        <v>Polen</v>
      </c>
      <c r="AR119" s="885" t="str">
        <f t="shared" ca="1" si="31"/>
        <v>E3</v>
      </c>
      <c r="AS119" s="850" t="str">
        <f ca="1">VLOOKUP(AT119,Voorblad!$X$67:$Z$98,2,FALSE)</f>
        <v>Polen</v>
      </c>
      <c r="AT119" s="851" t="str">
        <f t="shared" ca="1" si="32"/>
        <v>E3</v>
      </c>
      <c r="AU119" s="850" t="str">
        <f ca="1">VLOOKUP(AV119,Voorblad!$X$67:$Z$98,2,FALSE)</f>
        <v>Polen</v>
      </c>
      <c r="AV119" s="851" t="str">
        <f t="shared" ca="1" si="33"/>
        <v>E3</v>
      </c>
      <c r="AW119" s="857" t="str">
        <f ca="1">VLOOKUP(AX119,Voorblad!$X$67:$Z$98,2,FALSE)</f>
        <v>Polen</v>
      </c>
      <c r="AX119" s="858" t="str">
        <f t="shared" ca="1" si="34"/>
        <v>E3</v>
      </c>
      <c r="AY119" s="857" t="str">
        <f ca="1">VLOOKUP(AZ119,Voorblad!$X$67:$Z$98,2,FALSE)</f>
        <v>Polen</v>
      </c>
      <c r="AZ119" s="858" t="str">
        <f t="shared" ca="1" si="35"/>
        <v>E3</v>
      </c>
      <c r="BA119" s="860">
        <f t="shared" si="37"/>
        <v>28</v>
      </c>
    </row>
    <row r="120" spans="2:53" x14ac:dyDescent="0.3">
      <c r="AB120" s="610"/>
      <c r="AC120" s="611" t="s">
        <v>9</v>
      </c>
      <c r="AD120" s="610"/>
      <c r="AE120" s="517" t="s">
        <v>67</v>
      </c>
      <c r="AF120" s="610" t="s">
        <v>928</v>
      </c>
      <c r="AG120" s="911" t="s">
        <v>386</v>
      </c>
      <c r="AH120" s="610" t="str">
        <f t="shared" ref="AH120:AH125" si="38">IF(SUBSTITUTE($AH$118,AF120,"##")=$AH$118,"NEE","JA")</f>
        <v>NEE</v>
      </c>
      <c r="AI120" s="610"/>
      <c r="AJ120" s="610"/>
      <c r="AK120" s="610"/>
      <c r="AL120" s="610"/>
      <c r="AM120" s="610"/>
      <c r="AN120" s="610"/>
      <c r="AO120" s="610"/>
      <c r="AP120" s="610"/>
      <c r="AQ120" s="884" t="str">
        <f ca="1">VLOOKUP(AR120,Voorblad!$X$67:$Z$98,2,FALSE)</f>
        <v>Portugal</v>
      </c>
      <c r="AR120" s="885" t="str">
        <f t="shared" ca="1" si="31"/>
        <v>F2</v>
      </c>
      <c r="AS120" s="850" t="str">
        <f ca="1">VLOOKUP(AT120,Voorblad!$X$67:$Z$98,2,FALSE)</f>
        <v>Portugal</v>
      </c>
      <c r="AT120" s="851" t="str">
        <f t="shared" ca="1" si="32"/>
        <v>F2</v>
      </c>
      <c r="AU120" s="850" t="str">
        <f ca="1">VLOOKUP(AV120,Voorblad!$X$67:$Z$98,2,FALSE)</f>
        <v>Portugal</v>
      </c>
      <c r="AV120" s="851" t="str">
        <f t="shared" ca="1" si="33"/>
        <v>F2</v>
      </c>
      <c r="AW120" s="857" t="str">
        <f ca="1">VLOOKUP(AX120,Voorblad!$X$67:$Z$98,2,FALSE)</f>
        <v>Portugal</v>
      </c>
      <c r="AX120" s="858" t="str">
        <f t="shared" ca="1" si="34"/>
        <v>F2</v>
      </c>
      <c r="AY120" s="857" t="str">
        <f ca="1">VLOOKUP(AZ120,Voorblad!$X$67:$Z$98,2,FALSE)</f>
        <v>Portugal</v>
      </c>
      <c r="AZ120" s="858" t="str">
        <f t="shared" ca="1" si="35"/>
        <v>F2</v>
      </c>
      <c r="BA120" s="860">
        <f t="shared" si="37"/>
        <v>30</v>
      </c>
    </row>
    <row r="121" spans="2:53" x14ac:dyDescent="0.3">
      <c r="AB121" s="610"/>
      <c r="AC121" s="611" t="s">
        <v>14</v>
      </c>
      <c r="AD121" s="610"/>
      <c r="AE121" s="517" t="s">
        <v>67</v>
      </c>
      <c r="AF121" s="610" t="s">
        <v>471</v>
      </c>
      <c r="AG121" s="911" t="s">
        <v>386</v>
      </c>
      <c r="AH121" s="610" t="str">
        <f t="shared" si="38"/>
        <v>NEE</v>
      </c>
      <c r="AI121" s="610"/>
      <c r="AJ121" s="610"/>
      <c r="AK121" s="610"/>
      <c r="AL121" s="610"/>
      <c r="AM121" s="610"/>
      <c r="AN121" s="610"/>
      <c r="AO121" s="610"/>
      <c r="AP121" s="610"/>
      <c r="AQ121" s="884" t="str">
        <f ca="1">VLOOKUP(AR121,Voorblad!$X$67:$Z$98,2,FALSE)</f>
        <v>Rusland</v>
      </c>
      <c r="AR121" s="885" t="str">
        <f t="shared" ca="1" si="31"/>
        <v>B4</v>
      </c>
      <c r="AS121" s="850" t="str">
        <f ca="1">VLOOKUP(AT121,Voorblad!$X$67:$Z$98,2,FALSE)</f>
        <v>Rusland</v>
      </c>
      <c r="AT121" s="851" t="str">
        <f t="shared" ca="1" si="32"/>
        <v>B4</v>
      </c>
      <c r="AU121" s="850" t="str">
        <f ca="1">VLOOKUP(AV121,Voorblad!$X$67:$Z$98,2,FALSE)</f>
        <v>Rusland</v>
      </c>
      <c r="AV121" s="851" t="str">
        <f t="shared" ca="1" si="33"/>
        <v>B4</v>
      </c>
      <c r="AW121" s="857" t="str">
        <f ca="1">VLOOKUP(AX121,Voorblad!$X$67:$Z$98,2,FALSE)</f>
        <v>Rusland</v>
      </c>
      <c r="AX121" s="858" t="str">
        <f t="shared" ca="1" si="34"/>
        <v>B4</v>
      </c>
      <c r="AY121" s="857" t="str">
        <f ca="1">VLOOKUP(AZ121,Voorblad!$X$67:$Z$98,2,FALSE)</f>
        <v>Rusland</v>
      </c>
      <c r="AZ121" s="858" t="str">
        <f t="shared" ca="1" si="35"/>
        <v>B4</v>
      </c>
      <c r="BA121" s="860">
        <f t="shared" si="37"/>
        <v>32</v>
      </c>
    </row>
    <row r="122" spans="2:53" x14ac:dyDescent="0.3">
      <c r="AB122" s="610"/>
      <c r="AC122" s="611" t="s">
        <v>22</v>
      </c>
      <c r="AD122" s="610"/>
      <c r="AE122" s="517" t="s">
        <v>67</v>
      </c>
      <c r="AF122" s="610" t="s">
        <v>931</v>
      </c>
      <c r="AG122" s="911" t="s">
        <v>386</v>
      </c>
      <c r="AH122" s="610" t="str">
        <f t="shared" si="38"/>
        <v>NEE</v>
      </c>
      <c r="AI122" s="610"/>
      <c r="AJ122" s="610"/>
      <c r="AK122" s="610"/>
      <c r="AL122" s="610"/>
      <c r="AM122" s="610"/>
      <c r="AN122" s="610"/>
      <c r="AO122" s="610"/>
      <c r="AP122" s="610"/>
      <c r="AQ122" s="884" t="str">
        <f ca="1">VLOOKUP(AR122,Voorblad!$X$67:$Z$98,2,FALSE)</f>
        <v>Schotland</v>
      </c>
      <c r="AR122" s="885" t="str">
        <f t="shared" ca="1" si="31"/>
        <v>D3</v>
      </c>
      <c r="AS122" s="850" t="str">
        <f ca="1">VLOOKUP(AT122,Voorblad!$X$67:$Z$98,2,FALSE)</f>
        <v>Schotland</v>
      </c>
      <c r="AT122" s="851" t="str">
        <f t="shared" ca="1" si="32"/>
        <v>D3</v>
      </c>
      <c r="AU122" s="850" t="str">
        <f ca="1">VLOOKUP(AV122,Voorblad!$X$67:$Z$98,2,FALSE)</f>
        <v>Schotland</v>
      </c>
      <c r="AV122" s="851" t="str">
        <f t="shared" ca="1" si="33"/>
        <v>D3</v>
      </c>
      <c r="AW122" s="857" t="str">
        <f ca="1">VLOOKUP(AX122,Voorblad!$X$67:$Z$98,2,FALSE)</f>
        <v>Schotland</v>
      </c>
      <c r="AX122" s="858" t="str">
        <f t="shared" ca="1" si="34"/>
        <v>D3</v>
      </c>
      <c r="AY122" s="857" t="str">
        <f ca="1">VLOOKUP(AZ122,Voorblad!$X$67:$Z$98,2,FALSE)</f>
        <v>Schotland</v>
      </c>
      <c r="AZ122" s="858" t="str">
        <f t="shared" ca="1" si="35"/>
        <v>D3</v>
      </c>
      <c r="BA122" s="860">
        <f t="shared" si="37"/>
        <v>34</v>
      </c>
    </row>
    <row r="123" spans="2:53" x14ac:dyDescent="0.3">
      <c r="AB123" s="610"/>
      <c r="AC123" s="611" t="s">
        <v>23</v>
      </c>
      <c r="AD123" s="610"/>
      <c r="AE123" s="517" t="s">
        <v>67</v>
      </c>
      <c r="AF123" s="610" t="s">
        <v>481</v>
      </c>
      <c r="AG123" s="911" t="s">
        <v>386</v>
      </c>
      <c r="AH123" s="610" t="str">
        <f t="shared" si="38"/>
        <v>NEE</v>
      </c>
      <c r="AI123" s="610"/>
      <c r="AJ123" s="610"/>
      <c r="AK123" s="610"/>
      <c r="AL123" s="610"/>
      <c r="AM123" s="610"/>
      <c r="AN123" s="610"/>
      <c r="AO123" s="610"/>
      <c r="AP123" s="610"/>
      <c r="AQ123" s="884" t="str">
        <f ca="1">VLOOKUP(AR123,Voorblad!$X$67:$Z$98,2,FALSE)</f>
        <v>Slowakije</v>
      </c>
      <c r="AR123" s="885" t="str">
        <f t="shared" ca="1" si="31"/>
        <v>E4</v>
      </c>
      <c r="AS123" s="850" t="str">
        <f ca="1">VLOOKUP(AT123,Voorblad!$X$67:$Z$98,2,FALSE)</f>
        <v>Slowakije</v>
      </c>
      <c r="AT123" s="851" t="str">
        <f t="shared" ca="1" si="32"/>
        <v>E4</v>
      </c>
      <c r="AU123" s="850" t="str">
        <f ca="1">VLOOKUP(AV123,Voorblad!$X$67:$Z$98,2,FALSE)</f>
        <v>Slowakije</v>
      </c>
      <c r="AV123" s="851" t="str">
        <f t="shared" ca="1" si="33"/>
        <v>E4</v>
      </c>
      <c r="AW123" s="857" t="str">
        <f ca="1">VLOOKUP(AX123,Voorblad!$X$67:$Z$98,2,FALSE)</f>
        <v>Slowakije</v>
      </c>
      <c r="AX123" s="858" t="str">
        <f t="shared" ca="1" si="34"/>
        <v>E4</v>
      </c>
      <c r="AY123" s="857" t="str">
        <f ca="1">VLOOKUP(AZ123,Voorblad!$X$67:$Z$98,2,FALSE)</f>
        <v>Slowakije</v>
      </c>
      <c r="AZ123" s="858" t="str">
        <f t="shared" ca="1" si="35"/>
        <v>E4</v>
      </c>
      <c r="BA123" s="860">
        <f t="shared" si="37"/>
        <v>36</v>
      </c>
    </row>
    <row r="124" spans="2:53" x14ac:dyDescent="0.3">
      <c r="AB124" s="610"/>
      <c r="AC124" s="611" t="s">
        <v>106</v>
      </c>
      <c r="AD124" s="610"/>
      <c r="AE124" s="517" t="s">
        <v>67</v>
      </c>
      <c r="AF124" s="610" t="s">
        <v>480</v>
      </c>
      <c r="AG124" s="911" t="s">
        <v>386</v>
      </c>
      <c r="AH124" s="610" t="str">
        <f t="shared" si="38"/>
        <v>NEE</v>
      </c>
      <c r="AI124" s="610"/>
      <c r="AJ124" s="610"/>
      <c r="AK124" s="610"/>
      <c r="AL124" s="610"/>
      <c r="AM124" s="610"/>
      <c r="AN124" s="610"/>
      <c r="AO124" s="610"/>
      <c r="AP124" s="610"/>
      <c r="AQ124" s="884" t="str">
        <f ca="1">VLOOKUP(AR124,Voorblad!$X$67:$Z$98,2,FALSE)</f>
        <v>Spanje</v>
      </c>
      <c r="AR124" s="885" t="str">
        <f t="shared" ca="1" si="31"/>
        <v>E1</v>
      </c>
      <c r="AS124" s="850" t="str">
        <f ca="1">VLOOKUP(AT124,Voorblad!$X$67:$Z$98,2,FALSE)</f>
        <v>Spanje</v>
      </c>
      <c r="AT124" s="851" t="str">
        <f t="shared" ca="1" si="32"/>
        <v>E1</v>
      </c>
      <c r="AU124" s="850" t="str">
        <f ca="1">VLOOKUP(AV124,Voorblad!$X$67:$Z$98,2,FALSE)</f>
        <v>Spanje</v>
      </c>
      <c r="AV124" s="851" t="str">
        <f t="shared" ca="1" si="33"/>
        <v>E1</v>
      </c>
      <c r="AW124" s="857" t="str">
        <f ca="1">VLOOKUP(AX124,Voorblad!$X$67:$Z$98,2,FALSE)</f>
        <v>Spanje</v>
      </c>
      <c r="AX124" s="858" t="str">
        <f t="shared" ca="1" si="34"/>
        <v>E1</v>
      </c>
      <c r="AY124" s="857" t="str">
        <f ca="1">VLOOKUP(AZ124,Voorblad!$X$67:$Z$98,2,FALSE)</f>
        <v>Spanje</v>
      </c>
      <c r="AZ124" s="858" t="str">
        <f t="shared" ca="1" si="35"/>
        <v>E1</v>
      </c>
      <c r="BA124" s="860">
        <f t="shared" si="37"/>
        <v>38</v>
      </c>
    </row>
    <row r="125" spans="2:53" x14ac:dyDescent="0.3">
      <c r="B125" s="462"/>
      <c r="C125" s="462"/>
      <c r="AB125" s="610"/>
      <c r="AC125" s="611" t="s">
        <v>107</v>
      </c>
      <c r="AD125" s="610"/>
      <c r="AE125" s="610" t="s">
        <v>67</v>
      </c>
      <c r="AF125" s="610" t="s">
        <v>6</v>
      </c>
      <c r="AG125" s="911" t="s">
        <v>386</v>
      </c>
      <c r="AH125" s="610" t="str">
        <f t="shared" si="38"/>
        <v>NEE</v>
      </c>
      <c r="AI125" s="610"/>
      <c r="AJ125" s="610"/>
      <c r="AK125" s="610"/>
      <c r="AL125" s="610"/>
      <c r="AM125" s="610"/>
      <c r="AN125" s="911" t="s">
        <v>386</v>
      </c>
      <c r="AO125" s="614" t="str">
        <f>IF(COUNTIF(AH120:AH125,"JA")=6,"JA",IF(AH119="NEE","onvoldoende gegevens","NEE"))</f>
        <v>onvoldoende gegevens</v>
      </c>
      <c r="AP125" s="912"/>
      <c r="AQ125" s="884" t="str">
        <f ca="1">VLOOKUP(AR125,Voorblad!$X$67:$Z$98,2,FALSE)</f>
        <v>Tsjechië</v>
      </c>
      <c r="AR125" s="885" t="str">
        <f t="shared" ca="1" si="31"/>
        <v>D4</v>
      </c>
      <c r="AS125" s="850" t="str">
        <f ca="1">VLOOKUP(AT125,Voorblad!$X$67:$Z$98,2,FALSE)</f>
        <v>Tsjechië</v>
      </c>
      <c r="AT125" s="851" t="str">
        <f t="shared" ca="1" si="32"/>
        <v>D4</v>
      </c>
      <c r="AU125" s="850" t="str">
        <f ca="1">VLOOKUP(AV125,Voorblad!$X$67:$Z$98,2,FALSE)</f>
        <v>Tsjechië</v>
      </c>
      <c r="AV125" s="851" t="str">
        <f t="shared" ca="1" si="33"/>
        <v>D4</v>
      </c>
      <c r="AW125" s="857" t="str">
        <f ca="1">VLOOKUP(AX125,Voorblad!$X$67:$Z$98,2,FALSE)</f>
        <v>Tsjechië</v>
      </c>
      <c r="AX125" s="858" t="str">
        <f t="shared" ca="1" si="34"/>
        <v>D4</v>
      </c>
      <c r="AY125" s="857" t="str">
        <f ca="1">VLOOKUP(AZ125,Voorblad!$X$67:$Z$98,2,FALSE)</f>
        <v>Tsjechië</v>
      </c>
      <c r="AZ125" s="858" t="str">
        <f t="shared" ca="1" si="35"/>
        <v>D4</v>
      </c>
      <c r="BA125" s="860">
        <f t="shared" si="37"/>
        <v>40</v>
      </c>
    </row>
    <row r="126" spans="2:53" x14ac:dyDescent="0.3">
      <c r="B126" s="462"/>
      <c r="C126" s="462"/>
      <c r="AB126" s="473"/>
      <c r="AC126" s="473"/>
      <c r="AD126" s="473"/>
      <c r="AE126" s="473"/>
      <c r="AF126" s="473"/>
      <c r="AG126" s="473"/>
      <c r="AH126" s="473"/>
      <c r="AI126" s="473"/>
      <c r="AJ126" s="473"/>
      <c r="AK126" s="473"/>
      <c r="AL126" s="473"/>
      <c r="AM126" s="473"/>
      <c r="AN126" s="473"/>
      <c r="AO126" s="473"/>
      <c r="AP126" s="913"/>
      <c r="AQ126" s="884" t="str">
        <f ca="1">VLOOKUP(AR126,Voorblad!$X$67:$Z$98,2,FALSE)</f>
        <v>Turkije</v>
      </c>
      <c r="AR126" s="885" t="str">
        <f t="shared" ca="1" si="31"/>
        <v>A1</v>
      </c>
      <c r="AS126" s="850" t="str">
        <f ca="1">VLOOKUP(AT126,Voorblad!$X$67:$Z$98,2,FALSE)</f>
        <v>Turkije</v>
      </c>
      <c r="AT126" s="851" t="str">
        <f t="shared" ca="1" si="32"/>
        <v>A1</v>
      </c>
      <c r="AU126" s="850" t="str">
        <f ca="1">VLOOKUP(AV126,Voorblad!$X$67:$Z$98,2,FALSE)</f>
        <v>Turkije</v>
      </c>
      <c r="AV126" s="851" t="str">
        <f t="shared" ca="1" si="33"/>
        <v>A1</v>
      </c>
      <c r="AW126" s="857" t="str">
        <f ca="1">VLOOKUP(AX126,Voorblad!$X$67:$Z$98,2,FALSE)</f>
        <v>Turkije</v>
      </c>
      <c r="AX126" s="858" t="str">
        <f t="shared" ca="1" si="34"/>
        <v>A1</v>
      </c>
      <c r="AY126" s="857" t="str">
        <f ca="1">VLOOKUP(AZ126,Voorblad!$X$67:$Z$98,2,FALSE)</f>
        <v>Turkije</v>
      </c>
      <c r="AZ126" s="858" t="str">
        <f t="shared" ca="1" si="35"/>
        <v>A1</v>
      </c>
      <c r="BA126" s="860">
        <f t="shared" si="37"/>
        <v>42</v>
      </c>
    </row>
    <row r="127" spans="2:53" x14ac:dyDescent="0.3">
      <c r="B127" s="462"/>
      <c r="C127" s="462"/>
      <c r="AB127" s="472"/>
      <c r="AC127" s="472"/>
      <c r="AD127" s="472"/>
      <c r="AE127" s="472"/>
      <c r="AF127" s="472"/>
      <c r="AG127" s="472"/>
      <c r="AH127" s="472"/>
      <c r="AI127" s="472"/>
      <c r="AJ127" s="472"/>
      <c r="AK127" s="472"/>
      <c r="AL127" s="472"/>
      <c r="AM127" s="472"/>
      <c r="AN127" s="472"/>
      <c r="AO127" s="472"/>
      <c r="AP127" s="914"/>
      <c r="AQ127" s="884" t="str">
        <f ca="1">VLOOKUP(AR127,Voorblad!$X$67:$Z$98,2,FALSE)</f>
        <v>Wales</v>
      </c>
      <c r="AR127" s="885" t="str">
        <f t="shared" ca="1" si="31"/>
        <v>A3</v>
      </c>
      <c r="AS127" s="850" t="str">
        <f ca="1">VLOOKUP(AT127,Voorblad!$X$67:$Z$98,2,FALSE)</f>
        <v>Wales</v>
      </c>
      <c r="AT127" s="851" t="str">
        <f t="shared" ca="1" si="32"/>
        <v>A3</v>
      </c>
      <c r="AU127" s="850" t="str">
        <f ca="1">VLOOKUP(AV127,Voorblad!$X$67:$Z$98,2,FALSE)</f>
        <v>Wales</v>
      </c>
      <c r="AV127" s="851" t="str">
        <f t="shared" ca="1" si="33"/>
        <v>A3</v>
      </c>
      <c r="AW127" s="857" t="str">
        <f ca="1">VLOOKUP(AX127,Voorblad!$X$67:$Z$98,2,FALSE)</f>
        <v>Wales</v>
      </c>
      <c r="AX127" s="858" t="str">
        <f t="shared" ca="1" si="34"/>
        <v>A3</v>
      </c>
      <c r="AY127" s="857" t="str">
        <f ca="1">VLOOKUP(AZ127,Voorblad!$X$67:$Z$98,2,FALSE)</f>
        <v>Wales</v>
      </c>
      <c r="AZ127" s="858" t="str">
        <f t="shared" ca="1" si="35"/>
        <v>A3</v>
      </c>
      <c r="BA127" s="860">
        <f t="shared" si="37"/>
        <v>44</v>
      </c>
    </row>
    <row r="128" spans="2:53" x14ac:dyDescent="0.3">
      <c r="B128" s="462"/>
      <c r="C128" s="462"/>
      <c r="AB128" s="607" t="s">
        <v>97</v>
      </c>
      <c r="AC128" s="608" t="str">
        <f>Taal04!$C$130</f>
        <v>Van de zes groepswinnaars weten er minimaal vijf de achtste finales te overleven en zo ook de kwartfinales te bereiken.</v>
      </c>
      <c r="AD128" s="609"/>
      <c r="AE128" s="609"/>
      <c r="AF128" s="609"/>
      <c r="AG128" s="609"/>
      <c r="AH128" s="609"/>
      <c r="AI128" s="609"/>
      <c r="AJ128" s="609"/>
      <c r="AK128" s="609"/>
      <c r="AL128" s="609"/>
      <c r="AM128" s="609"/>
      <c r="AN128" s="609"/>
      <c r="AO128" s="609"/>
      <c r="AP128" s="609"/>
      <c r="AQ128" s="884" t="str">
        <f ca="1">VLOOKUP(AR128,Voorblad!$X$67:$Z$98,2,FALSE)</f>
        <v>Zweden</v>
      </c>
      <c r="AR128" s="885" t="str">
        <f t="shared" ca="1" si="31"/>
        <v>E2</v>
      </c>
      <c r="AS128" s="850" t="str">
        <f ca="1">VLOOKUP(AT128,Voorblad!$X$67:$Z$98,2,FALSE)</f>
        <v>Zweden</v>
      </c>
      <c r="AT128" s="851" t="str">
        <f t="shared" ca="1" si="32"/>
        <v>E2</v>
      </c>
      <c r="AU128" s="850" t="str">
        <f ca="1">VLOOKUP(AV128,Voorblad!$X$67:$Z$98,2,FALSE)</f>
        <v>Zweden</v>
      </c>
      <c r="AV128" s="851" t="str">
        <f t="shared" ca="1" si="33"/>
        <v>E2</v>
      </c>
      <c r="AW128" s="857" t="str">
        <f ca="1">VLOOKUP(AX128,Voorblad!$X$67:$Z$98,2,FALSE)</f>
        <v>Zweden</v>
      </c>
      <c r="AX128" s="858" t="str">
        <f t="shared" ca="1" si="34"/>
        <v>E2</v>
      </c>
      <c r="AY128" s="857" t="str">
        <f ca="1">VLOOKUP(AZ128,Voorblad!$X$67:$Z$98,2,FALSE)</f>
        <v>Zweden</v>
      </c>
      <c r="AZ128" s="858" t="str">
        <f t="shared" ca="1" si="35"/>
        <v>E2</v>
      </c>
      <c r="BA128" s="860">
        <f t="shared" si="37"/>
        <v>46</v>
      </c>
    </row>
    <row r="129" spans="2:53" x14ac:dyDescent="0.3">
      <c r="B129" s="462"/>
      <c r="C129" s="462"/>
      <c r="AB129" s="517"/>
      <c r="AC129" s="611" t="s">
        <v>442</v>
      </c>
      <c r="AD129" s="610"/>
      <c r="AE129" s="517" t="s">
        <v>67</v>
      </c>
      <c r="AF129" s="611" t="str">
        <f>IF(AG71=1,AC70,"HUIDIG BLAD")</f>
        <v>EINDSTAND GROEP VOORSPELLEN</v>
      </c>
      <c r="AG129" s="517"/>
      <c r="AH129" s="517"/>
      <c r="AI129" s="517"/>
      <c r="AJ129" s="517"/>
      <c r="AK129" s="517"/>
      <c r="AL129" s="517"/>
      <c r="AM129" s="517"/>
      <c r="AN129" s="517"/>
      <c r="AO129" s="616" t="s">
        <v>467</v>
      </c>
      <c r="AP129" s="617">
        <f>COUNTIF(AM130:AM135,"onvoldoende gegevens")</f>
        <v>6</v>
      </c>
      <c r="AQ129" s="884" t="str">
        <f ca="1">VLOOKUP(AR129,Voorblad!$X$67:$Z$98,2,FALSE)</f>
        <v>Zwitserland</v>
      </c>
      <c r="AR129" s="885" t="str">
        <f t="shared" ca="1" si="31"/>
        <v>A4</v>
      </c>
      <c r="AS129" s="850" t="str">
        <f ca="1">VLOOKUP(AT129,Voorblad!$X$67:$Z$98,2,FALSE)</f>
        <v>Zwitserland</v>
      </c>
      <c r="AT129" s="851" t="str">
        <f t="shared" ca="1" si="32"/>
        <v>A4</v>
      </c>
      <c r="AU129" s="850" t="str">
        <f ca="1">VLOOKUP(AV129,Voorblad!$X$67:$Z$98,2,FALSE)</f>
        <v>Zwitserland</v>
      </c>
      <c r="AV129" s="851" t="str">
        <f t="shared" ca="1" si="33"/>
        <v>A4</v>
      </c>
      <c r="AW129" s="857" t="str">
        <f ca="1">VLOOKUP(AX129,Voorblad!$X$67:$Z$98,2,FALSE)</f>
        <v>Zwitserland</v>
      </c>
      <c r="AX129" s="858" t="str">
        <f t="shared" ca="1" si="34"/>
        <v>A4</v>
      </c>
      <c r="AY129" s="857" t="str">
        <f ca="1">VLOOKUP(AZ129,Voorblad!$X$67:$Z$98,2,FALSE)</f>
        <v>Zwitserland</v>
      </c>
      <c r="AZ129" s="858" t="str">
        <f t="shared" ca="1" si="35"/>
        <v>A4</v>
      </c>
      <c r="BA129" s="860">
        <f t="shared" si="37"/>
        <v>48</v>
      </c>
    </row>
    <row r="130" spans="2:53" x14ac:dyDescent="0.3">
      <c r="B130" s="462"/>
      <c r="C130" s="462"/>
      <c r="AB130" s="517"/>
      <c r="AC130" s="615" t="str">
        <f>IF($AF$129="HUIDIG BLAD","wed. 37t","nr.1 grp A")</f>
        <v>nr.1 grp A</v>
      </c>
      <c r="AD130" s="517"/>
      <c r="AE130" s="517" t="s">
        <v>67</v>
      </c>
      <c r="AF130" s="517" t="str">
        <f>IF($AF$129="HUIDIG BLAD",IF($AK$16="GOED",$AD$16,$AK$16),IF('Eindstand Groep'!$Y$15="FOUT","FOUT",LEFT('Eindstand Groep'!$Y$15,2)))</f>
        <v>FOUT</v>
      </c>
      <c r="AG130" s="517" t="s">
        <v>430</v>
      </c>
      <c r="AH130" s="615" t="s">
        <v>1230</v>
      </c>
      <c r="AI130" s="517"/>
      <c r="AJ130" s="517" t="s">
        <v>67</v>
      </c>
      <c r="AK130" s="517" t="str">
        <f>IF($AL$38="GOED",$AF$38,$AL$38)</f>
        <v>LEEG</v>
      </c>
      <c r="AL130" s="911" t="s">
        <v>386</v>
      </c>
      <c r="AM130" s="611" t="str">
        <f t="shared" ref="AM130:AM135" si="39">IF(OR(AF130="LEEG",AF130="FOUT",AF130="ONGELDIG",AK130="LEEG",AK130="FOUT",AK130="ONGELDIG"),"onvoldoende gegevens",IF(AF130=AK130,"JA","NEE"))</f>
        <v>onvoldoende gegevens</v>
      </c>
      <c r="AN130" s="517"/>
      <c r="AO130" s="616" t="s">
        <v>468</v>
      </c>
      <c r="AP130" s="617">
        <f>COUNTIF(AM130:AM135,"JA")</f>
        <v>0</v>
      </c>
      <c r="AQ130" s="884"/>
      <c r="AR130" s="885"/>
      <c r="AS130" s="850"/>
      <c r="AT130" s="851"/>
      <c r="AU130" s="850"/>
      <c r="AV130" s="851"/>
      <c r="AW130" s="857"/>
      <c r="AX130" s="858"/>
      <c r="AY130" s="857"/>
      <c r="AZ130" s="858"/>
      <c r="BA130" s="860">
        <f t="shared" si="37"/>
        <v>50</v>
      </c>
    </row>
    <row r="131" spans="2:53" x14ac:dyDescent="0.3">
      <c r="B131" s="462"/>
      <c r="C131" s="462"/>
      <c r="AB131" s="517"/>
      <c r="AC131" s="615" t="str">
        <f>IF($AF$129="HUIDIG BLAD","wed. 39t","nr.1 grp B")</f>
        <v>nr.1 grp B</v>
      </c>
      <c r="AD131" s="517"/>
      <c r="AE131" s="517" t="s">
        <v>67</v>
      </c>
      <c r="AF131" s="517" t="str">
        <f>IF($AF$129="HUIDIG BLAD",IF($AK$20="GOED",$AD$20,$AK$20),IF('Eindstand Groep'!$Z$15="FOUT","FOUT",LEFT('Eindstand Groep'!$Z$15,2)))</f>
        <v>FOUT</v>
      </c>
      <c r="AG131" s="517" t="s">
        <v>430</v>
      </c>
      <c r="AH131" s="615" t="s">
        <v>1231</v>
      </c>
      <c r="AI131" s="517"/>
      <c r="AJ131" s="517" t="s">
        <v>67</v>
      </c>
      <c r="AK131" s="517" t="str">
        <f>IF($AK$38="GOED",$AD$38,$AK$38)</f>
        <v>LEEG</v>
      </c>
      <c r="AL131" s="911" t="s">
        <v>386</v>
      </c>
      <c r="AM131" s="611" t="str">
        <f t="shared" si="39"/>
        <v>onvoldoende gegevens</v>
      </c>
      <c r="AN131" s="517"/>
      <c r="AO131" s="616" t="s">
        <v>1240</v>
      </c>
      <c r="AP131" s="617">
        <v>5</v>
      </c>
      <c r="AQ131" s="884"/>
      <c r="AR131" s="885"/>
      <c r="AS131" s="850"/>
      <c r="AT131" s="851"/>
      <c r="AU131" s="850"/>
      <c r="AV131" s="851"/>
      <c r="AW131" s="857"/>
      <c r="AX131" s="858"/>
      <c r="AY131" s="857"/>
      <c r="AZ131" s="858"/>
      <c r="BA131" s="860">
        <f t="shared" si="37"/>
        <v>52</v>
      </c>
    </row>
    <row r="132" spans="2:53" x14ac:dyDescent="0.3">
      <c r="AB132" s="517"/>
      <c r="AC132" s="615" t="str">
        <f>IF($AF$129="HUIDIG BLAD","wed. 40t","nr.1 grp C")</f>
        <v>nr.1 grp C</v>
      </c>
      <c r="AD132" s="517"/>
      <c r="AE132" s="517" t="s">
        <v>67</v>
      </c>
      <c r="AF132" s="517" t="str">
        <f>IF($AF$129="HUIDIG BLAD",IF($AK$18="GOED",$AD$18,$AK$18),IF('Eindstand Groep'!$Y$25="FOUT","FOUT",LEFT('Eindstand Groep'!$Y$25,2)))</f>
        <v>FOUT</v>
      </c>
      <c r="AG132" s="517" t="s">
        <v>430</v>
      </c>
      <c r="AH132" s="615" t="s">
        <v>1232</v>
      </c>
      <c r="AI132" s="517"/>
      <c r="AJ132" s="517" t="s">
        <v>67</v>
      </c>
      <c r="AK132" s="517" t="str">
        <f>IF($AK$40="GOED",$AD$40,$AK$40)</f>
        <v>LEEG</v>
      </c>
      <c r="AL132" s="911" t="s">
        <v>386</v>
      </c>
      <c r="AM132" s="611" t="str">
        <f t="shared" si="39"/>
        <v>onvoldoende gegevens</v>
      </c>
      <c r="AN132" s="517"/>
      <c r="AO132" s="616" t="s">
        <v>469</v>
      </c>
      <c r="AP132" s="617">
        <f>COUNTIF(AM130:AM135,"NEE")</f>
        <v>0</v>
      </c>
      <c r="AQ132" s="884"/>
      <c r="AR132" s="885"/>
      <c r="AS132" s="850"/>
      <c r="AT132" s="851"/>
      <c r="AU132" s="850"/>
      <c r="AV132" s="851"/>
      <c r="AW132" s="857"/>
      <c r="AX132" s="858"/>
      <c r="AY132" s="857"/>
      <c r="AZ132" s="858"/>
      <c r="BA132" s="860">
        <f t="shared" si="37"/>
        <v>54</v>
      </c>
    </row>
    <row r="133" spans="2:53" ht="15" customHeight="1" x14ac:dyDescent="0.3">
      <c r="AB133" s="517"/>
      <c r="AC133" s="615" t="str">
        <f>IF($AF$129="HUIDIG BLAD","wed. 44t","nr.1 grp D")</f>
        <v>nr.1 grp D</v>
      </c>
      <c r="AD133" s="517"/>
      <c r="AE133" s="517" t="s">
        <v>67</v>
      </c>
      <c r="AF133" s="517" t="str">
        <f>IF($AF$129="HUIDIG BLAD",IF($AK$26="GOED",$AD$26,$AK$26),IF('Eindstand Groep'!$Z$25="FOUT","FOUT",LEFT('Eindstand Groep'!$Z$25,2)))</f>
        <v>FOUT</v>
      </c>
      <c r="AG133" s="517" t="s">
        <v>430</v>
      </c>
      <c r="AH133" s="615" t="s">
        <v>1233</v>
      </c>
      <c r="AI133" s="517"/>
      <c r="AJ133" s="517" t="s">
        <v>67</v>
      </c>
      <c r="AK133" s="517" t="str">
        <f>IF($AL$42="GOED",$AF$42,$AL$42)</f>
        <v>LEEG</v>
      </c>
      <c r="AL133" s="911" t="s">
        <v>386</v>
      </c>
      <c r="AM133" s="611" t="str">
        <f t="shared" si="39"/>
        <v>onvoldoende gegevens</v>
      </c>
      <c r="AN133" s="517"/>
      <c r="AO133" s="517"/>
      <c r="AP133" s="517"/>
      <c r="AQ133" s="884"/>
      <c r="AR133" s="885"/>
      <c r="AS133" s="850"/>
      <c r="AT133" s="851"/>
      <c r="AU133" s="850"/>
      <c r="AV133" s="851"/>
      <c r="AW133" s="857"/>
      <c r="AX133" s="858"/>
      <c r="AY133" s="857"/>
      <c r="AZ133" s="858"/>
      <c r="BA133" s="860">
        <f t="shared" si="37"/>
        <v>56</v>
      </c>
    </row>
    <row r="134" spans="2:53" x14ac:dyDescent="0.3">
      <c r="AB134" s="517"/>
      <c r="AC134" s="615" t="str">
        <f>IF($AF$129="HUIDIG BLAD","wed. 43t","nr.1 grp E")</f>
        <v>nr.1 grp E</v>
      </c>
      <c r="AD134" s="517"/>
      <c r="AE134" s="517" t="s">
        <v>67</v>
      </c>
      <c r="AF134" s="517" t="str">
        <f>IF($AF$129="HUIDIG BLAD",IF($AK$28="GOED",$AD$28,$AK$28),IF('Eindstand Groep'!$Y$35="FOUT","FOUT",LEFT('Eindstand Groep'!$Y$35,2)))</f>
        <v>FOUT</v>
      </c>
      <c r="AG134" s="517" t="s">
        <v>430</v>
      </c>
      <c r="AH134" s="615" t="s">
        <v>1234</v>
      </c>
      <c r="AI134" s="517"/>
      <c r="AJ134" s="517" t="s">
        <v>67</v>
      </c>
      <c r="AK134" s="517" t="str">
        <f>IF($AK$42="GOED",$AD$42,$AK$42)</f>
        <v>LEEG</v>
      </c>
      <c r="AL134" s="911" t="s">
        <v>386</v>
      </c>
      <c r="AM134" s="611" t="str">
        <f t="shared" si="39"/>
        <v>onvoldoende gegevens</v>
      </c>
      <c r="AN134" s="517"/>
      <c r="AO134" s="517"/>
      <c r="AP134" s="517"/>
      <c r="AQ134" s="884"/>
      <c r="AR134" s="885"/>
      <c r="AS134" s="850"/>
      <c r="AT134" s="851"/>
      <c r="AU134" s="850"/>
      <c r="AV134" s="851"/>
      <c r="AW134" s="857"/>
      <c r="AX134" s="858"/>
      <c r="AY134" s="857"/>
      <c r="AZ134" s="858"/>
      <c r="BA134" s="860">
        <f t="shared" si="37"/>
        <v>58</v>
      </c>
    </row>
    <row r="135" spans="2:53" x14ac:dyDescent="0.3">
      <c r="AB135" s="517"/>
      <c r="AC135" s="615" t="str">
        <f>IF($AF$129="HUIDIG BLAD","wed. 41t","nr.1 grp F")</f>
        <v>nr.1 grp F</v>
      </c>
      <c r="AD135" s="517"/>
      <c r="AE135" s="517" t="s">
        <v>67</v>
      </c>
      <c r="AF135" s="517" t="str">
        <f>IF($AF$129="HUIDIG BLAD",IF($AK$24="GOED",$AD$24,$AK$24),IF('Eindstand Groep'!$Z$35="FOUT","FOUT",LEFT('Eindstand Groep'!$Z$35,2)))</f>
        <v>FOUT</v>
      </c>
      <c r="AG135" s="517" t="s">
        <v>430</v>
      </c>
      <c r="AH135" s="615" t="s">
        <v>1235</v>
      </c>
      <c r="AI135" s="517"/>
      <c r="AJ135" s="517" t="s">
        <v>67</v>
      </c>
      <c r="AK135" s="517" t="str">
        <f>IF($AK$36="GOED",$AD$36,$AK$36)</f>
        <v>LEEG</v>
      </c>
      <c r="AL135" s="911" t="s">
        <v>386</v>
      </c>
      <c r="AM135" s="611" t="str">
        <f t="shared" si="39"/>
        <v>onvoldoende gegevens</v>
      </c>
      <c r="AN135" s="911" t="s">
        <v>386</v>
      </c>
      <c r="AO135" s="614" t="str">
        <f>IF(AP130&gt;=AP131,"JA",IF(AP129&gt;0,"onvoldoende gegevens","NEE"))</f>
        <v>onvoldoende gegevens</v>
      </c>
      <c r="AP135" s="517"/>
      <c r="AQ135" s="884"/>
      <c r="AR135" s="885"/>
      <c r="AS135" s="850"/>
      <c r="AT135" s="851"/>
      <c r="AU135" s="850"/>
      <c r="AV135" s="851"/>
      <c r="AW135" s="857"/>
      <c r="AX135" s="858"/>
      <c r="AY135" s="857"/>
      <c r="AZ135" s="858"/>
      <c r="BA135" s="860">
        <f t="shared" si="37"/>
        <v>60</v>
      </c>
    </row>
    <row r="136" spans="2:53" x14ac:dyDescent="0.3">
      <c r="AB136" s="517"/>
      <c r="AC136" s="615"/>
      <c r="AD136" s="517"/>
      <c r="AE136" s="517"/>
      <c r="AF136" s="517"/>
      <c r="AG136" s="615"/>
      <c r="AH136" s="517"/>
      <c r="AI136" s="517"/>
      <c r="AJ136" s="610"/>
      <c r="AK136" s="611"/>
      <c r="AL136" s="517"/>
      <c r="AM136" s="517"/>
      <c r="AN136" s="517"/>
      <c r="AO136" s="517"/>
      <c r="AP136" s="517"/>
      <c r="AQ136" s="884"/>
      <c r="AR136" s="885"/>
      <c r="AS136" s="850"/>
      <c r="AT136" s="851"/>
      <c r="AU136" s="850"/>
      <c r="AV136" s="851"/>
      <c r="AW136" s="857"/>
      <c r="AX136" s="858"/>
      <c r="AY136" s="857"/>
      <c r="AZ136" s="858"/>
      <c r="BA136" s="860">
        <f t="shared" si="37"/>
        <v>62</v>
      </c>
    </row>
    <row r="137" spans="2:53" x14ac:dyDescent="0.3">
      <c r="AB137" s="612"/>
      <c r="AC137" s="613"/>
      <c r="AD137" s="612"/>
      <c r="AE137" s="612"/>
      <c r="AF137" s="612"/>
      <c r="AG137" s="613"/>
      <c r="AH137" s="612"/>
      <c r="AI137" s="612"/>
      <c r="AJ137" s="612"/>
      <c r="AK137" s="613"/>
      <c r="AL137" s="612"/>
      <c r="AM137" s="612"/>
      <c r="AN137" s="612"/>
      <c r="AO137" s="612"/>
      <c r="AP137" s="612"/>
      <c r="AQ137" s="886"/>
      <c r="AR137" s="887"/>
      <c r="AS137" s="852"/>
      <c r="AT137" s="853"/>
      <c r="AU137" s="852"/>
      <c r="AV137" s="853"/>
      <c r="AW137" s="861"/>
      <c r="AX137" s="862"/>
      <c r="AY137" s="861"/>
      <c r="AZ137" s="862"/>
      <c r="BA137" s="863">
        <f t="shared" si="37"/>
        <v>64</v>
      </c>
    </row>
    <row r="138" spans="2:53" ht="15" customHeight="1" x14ac:dyDescent="0.3">
      <c r="AB138" s="607" t="s">
        <v>96</v>
      </c>
      <c r="AC138" s="608" t="str">
        <f>Taal04!$C$131</f>
        <v>Van de vier landen die als beste nr. 3 doorgaan naar de achtste finales weet er minimaal één ook de kwartfinales te bereiken.</v>
      </c>
      <c r="AD138" s="609"/>
      <c r="AE138" s="609"/>
      <c r="AF138" s="609"/>
      <c r="AG138" s="609"/>
      <c r="AH138" s="609"/>
      <c r="AI138" s="609"/>
      <c r="AJ138" s="609"/>
      <c r="AK138" s="609"/>
      <c r="AL138" s="609"/>
      <c r="AM138" s="609"/>
      <c r="AN138" s="609"/>
      <c r="AO138" s="609"/>
      <c r="AP138" s="921"/>
      <c r="AQ138" s="1279" t="s">
        <v>316</v>
      </c>
      <c r="AR138" s="1279"/>
      <c r="AS138" s="1279"/>
      <c r="AT138" s="1279"/>
      <c r="AU138" s="1279"/>
      <c r="AV138" s="1279"/>
      <c r="AW138" s="1279"/>
      <c r="AX138" s="1279"/>
      <c r="AY138" s="906"/>
      <c r="AZ138" s="906"/>
      <c r="BA138" s="906"/>
    </row>
    <row r="139" spans="2:53" ht="15" customHeight="1" x14ac:dyDescent="0.3">
      <c r="AB139" s="610"/>
      <c r="AC139" s="611" t="s">
        <v>442</v>
      </c>
      <c r="AD139" s="610"/>
      <c r="AE139" s="610" t="s">
        <v>67</v>
      </c>
      <c r="AF139" s="611" t="str">
        <f>"HUIDIG BLAD"</f>
        <v>HUIDIG BLAD</v>
      </c>
      <c r="AG139" s="610"/>
      <c r="AH139" s="610"/>
      <c r="AI139" s="610"/>
      <c r="AJ139" s="610"/>
      <c r="AK139" s="610"/>
      <c r="AL139" s="610"/>
      <c r="AM139" s="610"/>
      <c r="AN139" s="610"/>
      <c r="AO139" s="922" t="s">
        <v>467</v>
      </c>
      <c r="AP139" s="923">
        <f>COUNTIF(AM140:AM143,"onvoldoende gegevens")</f>
        <v>4</v>
      </c>
      <c r="AQ139" s="1280"/>
      <c r="AR139" s="1280"/>
      <c r="AS139" s="1280"/>
      <c r="AT139" s="1280"/>
      <c r="AU139" s="1280"/>
      <c r="AV139" s="1280"/>
      <c r="AW139" s="1280"/>
      <c r="AX139" s="1280"/>
      <c r="AY139" s="360" t="s">
        <v>142</v>
      </c>
      <c r="AZ139" s="360" t="s">
        <v>68</v>
      </c>
      <c r="BA139" s="360" t="s">
        <v>12</v>
      </c>
    </row>
    <row r="140" spans="2:53" ht="15" customHeight="1" x14ac:dyDescent="0.3">
      <c r="AB140" s="610"/>
      <c r="AC140" s="611" t="s">
        <v>1236</v>
      </c>
      <c r="AD140" s="610"/>
      <c r="AE140" s="610" t="s">
        <v>67</v>
      </c>
      <c r="AF140" s="610" t="str">
        <f>IF($AL$18="GOED",$AF$18,$AL$18)</f>
        <v>LEEG</v>
      </c>
      <c r="AG140" s="610" t="s">
        <v>430</v>
      </c>
      <c r="AH140" s="611" t="s">
        <v>1232</v>
      </c>
      <c r="AI140" s="610"/>
      <c r="AJ140" s="610" t="s">
        <v>67</v>
      </c>
      <c r="AK140" s="610" t="str">
        <f>IF($AK$40="GOED",$AD$40,$AK$40)</f>
        <v>LEEG</v>
      </c>
      <c r="AL140" s="911" t="s">
        <v>386</v>
      </c>
      <c r="AM140" s="611" t="str">
        <f>IF(OR(AF140="LEEG",AF140="FOUT",AF140="ONGELDIG",AK140="LEEG",AK140="FOUT",AK140="ONGELDIG"),"onvoldoende gegevens",IF(AF140=AK140,"JA","NEE"))</f>
        <v>onvoldoende gegevens</v>
      </c>
      <c r="AN140" s="610"/>
      <c r="AO140" s="922" t="s">
        <v>468</v>
      </c>
      <c r="AP140" s="923">
        <f>COUNTIF(AM140:AM143,"JA")</f>
        <v>0</v>
      </c>
      <c r="AQ140" s="1280"/>
      <c r="AR140" s="1280"/>
      <c r="AS140" s="1280"/>
      <c r="AT140" s="1280"/>
      <c r="AU140" s="1280"/>
      <c r="AV140" s="1280"/>
      <c r="AW140" s="1280"/>
      <c r="AX140" s="1280"/>
      <c r="AY140" s="361" t="str">
        <f>Voorblad!Z67</f>
        <v>TR</v>
      </c>
      <c r="AZ140" s="361">
        <f t="shared" ref="AZ140:AZ171" si="40">IF(AND($AD$14=$AY140,$AP$14=7),$W$14,0)+IF(AND($AF$14=$AY140,$AP$14=7),$Y$14,0)+IF(AND($AD$16=$AY140,$AP$16=7),$W$16,0)+IF(AND($AF$16=$AY140,$AP$16=7),$Y$16,0)+IF(AND($AD$18=$AY140,$AP$18=7),$W$18,0)+IF(AND($AF$18=$AY140,$AP$18=7),$Y$18,0)+IF(AND($AD$20=$AY140,$AP$20=7),$W$20,0)+IF(AND($AF$20=$AY140,$AP$20=7),$Y$20,0)+IF(AND($AD$22=$AY140,$AP$22=7),$W$22,0)+IF(AND($AF$22=$AY140,$AP$22=7),$Y$22,0)+IF(AND($AD$24=$AY140,$AP$24=7),$W$24,0)+IF(AND($AF$24=$AY140,$AP$24=7),$Y$24,0)+IF(AND($AD$26=$AY140,$AP$26=7),$W$26,0)+IF(AND($AF$26=$AY140,$AP$26=7),$Y$26,0)+IF(AND($AD$28=$AY140,$AP$28=7),$W$28,0)+IF(AND($AF$28=$AY140,$AP$28=7),$Y$28,0)+IF(AND($AD$36=$AY140,$AP$36=7),$W$36,0)+IF(AND($AF$36=$AY140,$AP$36=7),$Y$36,0)+IF(AND($AD$38=$AY140,$AP$38=7),$W$38,0)+IF(AND($AF$38=$AY140,$AP$38=7),$Y$38,0)+IF(AND($AD$40=$AY140,$AP$40=7),$W$40,0)+IF(AND($AF$40=$AY140,$AP$40=7),$Y$40,0)+IF(AND($AD$42=$AY140,$AP$42=7),$W$42,0)+IF(AND($AF$42=$AY140,$AP$42=7),$Y$42,0)+IF(AND($AD$46=$AY140,$AP$46=7),$W$46,0)+IF(AND($AF$46=$AY140,$AP$46=7),$Y$46,0)+IF(AND($AD$48=$AY140,$AP$48=7),$W$48,0)+IF(AND($AF$48=$AY140,$AP$48=7),$Y$48,0)+IF(AND($AD$52=$AY140,$AP$52=7),$W$52,0)+IF(AND($AF$52=$AY140,$AP$52=7),$Y$52,0)+IF(AND($AD$56=$AY140,$AP$56=7),$W$56,0)+IF(AND($AF$56=$AY140,$AP$56=7),$Y$56,0)</f>
        <v>0</v>
      </c>
      <c r="BA140" s="361">
        <f t="shared" ref="BA140:BA171" si="41">IF(AND($AD$14=$AY140,$AP$14=7),$Y$14,0)+IF(AND($AF$14=$AY140,$AP$14=7),$W$14,0)+IF(AND($AD$16=$AY140,$AP$16=7),$Y$16,0)+IF(AND($AF$16=$AY140,$AP$16=7),$W$16,0)+IF(AND($AD$18=$AY140,$AP$18=7),$Y$18,0)+IF(AND($AF$18=$AY140,$AP$18=7),$W$18,0)+IF(AND($AD$20=$AY140,$AP$20=7),$Y$20,0)+IF(AND($AF$20=$AY140,$AP$20=7),$W$20,0)+IF(AND($AD$22=$AY140,$AP$22=7),$Y$22,0)+IF(AND($AF$22=$AY140,$AP$22=7),$W$22,0)+IF(AND($AD$24=$AY140,$AP$24=7),$Y$24,0)+IF(AND($AF$24=$AY140,$AP$24=7),$W$24,0)+IF(AND($AD$26=$AY140,$AP$26=7),$Y$26,0)+IF(AND($AF$26=$AY140,$AP$26=7),$W$26,0)+IF(AND($AD$28=$AY140,$AP$28=7),$Y$28,0)+IF(AND($AF$28=$AY140,$AP$28=7),$W$28,0)+IF(AND($AD$36=$AY140,$AP$36=7),$Y$36,0)+IF(AND($AF$36=$AY140,$AP$36=7),$W$36,0)+IF(AND($AD$38=$AY140,$AP$38=7),$Y$38,0)+IF(AND($AF$38=$AY140,$AP$38=7),$W$38,0)+IF(AND($AD$40=$AY140,$AP$40=7),$Y$40,0)+IF(AND($AF$40=$AY140,$AP$40=7),$W$40,0)+IF(AND($AD$42=$AY140,$AP$42=7),$Y$42,0)+IF(AND($AF$42=$AY140,$AP$42=7),$W$42,0)+IF(AND($AD$46=$AY140,$AP$46=7),$Y$46,0)+IF(AND($AF$46=$AY140,$AP$46=7),$W$46,0)+IF(AND($AD$48=$AY140,$AP$48=7),$Y$48,0)+IF(AND($AF$48=$AY140,$AP$48=7),$W$48,0)+IF(AND($AD$52=$AY140,$AP$52=7),$Y$52,0)+IF(AND($AF$52=$AY140,$AP$52=7),$W$52,0)+IF(AND($AD$56=$AY140,$AP$56=7),$Y$56,0)+IF(AND($AF$56=$AY140,$AP$56=7),$W$56,0)</f>
        <v>0</v>
      </c>
    </row>
    <row r="141" spans="2:53" ht="15" customHeight="1" x14ac:dyDescent="0.3">
      <c r="AB141" s="610"/>
      <c r="AC141" s="611" t="s">
        <v>1237</v>
      </c>
      <c r="AD141" s="610"/>
      <c r="AE141" s="610" t="s">
        <v>67</v>
      </c>
      <c r="AF141" s="610" t="str">
        <f>IF($AL$20="GOED",$AF$20,$AL$20)</f>
        <v>LEEG</v>
      </c>
      <c r="AG141" s="610" t="s">
        <v>430</v>
      </c>
      <c r="AH141" s="611" t="s">
        <v>1231</v>
      </c>
      <c r="AI141" s="610"/>
      <c r="AJ141" s="610" t="s">
        <v>67</v>
      </c>
      <c r="AK141" s="610" t="str">
        <f>IF($AK$38="GOED",$AD$38,$AK$38)</f>
        <v>LEEG</v>
      </c>
      <c r="AL141" s="911" t="s">
        <v>386</v>
      </c>
      <c r="AM141" s="611" t="str">
        <f>IF(OR(AF141="LEEG",AF141="FOUT",AF141="ONGELDIG",AK141="LEEG",AK141="FOUT",AK141="ONGELDIG"),"onvoldoende gegevens",IF(AF141=AK141,"JA","NEE"))</f>
        <v>onvoldoende gegevens</v>
      </c>
      <c r="AN141" s="610"/>
      <c r="AO141" s="922" t="s">
        <v>1240</v>
      </c>
      <c r="AP141" s="923">
        <v>1</v>
      </c>
      <c r="AQ141" s="618" t="s">
        <v>321</v>
      </c>
      <c r="AR141" s="909">
        <f>IF(AP14=7,IF(W14=Y14,0,1),0)+IF(AP16=7,IF(W16=Y16,0,1),0)+IF(AP18=7,IF(W18=Y18,0,1),0)+IF(AP20=7,IF(W20=Y20,0,1),0)+IF(AP22=7,IF(W22=Y22,0,1),0)+IF(AP24=7,IF(W24=Y24,0,1),0)+IF(AP26=7,IF(W26=Y26,0,1),0)+IF(AP28=7,IF(W28=Y28,0,1),0)+IF(AP36=7,IF(W36=Y36,0,1),0)+IF(AP38=7,IF(W38=Y38,0,1),0)+IF(AP40=7,IF(W40=Y40,0,1),0)+IF(AP42=7,IF(W42=Y42,0,1),0)+IF(AP46=7,IF(W46=Y46,0,1),0)+IF(AP48=7,IF(W48=Y48,0,1),0)+IF(AP52=7,IF(W52=Y52,0,1),0)+IF(AP56=7,IF(W56=Y56,0,1),0)</f>
        <v>0</v>
      </c>
      <c r="AS141" s="336"/>
      <c r="AT141" s="93"/>
      <c r="AU141" s="336"/>
      <c r="AV141" s="903"/>
      <c r="AW141" s="336"/>
      <c r="AX141" s="93"/>
      <c r="AY141" s="361" t="str">
        <f>Voorblad!Z68</f>
        <v>IT</v>
      </c>
      <c r="AZ141" s="361">
        <f t="shared" si="40"/>
        <v>0</v>
      </c>
      <c r="BA141" s="361">
        <f t="shared" si="41"/>
        <v>0</v>
      </c>
    </row>
    <row r="142" spans="2:53" x14ac:dyDescent="0.3">
      <c r="AB142" s="610"/>
      <c r="AC142" s="611" t="s">
        <v>1238</v>
      </c>
      <c r="AD142" s="610"/>
      <c r="AE142" s="610" t="s">
        <v>67</v>
      </c>
      <c r="AF142" s="610" t="str">
        <f>IF($AL$24="GOED",$AF$24,$AL$24)</f>
        <v>LEEG</v>
      </c>
      <c r="AG142" s="610" t="s">
        <v>430</v>
      </c>
      <c r="AH142" s="611" t="s">
        <v>1235</v>
      </c>
      <c r="AI142" s="610"/>
      <c r="AJ142" s="610" t="s">
        <v>67</v>
      </c>
      <c r="AK142" s="610" t="str">
        <f>IF($AK$36="GOED",$AD$36,$AK$36)</f>
        <v>LEEG</v>
      </c>
      <c r="AL142" s="911" t="s">
        <v>386</v>
      </c>
      <c r="AM142" s="611" t="str">
        <f>IF(OR(AF142="LEEG",AF142="FOUT",AF142="ONGELDIG",AK142="LEEG",AK142="FOUT",AK142="ONGELDIG"),"onvoldoende gegevens",IF(AF142=AK142,"JA","NEE"))</f>
        <v>onvoldoende gegevens</v>
      </c>
      <c r="AN142" s="610"/>
      <c r="AO142" s="922" t="s">
        <v>469</v>
      </c>
      <c r="AP142" s="923">
        <f>COUNTIF(AM140:AM143,"NEE")</f>
        <v>0</v>
      </c>
      <c r="AQ142" s="618" t="s">
        <v>322</v>
      </c>
      <c r="AR142" s="909">
        <f>IF(AP14=7,IF(W14=Y14,1,0),0)+IF(AP16=7,IF(W16=Y16,1,0),0)+IF(AP18=7,IF(W18=Y18,1,0),0)+IF(AP20=7,IF(W20=Y20,1,0),0)+IF(AP22=7,IF(W22=Y22,1,0),0)+IF(AP24=7,IF(W24=Y24,1,0),0)+IF(AP26=7,IF(W26=Y26,1,0),0)+IF(AP28=7,IF(W28=Y28,1,0),0)+IF(AP36=7,IF(W36=Y36,1,0),0)+IF(AP38=7,IF(W38=Y38,1,0),0)+IF(AP40=7,IF(W40=Y40,1,0),0)+IF(AP42=7,IF(W42=Y42,1,0),0)+IF(AP46=7,IF(W46=Y46,1,0),0)+IF(AP48=7,IF(W48=Y48,1,0),0)+IF(AP52=7,IF(W52=Y52,1,0),0)+IF(AP56=7,IF(W56=Y56,1,0),0)</f>
        <v>0</v>
      </c>
      <c r="AS142" s="336"/>
      <c r="AT142" s="93"/>
      <c r="AU142" s="336"/>
      <c r="AV142" s="903"/>
      <c r="AW142" s="336"/>
      <c r="AX142" s="93"/>
      <c r="AY142" s="361" t="str">
        <f>Voorblad!Z69</f>
        <v>WA</v>
      </c>
      <c r="AZ142" s="361">
        <f t="shared" si="40"/>
        <v>0</v>
      </c>
      <c r="BA142" s="361">
        <f t="shared" si="41"/>
        <v>0</v>
      </c>
    </row>
    <row r="143" spans="2:53" x14ac:dyDescent="0.3">
      <c r="AB143" s="610"/>
      <c r="AC143" s="611" t="s">
        <v>1239</v>
      </c>
      <c r="AD143" s="610"/>
      <c r="AE143" s="610" t="s">
        <v>67</v>
      </c>
      <c r="AF143" s="610" t="str">
        <f>IF($AL$28="GOED",$AF$28,$AL$28)</f>
        <v>LEEG</v>
      </c>
      <c r="AG143" s="610" t="s">
        <v>430</v>
      </c>
      <c r="AH143" s="611" t="s">
        <v>1234</v>
      </c>
      <c r="AI143" s="610"/>
      <c r="AJ143" s="610" t="s">
        <v>67</v>
      </c>
      <c r="AK143" s="610" t="str">
        <f>IF($AK$42="GOED",$AD$42,$AK$42)</f>
        <v>LEEG</v>
      </c>
      <c r="AL143" s="911" t="s">
        <v>386</v>
      </c>
      <c r="AM143" s="611" t="str">
        <f>IF(OR(AF143="LEEG",AF143="FOUT",AF143="ONGELDIG",AK143="LEEG",AK143="FOUT",AK143="ONGELDIG"),"onvoldoende gegevens",IF(AF143=AK143,"JA","NEE"))</f>
        <v>onvoldoende gegevens</v>
      </c>
      <c r="AN143" s="911" t="s">
        <v>386</v>
      </c>
      <c r="AO143" s="614" t="str">
        <f>IF(AP140&gt;=AP141,"JA",IF(AP139&gt;0,"onvoldoende gegevens","NEE"))</f>
        <v>onvoldoende gegevens</v>
      </c>
      <c r="AP143" s="912"/>
      <c r="AQ143" s="336"/>
      <c r="AR143" s="903"/>
      <c r="AS143" s="336"/>
      <c r="AT143" s="93"/>
      <c r="AU143" s="336"/>
      <c r="AV143" s="903"/>
      <c r="AW143" s="336"/>
      <c r="AX143" s="93"/>
      <c r="AY143" s="361" t="str">
        <f>Voorblad!Z70</f>
        <v>CH</v>
      </c>
      <c r="AZ143" s="361">
        <f t="shared" si="40"/>
        <v>0</v>
      </c>
      <c r="BA143" s="361">
        <f t="shared" si="41"/>
        <v>0</v>
      </c>
    </row>
    <row r="144" spans="2:53" ht="18" x14ac:dyDescent="0.3">
      <c r="AB144" s="610"/>
      <c r="AC144" s="611"/>
      <c r="AD144" s="610"/>
      <c r="AE144" s="610"/>
      <c r="AF144" s="610"/>
      <c r="AG144" s="611"/>
      <c r="AH144" s="610"/>
      <c r="AI144" s="610"/>
      <c r="AJ144" s="610"/>
      <c r="AK144" s="611"/>
      <c r="AL144" s="610"/>
      <c r="AM144" s="610"/>
      <c r="AN144" s="610"/>
      <c r="AO144" s="610"/>
      <c r="AP144" s="912"/>
      <c r="AQ144" s="362">
        <v>0.125</v>
      </c>
      <c r="AR144" s="907" t="str">
        <f>"."&amp;IF(AP14=7,AD14&amp;"."&amp;AF14&amp;".","")&amp;IF(AP16=7,AD16&amp;"."&amp;AF16&amp;".","")&amp;IF(AP18=7,AD18&amp;"."&amp;AF18&amp;".","")&amp;IF(AP20=7,AD20&amp;"."&amp;AF20&amp;".","")&amp;IF(AP22=7,AD22&amp;"."&amp;AF22&amp;".","")&amp;IF(AP24=7,AD24&amp;"."&amp;AF24&amp;".","")&amp;IF(AP26=7,AD26&amp;"."&amp;AF26&amp;".","")&amp;IF(AP28=7,AD28&amp;"."&amp;AF28&amp;".","")</f>
        <v>.</v>
      </c>
      <c r="AS144" s="905"/>
      <c r="AT144" s="905"/>
      <c r="AU144" s="905"/>
      <c r="AV144" s="905"/>
      <c r="AW144" s="336"/>
      <c r="AX144" s="93"/>
      <c r="AY144" s="361" t="str">
        <f>Voorblad!Z71</f>
        <v>DK</v>
      </c>
      <c r="AZ144" s="361">
        <f t="shared" si="40"/>
        <v>0</v>
      </c>
      <c r="BA144" s="361">
        <f t="shared" si="41"/>
        <v>0</v>
      </c>
    </row>
    <row r="145" spans="25:53" ht="18" x14ac:dyDescent="0.3">
      <c r="AB145" s="610"/>
      <c r="AC145" s="611"/>
      <c r="AD145" s="610"/>
      <c r="AE145" s="610"/>
      <c r="AF145" s="610"/>
      <c r="AG145" s="611"/>
      <c r="AH145" s="610"/>
      <c r="AI145" s="610"/>
      <c r="AJ145" s="610"/>
      <c r="AK145" s="611"/>
      <c r="AL145" s="610"/>
      <c r="AM145" s="610"/>
      <c r="AN145" s="610"/>
      <c r="AO145" s="610"/>
      <c r="AP145" s="912"/>
      <c r="AQ145" s="362">
        <v>0.25</v>
      </c>
      <c r="AR145" s="907" t="str">
        <f>"."&amp;IF(AP36=7,AD36&amp;"."&amp;AF36&amp;".","")&amp;IF(AP38=7,AD38&amp;"."&amp;AF38&amp;".","")&amp;IF(AP40=7,AD40&amp;"."&amp;AF40&amp;".","")&amp;IF(AP42=7,AD42&amp;"."&amp;AF42&amp;".","")</f>
        <v>.</v>
      </c>
      <c r="AS145" s="905"/>
      <c r="AT145" s="905"/>
      <c r="AU145" s="905"/>
      <c r="AV145" s="905"/>
      <c r="AW145" s="336"/>
      <c r="AX145" s="93"/>
      <c r="AY145" s="361" t="str">
        <f>Voorblad!Z72</f>
        <v>FI</v>
      </c>
      <c r="AZ145" s="361">
        <f t="shared" si="40"/>
        <v>0</v>
      </c>
      <c r="BA145" s="361">
        <f t="shared" si="41"/>
        <v>0</v>
      </c>
    </row>
    <row r="146" spans="25:53" ht="18" x14ac:dyDescent="0.3">
      <c r="Y146" s="462"/>
      <c r="Z146" s="462"/>
      <c r="AB146" s="612"/>
      <c r="AC146" s="613"/>
      <c r="AD146" s="612"/>
      <c r="AE146" s="612"/>
      <c r="AF146" s="612"/>
      <c r="AG146" s="613"/>
      <c r="AH146" s="612"/>
      <c r="AI146" s="612"/>
      <c r="AJ146" s="612"/>
      <c r="AK146" s="613"/>
      <c r="AL146" s="612"/>
      <c r="AM146" s="612"/>
      <c r="AN146" s="612"/>
      <c r="AO146" s="612"/>
      <c r="AP146" s="620"/>
      <c r="AQ146" s="362">
        <v>0.5</v>
      </c>
      <c r="AR146" s="907" t="str">
        <f>"."&amp;IF(AP46=7,AD46&amp;"."&amp;AF46&amp;".","")&amp;IF(AP48=7,AD48&amp;"."&amp;AF48&amp;".","")</f>
        <v>.</v>
      </c>
      <c r="AS146" s="905"/>
      <c r="AT146" s="905"/>
      <c r="AU146" s="905"/>
      <c r="AV146" s="905"/>
      <c r="AW146" s="336"/>
      <c r="AX146" s="93"/>
      <c r="AY146" s="361" t="str">
        <f>Voorblad!Z73</f>
        <v>BE</v>
      </c>
      <c r="AZ146" s="361">
        <f t="shared" si="40"/>
        <v>0</v>
      </c>
      <c r="BA146" s="361">
        <f t="shared" si="41"/>
        <v>0</v>
      </c>
    </row>
    <row r="147" spans="25:53" x14ac:dyDescent="0.3">
      <c r="Y147" s="462"/>
      <c r="Z147" s="462"/>
      <c r="AB147" s="607" t="s">
        <v>95</v>
      </c>
      <c r="AC147" s="608" t="str">
        <f>Taal04!$C$132</f>
        <v>Van de vijftien finale wedstrijden worden zes wedstrijden of meer beslist door een verlenging of strafschoppenserie.</v>
      </c>
      <c r="AD147" s="609"/>
      <c r="AE147" s="609"/>
      <c r="AF147" s="609"/>
      <c r="AG147" s="609"/>
      <c r="AH147" s="609"/>
      <c r="AI147" s="609"/>
      <c r="AJ147" s="609"/>
      <c r="AK147" s="609"/>
      <c r="AL147" s="609"/>
      <c r="AM147" s="609"/>
      <c r="AN147" s="609"/>
      <c r="AO147" s="922" t="s">
        <v>1242</v>
      </c>
      <c r="AP147" s="923" t="str">
        <f>IF(AND(Reglement!$Q$81=1,Reglement!$H$90=2),"JA","NEE")</f>
        <v>JA</v>
      </c>
      <c r="AQ147" s="362" t="s">
        <v>323</v>
      </c>
      <c r="AR147" s="907" t="str">
        <f>"."&amp;IF(AP52=7,AD52&amp;"."&amp;AF52&amp;".","")</f>
        <v>.</v>
      </c>
      <c r="AS147" s="336"/>
      <c r="AT147" s="903"/>
      <c r="AU147" s="336"/>
      <c r="AV147" s="93"/>
      <c r="AW147" s="336"/>
      <c r="AX147" s="93"/>
      <c r="AY147" s="361" t="str">
        <f>Voorblad!Z74</f>
        <v>RU</v>
      </c>
      <c r="AZ147" s="361">
        <f t="shared" si="40"/>
        <v>0</v>
      </c>
      <c r="BA147" s="361">
        <f t="shared" si="41"/>
        <v>0</v>
      </c>
    </row>
    <row r="148" spans="25:53" x14ac:dyDescent="0.3">
      <c r="Y148" s="462"/>
      <c r="Z148" s="462"/>
      <c r="AB148" s="610"/>
      <c r="AC148" s="611" t="s">
        <v>444</v>
      </c>
      <c r="AD148" s="610"/>
      <c r="AE148" s="610"/>
      <c r="AF148" s="610"/>
      <c r="AG148" s="924" t="s">
        <v>67</v>
      </c>
      <c r="AH148" s="611">
        <f>AR141</f>
        <v>0</v>
      </c>
      <c r="AI148" s="611"/>
      <c r="AJ148" s="611"/>
      <c r="AK148" s="611"/>
      <c r="AL148" s="911" t="s">
        <v>386</v>
      </c>
      <c r="AM148" s="611" t="str">
        <f>IF($AP$71="GOED",AH148,"onvoldoende gegevens")</f>
        <v>onvoldoende gegevens</v>
      </c>
      <c r="AN148" s="610"/>
      <c r="AO148" s="922" t="s">
        <v>1241</v>
      </c>
      <c r="AP148" s="923">
        <v>6</v>
      </c>
      <c r="AQ148" s="362" t="s">
        <v>169</v>
      </c>
      <c r="AR148" s="907" t="str">
        <f>"."&amp;IF(AP56=7,AD56&amp;"."&amp;AF56&amp;".","")</f>
        <v>.</v>
      </c>
      <c r="AS148" s="336"/>
      <c r="AT148" s="903"/>
      <c r="AU148" s="336"/>
      <c r="AV148" s="93"/>
      <c r="AW148" s="336"/>
      <c r="AX148" s="93"/>
      <c r="AY148" s="361" t="str">
        <f>Voorblad!Z75</f>
        <v>NL</v>
      </c>
      <c r="AZ148" s="361">
        <f t="shared" si="40"/>
        <v>0</v>
      </c>
      <c r="BA148" s="361">
        <f t="shared" si="41"/>
        <v>0</v>
      </c>
    </row>
    <row r="149" spans="25:53" x14ac:dyDescent="0.3">
      <c r="Y149" s="462"/>
      <c r="Z149" s="462"/>
      <c r="AB149" s="612"/>
      <c r="AC149" s="613" t="s">
        <v>445</v>
      </c>
      <c r="AD149" s="612"/>
      <c r="AE149" s="612"/>
      <c r="AF149" s="612"/>
      <c r="AG149" s="619" t="s">
        <v>67</v>
      </c>
      <c r="AH149" s="613">
        <f>AR142</f>
        <v>0</v>
      </c>
      <c r="AI149" s="612"/>
      <c r="AJ149" s="612"/>
      <c r="AK149" s="612"/>
      <c r="AL149" s="919" t="s">
        <v>386</v>
      </c>
      <c r="AM149" s="613" t="str">
        <f>IF($AP$71="GOED",AH149,"onvoldoende gegevens")</f>
        <v>onvoldoende gegevens</v>
      </c>
      <c r="AN149" s="916" t="s">
        <v>386</v>
      </c>
      <c r="AO149" s="614" t="str">
        <f>IF(AH149&gt;=AP148,"JA",IF(OR(AM148="onvoldoende gegevens",AM149="onvoldoende gegevens"),"onvoldoende gegevens",IF(AP147="JA","geen suggestie mogelijk","NEE")))</f>
        <v>onvoldoende gegevens</v>
      </c>
      <c r="AP149" s="620"/>
      <c r="AQ149" s="618" t="s">
        <v>395</v>
      </c>
      <c r="AR149" s="907" t="str">
        <f>"."&amp;IF(AP52=7,IF(W52&gt;Y52,AD52,IF(Y52&gt;W52,AF52,AD52&amp;"."&amp;AF52))&amp;".","")</f>
        <v>.</v>
      </c>
      <c r="AS149" s="336"/>
      <c r="AT149" s="903"/>
      <c r="AU149" s="336"/>
      <c r="AV149" s="93"/>
      <c r="AW149" s="336"/>
      <c r="AX149" s="93"/>
      <c r="AY149" s="361" t="str">
        <f>Voorblad!Z76</f>
        <v>UA</v>
      </c>
      <c r="AZ149" s="361">
        <f t="shared" si="40"/>
        <v>0</v>
      </c>
      <c r="BA149" s="361">
        <f t="shared" si="41"/>
        <v>0</v>
      </c>
    </row>
    <row r="150" spans="25:53" x14ac:dyDescent="0.3">
      <c r="Y150" s="462"/>
      <c r="Z150" s="462"/>
      <c r="AB150" s="607" t="s">
        <v>300</v>
      </c>
      <c r="AC150" s="608" t="str">
        <f>Taal04!$C$133</f>
        <v>Eén van de finalisten van het toernooi zal voortkomen uit groep F, de groep des doods (Duitsland, Frankrijk, Hongarije of Portugal).</v>
      </c>
      <c r="AD150" s="610"/>
      <c r="AE150" s="610"/>
      <c r="AF150" s="610"/>
      <c r="AG150" s="610"/>
      <c r="AH150" s="610"/>
      <c r="AI150" s="610"/>
      <c r="AJ150" s="610"/>
      <c r="AK150" s="610"/>
      <c r="AL150" s="610"/>
      <c r="AM150" s="610"/>
      <c r="AN150" s="610"/>
      <c r="AO150" s="922" t="s">
        <v>467</v>
      </c>
      <c r="AP150" s="923">
        <f>COUNTIF(AM152:AM153,"onvoldoende gegevens")</f>
        <v>2</v>
      </c>
      <c r="AQ150" s="618" t="s">
        <v>394</v>
      </c>
      <c r="AR150" s="907" t="str">
        <f>"."&amp;IF(AP59=3,AF59&amp;".","")</f>
        <v>.</v>
      </c>
      <c r="AS150" s="336"/>
      <c r="AT150" s="903"/>
      <c r="AU150" s="336"/>
      <c r="AV150" s="93"/>
      <c r="AW150" s="336"/>
      <c r="AX150" s="93"/>
      <c r="AY150" s="361" t="str">
        <f>Voorblad!Z77</f>
        <v>AT</v>
      </c>
      <c r="AZ150" s="361">
        <f t="shared" si="40"/>
        <v>0</v>
      </c>
      <c r="BA150" s="361">
        <f t="shared" si="41"/>
        <v>0</v>
      </c>
    </row>
    <row r="151" spans="25:53" x14ac:dyDescent="0.3">
      <c r="AB151" s="610"/>
      <c r="AC151" s="611" t="s">
        <v>1243</v>
      </c>
      <c r="AD151" s="610"/>
      <c r="AE151" s="610" t="s">
        <v>67</v>
      </c>
      <c r="AF151" s="611" t="str">
        <f>"|"&amp;Voorblad!Z87&amp;"|"&amp;Voorblad!Z88&amp;"|"&amp;Voorblad!Z89&amp;"|"&amp;Voorblad!Z90&amp;"|"</f>
        <v>|HU|PT|FR|DE|</v>
      </c>
      <c r="AG151" s="610"/>
      <c r="AH151" s="610"/>
      <c r="AI151" s="610"/>
      <c r="AJ151" s="610"/>
      <c r="AK151" s="610"/>
      <c r="AL151" s="610"/>
      <c r="AM151" s="610"/>
      <c r="AN151" s="610"/>
      <c r="AO151" s="922" t="s">
        <v>468</v>
      </c>
      <c r="AP151" s="923">
        <f>COUNTIF(AM152:AM153,"JA")</f>
        <v>0</v>
      </c>
      <c r="AQ151" s="336"/>
      <c r="AR151" s="903"/>
      <c r="AS151" s="336"/>
      <c r="AT151" s="93"/>
      <c r="AU151" s="336"/>
      <c r="AV151" s="903"/>
      <c r="AW151" s="336"/>
      <c r="AX151" s="93"/>
      <c r="AY151" s="361" t="str">
        <f>Voorblad!Z78</f>
        <v>MK</v>
      </c>
      <c r="AZ151" s="361">
        <f t="shared" si="40"/>
        <v>0</v>
      </c>
      <c r="BA151" s="361">
        <f t="shared" si="41"/>
        <v>0</v>
      </c>
    </row>
    <row r="152" spans="25:53" x14ac:dyDescent="0.3">
      <c r="AB152" s="610"/>
      <c r="AC152" s="611" t="s">
        <v>1244</v>
      </c>
      <c r="AD152" s="610"/>
      <c r="AE152" s="610" t="s">
        <v>67</v>
      </c>
      <c r="AF152" s="610" t="str">
        <f>IF($AK$56="GOED",$AD$56,$AK$56)</f>
        <v>LEEG</v>
      </c>
      <c r="AG152" s="610"/>
      <c r="AH152" s="610"/>
      <c r="AI152" s="610"/>
      <c r="AJ152" s="610"/>
      <c r="AK152" s="610"/>
      <c r="AL152" s="911" t="s">
        <v>386</v>
      </c>
      <c r="AM152" s="611" t="str">
        <f>IF(OR(AF152="LEEG",AF152="FOUT",AF152="ONGELDIG"),"onvoldoende gegevens",IF(SUBSTITUTE($AF$151,AF152,"##")=$AF$151,"NEE","JA"))</f>
        <v>onvoldoende gegevens</v>
      </c>
      <c r="AN152" s="610"/>
      <c r="AO152" s="922" t="s">
        <v>1240</v>
      </c>
      <c r="AP152" s="923">
        <v>1</v>
      </c>
      <c r="AQ152" s="910" t="s">
        <v>1201</v>
      </c>
      <c r="AR152" s="903"/>
      <c r="AS152" s="336"/>
      <c r="AT152" s="93"/>
      <c r="AU152" s="336"/>
      <c r="AV152" s="903"/>
      <c r="AW152" s="336"/>
      <c r="AX152" s="93"/>
      <c r="AY152" s="361" t="str">
        <f>Voorblad!Z79</f>
        <v>GB</v>
      </c>
      <c r="AZ152" s="361">
        <f t="shared" si="40"/>
        <v>0</v>
      </c>
      <c r="BA152" s="361">
        <f t="shared" si="41"/>
        <v>0</v>
      </c>
    </row>
    <row r="153" spans="25:53" x14ac:dyDescent="0.3">
      <c r="AB153" s="610"/>
      <c r="AC153" s="611" t="s">
        <v>1245</v>
      </c>
      <c r="AD153" s="610"/>
      <c r="AE153" s="610" t="s">
        <v>67</v>
      </c>
      <c r="AF153" s="610" t="str">
        <f>IF($AL$56="GOED",$AF$56,$AL$56)</f>
        <v>LEEG</v>
      </c>
      <c r="AG153" s="610"/>
      <c r="AH153" s="610"/>
      <c r="AI153" s="610"/>
      <c r="AJ153" s="610"/>
      <c r="AK153" s="610"/>
      <c r="AL153" s="911" t="s">
        <v>386</v>
      </c>
      <c r="AM153" s="611" t="str">
        <f>IF(OR(AF153="LEEG",AF153="FOUT",AF153="ONGELDIG"),"onvoldoende gegevens",IF(SUBSTITUTE($AF$151,AF153,"##")=$AF$151,"NEE","JA"))</f>
        <v>onvoldoende gegevens</v>
      </c>
      <c r="AN153" s="610"/>
      <c r="AO153" s="922" t="s">
        <v>469</v>
      </c>
      <c r="AP153" s="923">
        <f>COUNTIF(AM152:AM153,"NEE")</f>
        <v>0</v>
      </c>
      <c r="AQ153" s="618">
        <v>1</v>
      </c>
      <c r="AR153" s="907" t="str">
        <f>AO125</f>
        <v>onvoldoende gegevens</v>
      </c>
      <c r="AS153" s="336"/>
      <c r="AT153" s="93"/>
      <c r="AU153" s="336"/>
      <c r="AV153" s="903"/>
      <c r="AW153" s="336"/>
      <c r="AX153" s="93"/>
      <c r="AY153" s="361" t="str">
        <f>Voorblad!Z80</f>
        <v>HR</v>
      </c>
      <c r="AZ153" s="361">
        <f t="shared" si="40"/>
        <v>0</v>
      </c>
      <c r="BA153" s="361">
        <f t="shared" si="41"/>
        <v>0</v>
      </c>
    </row>
    <row r="154" spans="25:53" x14ac:dyDescent="0.3">
      <c r="AB154" s="612"/>
      <c r="AC154" s="612"/>
      <c r="AD154" s="612"/>
      <c r="AE154" s="612"/>
      <c r="AF154" s="612"/>
      <c r="AG154" s="612"/>
      <c r="AH154" s="612"/>
      <c r="AI154" s="612"/>
      <c r="AJ154" s="612"/>
      <c r="AK154" s="612"/>
      <c r="AL154" s="612"/>
      <c r="AM154" s="612"/>
      <c r="AN154" s="916" t="s">
        <v>386</v>
      </c>
      <c r="AO154" s="614" t="str">
        <f>IF(AP151&gt;=AP152,"JA",IF(AP150&gt;0,"onvoldoende gegevens","NEE"))</f>
        <v>onvoldoende gegevens</v>
      </c>
      <c r="AP154" s="620"/>
      <c r="AQ154" s="618">
        <f>AQ153+1</f>
        <v>2</v>
      </c>
      <c r="AR154" s="907" t="str">
        <f>AO135</f>
        <v>onvoldoende gegevens</v>
      </c>
      <c r="AS154" s="336"/>
      <c r="AT154" s="93"/>
      <c r="AU154" s="336"/>
      <c r="AV154" s="903"/>
      <c r="AW154" s="908"/>
      <c r="AX154" s="93"/>
      <c r="AY154" s="361" t="str">
        <f>Voorblad!Z81</f>
        <v>SC</v>
      </c>
      <c r="AZ154" s="361">
        <f t="shared" si="40"/>
        <v>0</v>
      </c>
      <c r="BA154" s="361">
        <f t="shared" si="41"/>
        <v>0</v>
      </c>
    </row>
    <row r="155" spans="25:53" x14ac:dyDescent="0.3">
      <c r="Z155" s="282"/>
      <c r="AB155" s="925" t="s">
        <v>1246</v>
      </c>
      <c r="AC155" s="926" t="str">
        <f>Taal04!$C$134</f>
        <v>De winnaar van het toernooi weet al zijn finalewedstrijden, 4 stuks, te winnen binnen de reguliere speeltijd (inclusief blessuretijd).</v>
      </c>
      <c r="AD155" s="929"/>
      <c r="AE155" s="929"/>
      <c r="AF155" s="929"/>
      <c r="AG155" s="929"/>
      <c r="AH155" s="929"/>
      <c r="AI155" s="929"/>
      <c r="AJ155" s="929"/>
      <c r="AK155" s="929"/>
      <c r="AL155" s="929"/>
      <c r="AM155" s="929"/>
      <c r="AN155" s="929"/>
      <c r="AO155" s="929"/>
      <c r="AP155" s="934"/>
      <c r="AQ155" s="618">
        <f t="shared" ref="AQ155:AQ167" si="42">AQ154+1</f>
        <v>3</v>
      </c>
      <c r="AR155" s="907" t="str">
        <f>AO143</f>
        <v>onvoldoende gegevens</v>
      </c>
      <c r="AS155" s="336"/>
      <c r="AT155" s="93"/>
      <c r="AU155" s="336"/>
      <c r="AV155" s="903"/>
      <c r="AW155" s="908"/>
      <c r="AX155" s="93"/>
      <c r="AY155" s="361" t="str">
        <f>Voorblad!Z82</f>
        <v>CZ</v>
      </c>
      <c r="AZ155" s="361">
        <f t="shared" si="40"/>
        <v>0</v>
      </c>
      <c r="BA155" s="361">
        <f t="shared" si="41"/>
        <v>0</v>
      </c>
    </row>
    <row r="156" spans="25:53" x14ac:dyDescent="0.3">
      <c r="Z156" s="282"/>
      <c r="AB156" s="935"/>
      <c r="AC156" s="930" t="s">
        <v>1247</v>
      </c>
      <c r="AD156" s="929"/>
      <c r="AE156" s="929" t="s">
        <v>67</v>
      </c>
      <c r="AF156" s="929" t="str">
        <f>IF($AL$59="GOED",$AF$59,$AL$59)</f>
        <v>LEEG</v>
      </c>
      <c r="AG156" s="929"/>
      <c r="AH156" s="929"/>
      <c r="AI156" s="929" t="s">
        <v>67</v>
      </c>
      <c r="AJ156" s="930" t="str">
        <f>IF(AO59="FOUT","onvoldoende gegevens","GOED")</f>
        <v>onvoldoende gegevens</v>
      </c>
      <c r="AK156" s="929"/>
      <c r="AL156" s="929"/>
      <c r="AM156" s="929"/>
      <c r="AN156" s="929"/>
      <c r="AO156" s="927" t="s">
        <v>1242</v>
      </c>
      <c r="AP156" s="928" t="str">
        <f>IF(AND(Reglement!$Q$81=1,Reglement!$H$90=2),"JA","NEE")</f>
        <v>JA</v>
      </c>
      <c r="AQ156" s="618">
        <f t="shared" si="42"/>
        <v>4</v>
      </c>
      <c r="AR156" s="907" t="str">
        <f>AO149</f>
        <v>onvoldoende gegevens</v>
      </c>
      <c r="AS156" s="336"/>
      <c r="AT156" s="93"/>
      <c r="AU156" s="336"/>
      <c r="AV156" s="903"/>
      <c r="AW156" s="908"/>
      <c r="AX156" s="93"/>
      <c r="AY156" s="361" t="str">
        <f>Voorblad!Z83</f>
        <v>ES</v>
      </c>
      <c r="AZ156" s="361">
        <f t="shared" si="40"/>
        <v>0</v>
      </c>
      <c r="BA156" s="361">
        <f t="shared" si="41"/>
        <v>0</v>
      </c>
    </row>
    <row r="157" spans="25:53" x14ac:dyDescent="0.3">
      <c r="AB157" s="939" t="s">
        <v>1261</v>
      </c>
      <c r="AC157" s="930" t="s">
        <v>1260</v>
      </c>
      <c r="AD157" s="929"/>
      <c r="AE157" s="929" t="s">
        <v>67</v>
      </c>
      <c r="AF157" s="929">
        <f>IF(AND($AL$59="GOED",OR($AF$156=AD14,$AF$156=AF14,$AF$156=AD16,$AF$156=AF16,$AF$156=AD18,$AF$156=AF18,$AF$156=AD20,$AF$156=AF20,$AF$156=AD22,$AF$156=AF22,$AF$156=AD24,$AF$156=AF24,$AF$156=AD26,$AF$156=AF26,$AF$156=AD28,$AF$156=AF28)),1,0)</f>
        <v>0</v>
      </c>
      <c r="AG157" s="929" t="s">
        <v>430</v>
      </c>
      <c r="AH157" s="938" t="str">
        <f>IF($AL$59="GOED",IF(AO14="FOUT",0,IF($AF$59=AD14,IF(W14&gt;Y14,1,0),0)+IF($AF$59=AF14,IF(W14&lt;Y14,1,0),0))+IF(AO16="FOUT",0,IF($AF$59=AD16,IF(W16&gt;Y16,1,0),0)+IF($AF$59=AF16,IF(W16&lt;Y16,1,0),0))+IF(AO18="FOUT",0,IF($AF$59=AD18,IF(W18&gt;Y18,1,0),0)+IF($AF$59=AF18,IF(W18&lt;Y18,1,0),0))+IF(AO20="FOUT",0,IF($AF$59=AD20,IF(W20&gt;Y20,1,0),0)+IF($AF$59=AF20,IF(W20&lt;Y20,1,0),0))+IF(AO22="FOUT",0,IF($AF$59=AD22,IF(W22&gt;Y22,1,0),0)+IF($AF$59=AF22,IF(W22&lt;Y22,1,0),0))+IF(AO24="FOUT",0,IF($AF$59=AD24,IF(W24&gt;Y24,1,0),0)+IF($AF$59=AF24,IF(W24&lt;Y24,1,0),0))+IF(AO26="FOUT",0,IF($AF$59=AD26,IF(W26&gt;Y26,1,0),0)+IF($AF$59=AF26,IF(W26&lt;Y26,1,0),0))+IF(AO28="FOUT",0,IF($AF$59=AD28,IF(W28&gt;Y28,1,0),0)+IF($AF$59=AF28,IF(W28&lt;Y28,1,0),0)),"")</f>
        <v/>
      </c>
      <c r="AI157" s="929" t="s">
        <v>67</v>
      </c>
      <c r="AJ157" s="930" t="str">
        <f>IF(COUNTIF(AO14:AO28,"FOUT"&gt;0),"onvoldoende gegevens",IF(AF157=0,"geen suggestie mogelijk","GOED"))</f>
        <v>geen suggestie mogelijk</v>
      </c>
      <c r="AK157" s="929"/>
      <c r="AL157" s="929"/>
      <c r="AM157" s="929"/>
      <c r="AN157" s="929"/>
      <c r="AO157" s="927" t="s">
        <v>467</v>
      </c>
      <c r="AP157" s="928">
        <f>COUNTIF(AH156:AH160,"onvoldoende gegevens")</f>
        <v>0</v>
      </c>
      <c r="AQ157" s="618">
        <f t="shared" si="42"/>
        <v>5</v>
      </c>
      <c r="AR157" s="907" t="str">
        <f>AO154</f>
        <v>onvoldoende gegevens</v>
      </c>
      <c r="AS157" s="336"/>
      <c r="AT157" s="93"/>
      <c r="AU157" s="336"/>
      <c r="AV157" s="903"/>
      <c r="AW157" s="908"/>
      <c r="AX157" s="93"/>
      <c r="AY157" s="361" t="str">
        <f>Voorblad!Z84</f>
        <v>SE</v>
      </c>
      <c r="AZ157" s="361">
        <f t="shared" si="40"/>
        <v>0</v>
      </c>
      <c r="BA157" s="361">
        <f t="shared" si="41"/>
        <v>0</v>
      </c>
    </row>
    <row r="158" spans="25:53" x14ac:dyDescent="0.3">
      <c r="AB158" s="929" t="s">
        <v>1262</v>
      </c>
      <c r="AC158" s="930" t="s">
        <v>1260</v>
      </c>
      <c r="AD158" s="929"/>
      <c r="AE158" s="929" t="s">
        <v>67</v>
      </c>
      <c r="AF158" s="929">
        <f>IF(AND($AL$59="GOED",OR($AF$156=AD36,$AF$156=AF36,$AF$156=AD38,$AF$156=AF38,$AF$156=AD40,$AF$156=AF40,$AF$156=AD42,$AF$156=AF42)),1,0)</f>
        <v>0</v>
      </c>
      <c r="AG158" s="929" t="s">
        <v>430</v>
      </c>
      <c r="AH158" s="938" t="str">
        <f>IF($AL$59="GOED",IF(AO36="FOUT",0,IF($AF$59=AD36,IF(W36&gt;Y36,1,0),0)+IF($AF$59=AF36,IF(W36&lt;Y36,1,0),0))+IF(AO38="FOUT",0,IF($AF$59=AD38,IF(W38&gt;Y38,1,0),0)+IF($AF$59=AF38,IF(W38&lt;Y38,1,0),0))+IF(AO40="FOUT",0,IF($AF$59=AD40,IF(W40&gt;Y40,1,0),0)+IF($AF$59=AF40,IF(W40&lt;Y40,1,0),0))+IF(AO42="FOUT",0,IF($AF$59=AD42,IF(W42&gt;Y42,1,0),0)+IF($AF$59=AF42,IF(W42&lt;Y42,1,0),0)),"")</f>
        <v/>
      </c>
      <c r="AI158" s="929" t="s">
        <v>67</v>
      </c>
      <c r="AJ158" s="930" t="str">
        <f>IF(COUNTIF(AO36:AO42,"FOUT")&gt;0,"onvoldoende gegevens",IF(AF158=0,"geen suggestie mogelijk","GOED"))</f>
        <v>onvoldoende gegevens</v>
      </c>
      <c r="AK158" s="929"/>
      <c r="AL158" s="929"/>
      <c r="AM158" s="929"/>
      <c r="AN158" s="929"/>
      <c r="AO158" s="927" t="s">
        <v>1248</v>
      </c>
      <c r="AP158" s="928">
        <f>COUNTIF(AH157:AH160,1)</f>
        <v>0</v>
      </c>
      <c r="AQ158" s="618">
        <f t="shared" si="42"/>
        <v>6</v>
      </c>
      <c r="AR158" s="907" t="str">
        <f>AO161</f>
        <v>onvoldoende gegevens</v>
      </c>
      <c r="AS158" s="336"/>
      <c r="AT158" s="93"/>
      <c r="AU158" s="336"/>
      <c r="AV158" s="903"/>
      <c r="AW158" s="908"/>
      <c r="AX158" s="93"/>
      <c r="AY158" s="361" t="str">
        <f>Voorblad!Z85</f>
        <v>PL</v>
      </c>
      <c r="AZ158" s="361">
        <f t="shared" si="40"/>
        <v>0</v>
      </c>
      <c r="BA158" s="361">
        <f t="shared" si="41"/>
        <v>0</v>
      </c>
    </row>
    <row r="159" spans="25:53" x14ac:dyDescent="0.3">
      <c r="AB159" s="929" t="s">
        <v>1263</v>
      </c>
      <c r="AC159" s="930" t="s">
        <v>1260</v>
      </c>
      <c r="AD159" s="929"/>
      <c r="AE159" s="929" t="s">
        <v>67</v>
      </c>
      <c r="AF159" s="929">
        <f>IF(AND($AL$59="GOED",OR($AF$156=AD46,$AF$156=AF46,$AF$156=AD48,$AF$156=AF48)),1,0)</f>
        <v>0</v>
      </c>
      <c r="AG159" s="929" t="s">
        <v>430</v>
      </c>
      <c r="AH159" s="938" t="str">
        <f>IF($AL$59="GOED",IF(AO46="FOUT",0,IF($AF$59=AD46,IF(W46&gt;Y46,1,0),0)+IF($AF$59=AF46,IF(W46&lt;Y46,1,0),0))+IF(AO48="FOUT",0,IF($AF$59=AD48,IF(W48&gt;Y48,1,0),0)+IF($AF$59=AF48,IF(W48&lt;Y48,1,0),0)),"")</f>
        <v/>
      </c>
      <c r="AI159" s="929" t="s">
        <v>67</v>
      </c>
      <c r="AJ159" s="930" t="str">
        <f>IF(COUNTIF(AO46:AO48,"FOUT")&gt;0,"onvoldoende gegevens",IF(AF159=0,"geen suggestie mogelijk","GOED"))</f>
        <v>onvoldoende gegevens</v>
      </c>
      <c r="AK159" s="929"/>
      <c r="AL159" s="929"/>
      <c r="AM159" s="929"/>
      <c r="AN159" s="929"/>
      <c r="AO159" s="927" t="s">
        <v>1264</v>
      </c>
      <c r="AP159" s="928">
        <v>4</v>
      </c>
      <c r="AQ159" s="618">
        <f t="shared" si="42"/>
        <v>7</v>
      </c>
      <c r="AR159" s="907" t="str">
        <f>AO165</f>
        <v>zie werkblad bonusvragen</v>
      </c>
      <c r="AS159" s="93"/>
      <c r="AT159" s="93"/>
      <c r="AU159" s="93"/>
      <c r="AV159" s="93"/>
      <c r="AW159" s="93"/>
      <c r="AX159" s="93"/>
      <c r="AY159" s="361" t="str">
        <f>Voorblad!Z86</f>
        <v>SK</v>
      </c>
      <c r="AZ159" s="361">
        <f t="shared" si="40"/>
        <v>0</v>
      </c>
      <c r="BA159" s="361">
        <f t="shared" si="41"/>
        <v>0</v>
      </c>
    </row>
    <row r="160" spans="25:53" x14ac:dyDescent="0.3">
      <c r="AB160" s="929" t="s">
        <v>443</v>
      </c>
      <c r="AC160" s="930" t="s">
        <v>1260</v>
      </c>
      <c r="AD160" s="929"/>
      <c r="AE160" s="929" t="s">
        <v>67</v>
      </c>
      <c r="AF160" s="929">
        <f>IF(AND($AL$59="GOED",OR($AF$156=AD56,$AF$156=AF56)),1,0)</f>
        <v>0</v>
      </c>
      <c r="AG160" s="929" t="s">
        <v>430</v>
      </c>
      <c r="AH160" s="938" t="str">
        <f>IF($AL$59="GOED",IF(AO56="FOUT",0,IF($AF$59=AD56,IF(W56&gt;Y56,1,0),0)+IF($AF$59=AF56,IF(W56&lt;Y56,1,0),0)),"")</f>
        <v/>
      </c>
      <c r="AI160" s="929" t="s">
        <v>67</v>
      </c>
      <c r="AJ160" s="930" t="str">
        <f>IF(AO56="FOUT","onvoldoende gegevens",IF(AF160=0,"geen suggestie mogelijk","GOED"))</f>
        <v>onvoldoende gegevens</v>
      </c>
      <c r="AK160" s="929"/>
      <c r="AL160" s="929"/>
      <c r="AM160" s="929"/>
      <c r="AN160" s="929"/>
      <c r="AO160" s="927" t="s">
        <v>1249</v>
      </c>
      <c r="AP160" s="928">
        <f>COUNTIF(AH157:AH160,0)</f>
        <v>0</v>
      </c>
      <c r="AQ160" s="618">
        <f t="shared" si="42"/>
        <v>8</v>
      </c>
      <c r="AR160" s="907" t="str">
        <f>AO165</f>
        <v>zie werkblad bonusvragen</v>
      </c>
      <c r="AS160" s="93"/>
      <c r="AT160" s="93"/>
      <c r="AU160" s="93"/>
      <c r="AV160" s="93"/>
      <c r="AW160" s="93"/>
      <c r="AX160" s="93"/>
      <c r="AY160" s="361" t="str">
        <f>Voorblad!Z87</f>
        <v>HU</v>
      </c>
      <c r="AZ160" s="361">
        <f t="shared" si="40"/>
        <v>0</v>
      </c>
      <c r="BA160" s="361">
        <f t="shared" si="41"/>
        <v>0</v>
      </c>
    </row>
    <row r="161" spans="25:53" x14ac:dyDescent="0.3">
      <c r="Y161" s="462"/>
      <c r="Z161" s="462"/>
      <c r="AB161" s="936"/>
      <c r="AC161" s="930"/>
      <c r="AD161" s="931"/>
      <c r="AE161" s="931"/>
      <c r="AF161" s="931"/>
      <c r="AG161" s="931"/>
      <c r="AH161" s="931"/>
      <c r="AI161" s="931"/>
      <c r="AJ161" s="931"/>
      <c r="AK161" s="931"/>
      <c r="AL161" s="931"/>
      <c r="AM161" s="937" t="s">
        <v>1265</v>
      </c>
      <c r="AN161" s="932" t="s">
        <v>386</v>
      </c>
      <c r="AO161" s="614" t="str">
        <f>IF(COUNTIF(AJ156:AJ160,"onvoldoende gegevens")&gt;0,"onvoldoende gegevens",IF(COUNTIF(AJ156:AJ160,"geen suggestie mogelijk")&gt;0,"geen suggestie mogelijk",IF(AP156="NEE",IF(AP158&gt;=AP159,"JA","NEE"),IF(AP160&gt;0,"NEE","geen suggestie mogelijk"))))</f>
        <v>onvoldoende gegevens</v>
      </c>
      <c r="AP161" s="933"/>
      <c r="AQ161" s="618">
        <f t="shared" si="42"/>
        <v>9</v>
      </c>
      <c r="AR161" s="907" t="str">
        <f>AO165</f>
        <v>zie werkblad bonusvragen</v>
      </c>
      <c r="AS161" s="93"/>
      <c r="AT161" s="93"/>
      <c r="AU161" s="93"/>
      <c r="AV161" s="93"/>
      <c r="AW161" s="93"/>
      <c r="AX161" s="93"/>
      <c r="AY161" s="361" t="str">
        <f>Voorblad!Z88</f>
        <v>PT</v>
      </c>
      <c r="AZ161" s="361">
        <f t="shared" si="40"/>
        <v>0</v>
      </c>
      <c r="BA161" s="361">
        <f t="shared" si="41"/>
        <v>0</v>
      </c>
    </row>
    <row r="162" spans="25:53" x14ac:dyDescent="0.3">
      <c r="Y162" s="462"/>
      <c r="Z162" s="462"/>
      <c r="AB162" s="607" t="s">
        <v>1250</v>
      </c>
      <c r="AC162" s="608" t="str">
        <f>Taal04!$C$135</f>
        <v>De winnaar van het toernooi heeft een beter doelsaldo dan de andere teams. In geval van een gelijk doelsaldo zijn de gescoorde doelpunten doorslaggevend.</v>
      </c>
      <c r="AD162" s="610"/>
      <c r="AE162" s="610"/>
      <c r="AF162" s="924"/>
      <c r="AG162" s="610"/>
      <c r="AH162" s="611"/>
      <c r="AI162" s="610"/>
      <c r="AJ162" s="610"/>
      <c r="AK162" s="610"/>
      <c r="AL162" s="610"/>
      <c r="AM162" s="610"/>
      <c r="AN162" s="610"/>
      <c r="AO162" s="610"/>
      <c r="AP162" s="912"/>
      <c r="AQ162" s="618">
        <f t="shared" si="42"/>
        <v>10</v>
      </c>
      <c r="AR162" s="907" t="str">
        <f>AO172</f>
        <v>geen suggestie mogelijk</v>
      </c>
      <c r="AS162" s="93"/>
      <c r="AT162" s="93"/>
      <c r="AU162" s="93"/>
      <c r="AV162" s="93"/>
      <c r="AW162" s="93"/>
      <c r="AX162" s="93"/>
      <c r="AY162" s="361" t="str">
        <f>Voorblad!Z89</f>
        <v>FR</v>
      </c>
      <c r="AZ162" s="361">
        <f t="shared" si="40"/>
        <v>0</v>
      </c>
      <c r="BA162" s="361">
        <f t="shared" si="41"/>
        <v>0</v>
      </c>
    </row>
    <row r="163" spans="25:53" x14ac:dyDescent="0.3">
      <c r="Y163" s="462"/>
      <c r="Z163" s="462"/>
      <c r="AB163" s="917" t="s">
        <v>1251</v>
      </c>
      <c r="AC163" s="918" t="str">
        <f>Taal04!$C$136</f>
        <v>Het Belgisch elftal kan een beter doelsaldo weerleggen dan het Nederlands elftal. In geval van een gelijk doelsaldo zijn de gescoorde doelpunten doorslaggevend.</v>
      </c>
      <c r="AD163" s="610"/>
      <c r="AE163" s="610"/>
      <c r="AF163" s="610"/>
      <c r="AG163" s="610"/>
      <c r="AH163" s="610"/>
      <c r="AI163" s="610"/>
      <c r="AJ163" s="610"/>
      <c r="AK163" s="610"/>
      <c r="AL163" s="610"/>
      <c r="AM163" s="610"/>
      <c r="AN163" s="610"/>
      <c r="AO163" s="610"/>
      <c r="AP163" s="912"/>
      <c r="AQ163" s="618">
        <f t="shared" si="42"/>
        <v>11</v>
      </c>
      <c r="AR163" s="907" t="str">
        <f>AO172</f>
        <v>geen suggestie mogelijk</v>
      </c>
      <c r="AS163" s="93"/>
      <c r="AT163" s="93"/>
      <c r="AU163" s="93"/>
      <c r="AV163" s="93"/>
      <c r="AW163" s="93"/>
      <c r="AX163" s="93"/>
      <c r="AY163" s="361" t="str">
        <f>Voorblad!Z90</f>
        <v>DE</v>
      </c>
      <c r="AZ163" s="361">
        <f t="shared" si="40"/>
        <v>0</v>
      </c>
      <c r="BA163" s="361">
        <f t="shared" si="41"/>
        <v>0</v>
      </c>
    </row>
    <row r="164" spans="25:53" x14ac:dyDescent="0.3">
      <c r="Y164" s="462"/>
      <c r="Z164" s="462"/>
      <c r="AB164" s="917" t="s">
        <v>1252</v>
      </c>
      <c r="AC164" s="918" t="str">
        <f>Taal04!$C$137</f>
        <v>Het Nederlands elftal kan een beter doelsaldo weerleggen dan het Belgisch elftal. In geval van een gelijk doelsaldo zijn de gescoorde doelpunten doorslaggevend.</v>
      </c>
      <c r="AD164" s="610"/>
      <c r="AE164" s="610"/>
      <c r="AF164" s="610"/>
      <c r="AG164" s="610"/>
      <c r="AH164" s="610"/>
      <c r="AI164" s="610"/>
      <c r="AJ164" s="610"/>
      <c r="AK164" s="610"/>
      <c r="AL164" s="610"/>
      <c r="AM164" s="610"/>
      <c r="AN164" s="610"/>
      <c r="AO164" s="610"/>
      <c r="AP164" s="912"/>
      <c r="AQ164" s="618">
        <f t="shared" si="42"/>
        <v>12</v>
      </c>
      <c r="AR164" s="907" t="str">
        <f>AO172</f>
        <v>geen suggestie mogelijk</v>
      </c>
      <c r="AS164" s="93"/>
      <c r="AT164" s="93"/>
      <c r="AU164" s="93"/>
      <c r="AV164" s="93"/>
      <c r="AW164" s="93"/>
      <c r="AX164" s="93"/>
      <c r="AY164" s="361" t="str">
        <f>Voorblad!Z91</f>
        <v>XA</v>
      </c>
      <c r="AZ164" s="361">
        <f t="shared" si="40"/>
        <v>0</v>
      </c>
      <c r="BA164" s="361">
        <f t="shared" si="41"/>
        <v>0</v>
      </c>
    </row>
    <row r="165" spans="25:53" x14ac:dyDescent="0.3">
      <c r="Y165" s="462"/>
      <c r="Z165" s="462"/>
      <c r="AB165" s="612"/>
      <c r="AC165" s="612"/>
      <c r="AD165" s="612"/>
      <c r="AE165" s="612"/>
      <c r="AF165" s="612"/>
      <c r="AG165" s="612"/>
      <c r="AH165" s="612"/>
      <c r="AI165" s="612"/>
      <c r="AJ165" s="612"/>
      <c r="AK165" s="612"/>
      <c r="AL165" s="612"/>
      <c r="AM165" s="612"/>
      <c r="AN165" s="916" t="s">
        <v>386</v>
      </c>
      <c r="AO165" s="614" t="s">
        <v>1259</v>
      </c>
      <c r="AP165" s="620"/>
      <c r="AQ165" s="618">
        <f t="shared" si="42"/>
        <v>13</v>
      </c>
      <c r="AR165" s="907" t="str">
        <f>AO172</f>
        <v>geen suggestie mogelijk</v>
      </c>
      <c r="AS165" s="93"/>
      <c r="AT165" s="93"/>
      <c r="AU165" s="93"/>
      <c r="AV165" s="93"/>
      <c r="AW165" s="93"/>
      <c r="AX165" s="93"/>
      <c r="AY165" s="361" t="str">
        <f>Voorblad!Z92</f>
        <v>XB</v>
      </c>
      <c r="AZ165" s="361">
        <f t="shared" si="40"/>
        <v>0</v>
      </c>
      <c r="BA165" s="361">
        <f t="shared" si="41"/>
        <v>0</v>
      </c>
    </row>
    <row r="166" spans="25:53" x14ac:dyDescent="0.3">
      <c r="AB166" s="607" t="s">
        <v>1253</v>
      </c>
      <c r="AC166" s="608" t="str">
        <f>Taal04!$C$138</f>
        <v>De winnaar van het toernooi levert tevens ook de  topscorer van het toernooi of één van de topscorers.</v>
      </c>
      <c r="AD166" s="610"/>
      <c r="AE166" s="610"/>
      <c r="AF166" s="610"/>
      <c r="AG166" s="610"/>
      <c r="AH166" s="610"/>
      <c r="AI166" s="610"/>
      <c r="AJ166" s="610"/>
      <c r="AK166" s="610"/>
      <c r="AL166" s="610"/>
      <c r="AM166" s="610"/>
      <c r="AN166" s="610"/>
      <c r="AO166" s="610"/>
      <c r="AP166" s="912"/>
      <c r="AQ166" s="618">
        <f t="shared" si="42"/>
        <v>14</v>
      </c>
      <c r="AR166" s="907" t="str">
        <f>AO172</f>
        <v>geen suggestie mogelijk</v>
      </c>
      <c r="AS166" s="93"/>
      <c r="AT166" s="93"/>
      <c r="AU166" s="93"/>
      <c r="AV166" s="93"/>
      <c r="AW166" s="93"/>
      <c r="AX166" s="93"/>
      <c r="AY166" s="361" t="str">
        <f>Voorblad!Z93</f>
        <v>XC</v>
      </c>
      <c r="AZ166" s="361">
        <f t="shared" si="40"/>
        <v>0</v>
      </c>
      <c r="BA166" s="361">
        <f t="shared" si="41"/>
        <v>0</v>
      </c>
    </row>
    <row r="167" spans="25:53" x14ac:dyDescent="0.3">
      <c r="AB167" s="917" t="s">
        <v>1254</v>
      </c>
      <c r="AC167" s="918" t="str">
        <f>Taal04!$C$139</f>
        <v>De topscorer van het toernooi of één van de topscorers speelde gedurende het seizoen 2020/2021 in de Italiaanse competitie.</v>
      </c>
      <c r="AD167" s="610"/>
      <c r="AE167" s="610"/>
      <c r="AF167" s="610"/>
      <c r="AG167" s="610"/>
      <c r="AH167" s="610"/>
      <c r="AI167" s="610"/>
      <c r="AJ167" s="610"/>
      <c r="AK167" s="610"/>
      <c r="AL167" s="610"/>
      <c r="AM167" s="610"/>
      <c r="AN167" s="610"/>
      <c r="AO167" s="610"/>
      <c r="AP167" s="912"/>
      <c r="AQ167" s="618">
        <f t="shared" si="42"/>
        <v>15</v>
      </c>
      <c r="AR167" s="907" t="str">
        <f>AO172</f>
        <v>geen suggestie mogelijk</v>
      </c>
      <c r="AS167" s="93"/>
      <c r="AT167" s="93"/>
      <c r="AU167" s="93"/>
      <c r="AV167" s="93"/>
      <c r="AW167" s="93"/>
      <c r="AX167" s="93"/>
      <c r="AY167" s="361" t="str">
        <f>Voorblad!Z94</f>
        <v>XD</v>
      </c>
      <c r="AZ167" s="361">
        <f t="shared" si="40"/>
        <v>0</v>
      </c>
      <c r="BA167" s="361">
        <f t="shared" si="41"/>
        <v>0</v>
      </c>
    </row>
    <row r="168" spans="25:53" x14ac:dyDescent="0.3">
      <c r="AB168" s="917" t="s">
        <v>1255</v>
      </c>
      <c r="AC168" s="918" t="str">
        <f>Taal04!$C$140</f>
        <v>Tijdens het toernooi weet een speler in één wedstrijd drie keer of zelfs meer te scoren. Een zogenaamde hattrick. Benutte penalty tijdens een strafschoppenserie tellen niet mee.</v>
      </c>
      <c r="AD168" s="610"/>
      <c r="AE168" s="610"/>
      <c r="AF168" s="610"/>
      <c r="AG168" s="610"/>
      <c r="AH168" s="610"/>
      <c r="AI168" s="610"/>
      <c r="AJ168" s="610"/>
      <c r="AK168" s="610"/>
      <c r="AL168" s="610"/>
      <c r="AM168" s="610"/>
      <c r="AN168" s="610"/>
      <c r="AO168" s="610"/>
      <c r="AP168" s="912"/>
      <c r="AQ168" s="93"/>
      <c r="AR168" s="93"/>
      <c r="AS168" s="93"/>
      <c r="AT168" s="93"/>
      <c r="AU168" s="93"/>
      <c r="AV168" s="93"/>
      <c r="AW168" s="93"/>
      <c r="AX168" s="93"/>
      <c r="AY168" s="361" t="str">
        <f>Voorblad!Z95</f>
        <v>XE</v>
      </c>
      <c r="AZ168" s="361">
        <f t="shared" si="40"/>
        <v>0</v>
      </c>
      <c r="BA168" s="361">
        <f t="shared" si="41"/>
        <v>0</v>
      </c>
    </row>
    <row r="169" spans="25:53" x14ac:dyDescent="0.3">
      <c r="AB169" s="917" t="s">
        <v>1256</v>
      </c>
      <c r="AC169" s="918" t="str">
        <f>Taal04!$C$141</f>
        <v>Van alle gescoorde doelpunten tijdens het toernooi worden er minimaal vier in eigen doel gescoord.</v>
      </c>
      <c r="AD169" s="610"/>
      <c r="AE169" s="610"/>
      <c r="AF169" s="610"/>
      <c r="AG169" s="610"/>
      <c r="AH169" s="610"/>
      <c r="AI169" s="610"/>
      <c r="AJ169" s="610"/>
      <c r="AK169" s="610"/>
      <c r="AL169" s="610"/>
      <c r="AM169" s="610"/>
      <c r="AN169" s="610"/>
      <c r="AO169" s="610"/>
      <c r="AP169" s="912"/>
      <c r="AQ169" s="93"/>
      <c r="AR169" s="93"/>
      <c r="AS169" s="93"/>
      <c r="AT169" s="93"/>
      <c r="AU169" s="93"/>
      <c r="AV169" s="93"/>
      <c r="AW169" s="93"/>
      <c r="AX169" s="93"/>
      <c r="AY169" s="361" t="str">
        <f>Voorblad!Z96</f>
        <v>XF</v>
      </c>
      <c r="AZ169" s="361">
        <f t="shared" si="40"/>
        <v>0</v>
      </c>
      <c r="BA169" s="361">
        <f t="shared" si="41"/>
        <v>0</v>
      </c>
    </row>
    <row r="170" spans="25:53" x14ac:dyDescent="0.3">
      <c r="AB170" s="917" t="s">
        <v>1257</v>
      </c>
      <c r="AC170" s="918" t="str">
        <f>Taal04!$C$142</f>
        <v>Gedurende het toernooi worden minimaal zeven doelpunten die in eerste instantie zijn goedgekeurd alsnog afgekeurd door tussenkomst van de VAR.</v>
      </c>
      <c r="AD170" s="610"/>
      <c r="AE170" s="610"/>
      <c r="AF170" s="610"/>
      <c r="AG170" s="610"/>
      <c r="AH170" s="610"/>
      <c r="AI170" s="610"/>
      <c r="AJ170" s="610"/>
      <c r="AK170" s="610"/>
      <c r="AL170" s="610"/>
      <c r="AM170" s="610"/>
      <c r="AN170" s="610"/>
      <c r="AO170" s="610"/>
      <c r="AP170" s="912"/>
      <c r="AQ170" s="93"/>
      <c r="AR170" s="93"/>
      <c r="AS170" s="93"/>
      <c r="AT170" s="93"/>
      <c r="AU170" s="93"/>
      <c r="AV170" s="93"/>
      <c r="AW170" s="93"/>
      <c r="AX170" s="93"/>
      <c r="AY170" s="361" t="str">
        <f>Voorblad!Z97</f>
        <v>XG</v>
      </c>
      <c r="AZ170" s="361">
        <f t="shared" si="40"/>
        <v>0</v>
      </c>
      <c r="BA170" s="361">
        <f t="shared" si="41"/>
        <v>0</v>
      </c>
    </row>
    <row r="171" spans="25:53" x14ac:dyDescent="0.3">
      <c r="AB171" s="917" t="s">
        <v>1258</v>
      </c>
      <c r="AC171" s="918" t="str">
        <f>Taal04!$C$143</f>
        <v>Gedurende het toernooi weet de scheidsrechter in één of meerdere wedstrijden zijn kaarten op zak te houden.</v>
      </c>
      <c r="AD171" s="610"/>
      <c r="AE171" s="610"/>
      <c r="AF171" s="610"/>
      <c r="AG171" s="610"/>
      <c r="AH171" s="610"/>
      <c r="AI171" s="610"/>
      <c r="AJ171" s="610"/>
      <c r="AK171" s="610"/>
      <c r="AL171" s="610"/>
      <c r="AM171" s="610"/>
      <c r="AN171" s="610"/>
      <c r="AO171" s="610"/>
      <c r="AP171" s="912"/>
      <c r="AQ171" s="93"/>
      <c r="AR171" s="93"/>
      <c r="AS171" s="93"/>
      <c r="AT171" s="93"/>
      <c r="AU171" s="93"/>
      <c r="AV171" s="93"/>
      <c r="AW171" s="93"/>
      <c r="AX171" s="93"/>
      <c r="AY171" s="361" t="str">
        <f>Voorblad!Z98</f>
        <v>XH</v>
      </c>
      <c r="AZ171" s="361">
        <f t="shared" si="40"/>
        <v>0</v>
      </c>
      <c r="BA171" s="361">
        <f t="shared" si="41"/>
        <v>0</v>
      </c>
    </row>
    <row r="172" spans="25:53" x14ac:dyDescent="0.3">
      <c r="AB172" s="612"/>
      <c r="AC172" s="612"/>
      <c r="AD172" s="612"/>
      <c r="AE172" s="612"/>
      <c r="AF172" s="612"/>
      <c r="AG172" s="612"/>
      <c r="AH172" s="612"/>
      <c r="AI172" s="612"/>
      <c r="AJ172" s="612"/>
      <c r="AK172" s="612"/>
      <c r="AL172" s="612"/>
      <c r="AM172" s="612"/>
      <c r="AN172" s="916" t="s">
        <v>386</v>
      </c>
      <c r="AO172" s="614" t="s">
        <v>313</v>
      </c>
      <c r="AP172" s="620"/>
      <c r="AQ172" s="93"/>
      <c r="AR172" s="93"/>
      <c r="AS172" s="93"/>
      <c r="AT172" s="93"/>
      <c r="AU172" s="93"/>
      <c r="AV172" s="93"/>
      <c r="AW172" s="93"/>
      <c r="AX172" s="93"/>
      <c r="AY172" s="93"/>
      <c r="AZ172" s="93"/>
      <c r="BA172" s="93"/>
    </row>
    <row r="173" spans="25:53" x14ac:dyDescent="0.3">
      <c r="AB173" s="915"/>
      <c r="AC173" s="915"/>
      <c r="AD173" s="915"/>
      <c r="AE173" s="915"/>
      <c r="AF173" s="915"/>
      <c r="AG173" s="915"/>
      <c r="AH173" s="915"/>
      <c r="AI173" s="915"/>
      <c r="AJ173" s="915"/>
      <c r="AK173" s="915"/>
      <c r="AL173" s="915"/>
      <c r="AM173" s="915"/>
      <c r="AN173" s="915"/>
      <c r="AO173" s="915"/>
      <c r="AP173" s="915"/>
      <c r="AQ173" s="902"/>
      <c r="AR173" s="902"/>
      <c r="AS173" s="902"/>
      <c r="AT173" s="902"/>
      <c r="AU173" s="902"/>
      <c r="AV173" s="902"/>
      <c r="AW173" s="902"/>
      <c r="AX173" s="902"/>
      <c r="AY173" s="902"/>
      <c r="AZ173" s="902"/>
      <c r="BA173" s="902"/>
    </row>
    <row r="174" spans="25:53" x14ac:dyDescent="0.3">
      <c r="AB174" s="217"/>
      <c r="AC174" s="915"/>
      <c r="AD174" s="915"/>
      <c r="AE174" s="915"/>
      <c r="AF174" s="915"/>
      <c r="AG174" s="915"/>
      <c r="AH174" s="915"/>
      <c r="AI174" s="915"/>
      <c r="AJ174" s="915"/>
      <c r="AK174" s="915"/>
      <c r="AL174" s="915"/>
      <c r="AM174" s="915"/>
      <c r="AN174" s="915"/>
      <c r="AO174" s="915"/>
      <c r="AP174" s="915"/>
      <c r="AQ174" s="902"/>
      <c r="AR174" s="902"/>
      <c r="AS174" s="902"/>
      <c r="AT174" s="902"/>
      <c r="AU174" s="902"/>
      <c r="AV174" s="902"/>
      <c r="AW174" s="902"/>
      <c r="AX174" s="902"/>
      <c r="AY174" s="902"/>
      <c r="AZ174" s="902"/>
      <c r="BA174" s="902"/>
    </row>
    <row r="175" spans="25:53" x14ac:dyDescent="0.3">
      <c r="AB175" s="217"/>
      <c r="AD175" s="915"/>
      <c r="AE175" s="915"/>
      <c r="AF175" s="915"/>
      <c r="AG175" s="915"/>
      <c r="AH175" s="915"/>
      <c r="AI175" s="915"/>
      <c r="AJ175" s="915"/>
      <c r="AK175" s="915"/>
      <c r="AL175" s="915"/>
      <c r="AM175" s="915"/>
      <c r="AN175" s="915"/>
      <c r="AO175" s="915"/>
      <c r="AP175" s="915"/>
      <c r="AQ175" s="902"/>
      <c r="AR175" s="902"/>
      <c r="AS175" s="902"/>
      <c r="AT175" s="902"/>
      <c r="AU175" s="902"/>
      <c r="AV175" s="902"/>
      <c r="AW175" s="902"/>
      <c r="AX175" s="902"/>
      <c r="AY175" s="902"/>
      <c r="AZ175" s="902"/>
      <c r="BA175" s="902"/>
    </row>
    <row r="176" spans="25:53" x14ac:dyDescent="0.3">
      <c r="AB176" s="915"/>
      <c r="AC176" s="915"/>
      <c r="AD176" s="915"/>
      <c r="AE176" s="915"/>
      <c r="AF176" s="915"/>
      <c r="AG176" s="915"/>
      <c r="AH176" s="915"/>
      <c r="AI176" s="915"/>
      <c r="AJ176" s="915"/>
      <c r="AK176" s="915"/>
      <c r="AL176" s="915"/>
      <c r="AM176" s="915"/>
      <c r="AN176" s="915"/>
      <c r="AO176" s="915"/>
      <c r="AP176" s="915"/>
      <c r="AQ176" s="902"/>
      <c r="AR176" s="902"/>
      <c r="AS176" s="902"/>
      <c r="AT176" s="902"/>
      <c r="AU176" s="902"/>
      <c r="AV176" s="902"/>
      <c r="AW176" s="902"/>
      <c r="AX176" s="902"/>
      <c r="AY176" s="902"/>
      <c r="AZ176" s="902"/>
      <c r="BA176" s="902"/>
    </row>
    <row r="177" spans="28:53" x14ac:dyDescent="0.3">
      <c r="AB177" s="915"/>
      <c r="AC177" s="915"/>
      <c r="AD177" s="915"/>
      <c r="AE177" s="915"/>
      <c r="AF177" s="915"/>
      <c r="AG177" s="915"/>
      <c r="AH177" s="915"/>
      <c r="AI177" s="915"/>
      <c r="AJ177" s="915"/>
      <c r="AK177" s="915"/>
      <c r="AL177" s="915"/>
      <c r="AM177" s="915"/>
      <c r="AN177" s="915"/>
      <c r="AO177" s="915"/>
      <c r="AP177" s="915"/>
      <c r="AQ177" s="902"/>
      <c r="AR177" s="902"/>
      <c r="AS177" s="902"/>
      <c r="AT177" s="902"/>
      <c r="AU177" s="902"/>
      <c r="AV177" s="902"/>
      <c r="AW177" s="902"/>
      <c r="AX177" s="902"/>
      <c r="AY177" s="902"/>
      <c r="AZ177" s="902"/>
      <c r="BA177" s="902"/>
    </row>
    <row r="178" spans="28:53" x14ac:dyDescent="0.3">
      <c r="AB178" s="915"/>
      <c r="AC178" s="915"/>
      <c r="AD178" s="915"/>
      <c r="AE178" s="915"/>
      <c r="AF178" s="915"/>
      <c r="AG178" s="915"/>
      <c r="AH178" s="915"/>
      <c r="AI178" s="915"/>
      <c r="AJ178" s="915"/>
      <c r="AK178" s="915"/>
      <c r="AL178" s="915"/>
      <c r="AM178" s="915"/>
      <c r="AN178" s="915"/>
      <c r="AO178" s="915"/>
      <c r="AP178" s="915"/>
      <c r="AQ178" s="902"/>
      <c r="AR178" s="902"/>
      <c r="AS178" s="902"/>
      <c r="AT178" s="902"/>
      <c r="AU178" s="902"/>
      <c r="AV178" s="902"/>
      <c r="AW178" s="902"/>
      <c r="AX178" s="902"/>
      <c r="AY178" s="902"/>
      <c r="AZ178" s="902"/>
      <c r="BA178" s="902"/>
    </row>
    <row r="179" spans="28:53" x14ac:dyDescent="0.3">
      <c r="AB179" s="915"/>
      <c r="AC179" s="915"/>
      <c r="AD179" s="915"/>
      <c r="AE179" s="915"/>
      <c r="AF179" s="915"/>
      <c r="AG179" s="915"/>
      <c r="AH179" s="915"/>
      <c r="AI179" s="915"/>
      <c r="AJ179" s="915"/>
      <c r="AK179" s="915"/>
      <c r="AL179" s="915"/>
      <c r="AM179" s="915"/>
      <c r="AN179" s="915"/>
      <c r="AO179" s="915"/>
      <c r="AP179" s="915"/>
      <c r="AQ179" s="902"/>
      <c r="AR179" s="902"/>
      <c r="AS179" s="902"/>
      <c r="AT179" s="902"/>
      <c r="AU179" s="902"/>
      <c r="AV179" s="902"/>
      <c r="AW179" s="902"/>
      <c r="AX179" s="902"/>
      <c r="AY179" s="902"/>
      <c r="AZ179" s="902"/>
      <c r="BA179" s="902"/>
    </row>
    <row r="180" spans="28:53" x14ac:dyDescent="0.3">
      <c r="AB180" s="915"/>
      <c r="AC180" s="915"/>
      <c r="AD180" s="915"/>
      <c r="AE180" s="915"/>
      <c r="AF180" s="915"/>
      <c r="AG180" s="915"/>
      <c r="AH180" s="915"/>
      <c r="AI180" s="915"/>
      <c r="AJ180" s="915"/>
      <c r="AK180" s="915"/>
      <c r="AL180" s="915"/>
      <c r="AM180" s="915"/>
      <c r="AN180" s="915"/>
      <c r="AO180" s="915"/>
      <c r="AP180" s="915"/>
      <c r="AY180" s="902"/>
      <c r="AZ180" s="902"/>
      <c r="BA180" s="902"/>
    </row>
    <row r="181" spans="28:53" x14ac:dyDescent="0.3">
      <c r="AB181" s="915"/>
      <c r="AC181" s="915"/>
      <c r="AD181" s="915"/>
      <c r="AE181" s="915"/>
      <c r="AF181" s="915"/>
      <c r="AG181" s="915"/>
      <c r="AH181" s="915"/>
      <c r="AI181" s="915"/>
      <c r="AJ181" s="915"/>
      <c r="AK181" s="915"/>
      <c r="AL181" s="915"/>
      <c r="AM181" s="915"/>
      <c r="AN181" s="915"/>
      <c r="AO181" s="915"/>
      <c r="AP181" s="915"/>
    </row>
    <row r="182" spans="28:53" x14ac:dyDescent="0.3">
      <c r="AB182" s="915"/>
      <c r="AC182" s="915"/>
      <c r="AD182" s="915"/>
      <c r="AE182" s="915"/>
      <c r="AF182" s="915"/>
      <c r="AG182" s="915"/>
      <c r="AH182" s="915"/>
      <c r="AI182" s="915"/>
      <c r="AJ182" s="915"/>
      <c r="AK182" s="915"/>
      <c r="AL182" s="915"/>
      <c r="AM182" s="915"/>
      <c r="AN182" s="915"/>
      <c r="AO182" s="915"/>
      <c r="AP182" s="915"/>
    </row>
    <row r="183" spans="28:53" x14ac:dyDescent="0.3">
      <c r="AB183" s="915"/>
      <c r="AC183" s="915"/>
      <c r="AD183" s="915"/>
      <c r="AE183" s="915"/>
      <c r="AF183" s="915"/>
      <c r="AG183" s="915"/>
      <c r="AH183" s="915"/>
      <c r="AI183" s="915"/>
      <c r="AJ183" s="915"/>
      <c r="AK183" s="915"/>
      <c r="AL183" s="915"/>
      <c r="AM183" s="915"/>
      <c r="AN183" s="915"/>
      <c r="AO183" s="915"/>
      <c r="AP183" s="915"/>
    </row>
    <row r="184" spans="28:53" x14ac:dyDescent="0.3">
      <c r="AB184" s="915"/>
      <c r="AC184" s="915"/>
      <c r="AD184" s="915"/>
      <c r="AE184" s="915"/>
      <c r="AF184" s="915"/>
      <c r="AG184" s="915"/>
      <c r="AH184" s="915"/>
      <c r="AI184" s="915"/>
      <c r="AJ184" s="915"/>
      <c r="AK184" s="915"/>
      <c r="AL184" s="915"/>
      <c r="AM184" s="915"/>
      <c r="AN184" s="915"/>
      <c r="AO184" s="915"/>
      <c r="AP184" s="915"/>
    </row>
    <row r="185" spans="28:53" x14ac:dyDescent="0.3">
      <c r="AB185" s="915"/>
      <c r="AC185" s="915"/>
      <c r="AD185" s="915"/>
      <c r="AE185" s="915"/>
      <c r="AF185" s="915"/>
      <c r="AG185" s="915"/>
      <c r="AH185" s="915"/>
      <c r="AI185" s="915"/>
      <c r="AJ185" s="915"/>
      <c r="AK185" s="915"/>
      <c r="AL185" s="915"/>
      <c r="AM185" s="915"/>
      <c r="AN185" s="915"/>
      <c r="AO185" s="915"/>
      <c r="AP185" s="915"/>
    </row>
    <row r="186" spans="28:53" x14ac:dyDescent="0.3">
      <c r="AB186" s="915"/>
      <c r="AC186" s="915"/>
      <c r="AD186" s="915"/>
      <c r="AE186" s="915"/>
      <c r="AF186" s="915"/>
      <c r="AG186" s="915"/>
      <c r="AH186" s="915"/>
      <c r="AI186" s="915"/>
      <c r="AJ186" s="915"/>
      <c r="AK186" s="915"/>
      <c r="AL186" s="915"/>
      <c r="AM186" s="915"/>
      <c r="AN186" s="915"/>
      <c r="AO186" s="915"/>
      <c r="AP186" s="915"/>
    </row>
    <row r="187" spans="28:53" x14ac:dyDescent="0.3">
      <c r="AB187" s="915"/>
      <c r="AC187" s="915"/>
      <c r="AD187" s="915"/>
      <c r="AE187" s="915"/>
      <c r="AF187" s="915"/>
      <c r="AG187" s="915"/>
      <c r="AH187" s="915"/>
      <c r="AI187" s="915"/>
      <c r="AJ187" s="915"/>
      <c r="AK187" s="915"/>
      <c r="AL187" s="915"/>
      <c r="AM187" s="915"/>
      <c r="AN187" s="915"/>
      <c r="AO187" s="915"/>
      <c r="AP187" s="915"/>
    </row>
    <row r="188" spans="28:53" x14ac:dyDescent="0.3">
      <c r="AB188" s="915"/>
      <c r="AC188" s="915"/>
      <c r="AD188" s="915"/>
      <c r="AE188" s="915"/>
      <c r="AF188" s="915"/>
      <c r="AG188" s="915"/>
      <c r="AH188" s="915"/>
      <c r="AI188" s="915"/>
      <c r="AJ188" s="915"/>
      <c r="AK188" s="915"/>
      <c r="AL188" s="915"/>
      <c r="AM188" s="915"/>
      <c r="AN188" s="915"/>
      <c r="AO188" s="915"/>
      <c r="AP188" s="915"/>
    </row>
    <row r="189" spans="28:53" x14ac:dyDescent="0.3">
      <c r="AB189" s="915"/>
      <c r="AC189" s="915"/>
      <c r="AD189" s="915"/>
      <c r="AE189" s="915"/>
      <c r="AF189" s="915"/>
      <c r="AG189" s="915"/>
      <c r="AH189" s="915"/>
      <c r="AI189" s="915"/>
      <c r="AJ189" s="915"/>
      <c r="AK189" s="915"/>
      <c r="AL189" s="915"/>
      <c r="AM189" s="915"/>
      <c r="AN189" s="915"/>
      <c r="AO189" s="915"/>
      <c r="AP189" s="915"/>
    </row>
    <row r="190" spans="28:53" x14ac:dyDescent="0.3">
      <c r="AB190" s="915"/>
      <c r="AC190" s="915"/>
      <c r="AD190" s="915"/>
      <c r="AE190" s="915"/>
      <c r="AF190" s="915"/>
      <c r="AG190" s="915"/>
      <c r="AH190" s="915"/>
      <c r="AI190" s="915"/>
      <c r="AJ190" s="915"/>
      <c r="AK190" s="915"/>
      <c r="AL190" s="915"/>
      <c r="AM190" s="915"/>
      <c r="AN190" s="915"/>
      <c r="AO190" s="915"/>
      <c r="AP190" s="915"/>
    </row>
    <row r="191" spans="28:53" x14ac:dyDescent="0.3">
      <c r="AB191" s="915"/>
      <c r="AC191" s="915"/>
      <c r="AD191" s="915"/>
      <c r="AE191" s="915"/>
      <c r="AF191" s="915"/>
      <c r="AG191" s="915"/>
      <c r="AH191" s="915"/>
      <c r="AI191" s="915"/>
      <c r="AJ191" s="915"/>
      <c r="AK191" s="915"/>
      <c r="AL191" s="915"/>
      <c r="AM191" s="915"/>
      <c r="AN191" s="915"/>
      <c r="AO191" s="915"/>
      <c r="AP191" s="915"/>
    </row>
    <row r="192" spans="28:53" x14ac:dyDescent="0.3">
      <c r="AB192" s="915"/>
      <c r="AC192" s="915"/>
      <c r="AD192" s="915"/>
      <c r="AE192" s="915"/>
      <c r="AF192" s="915"/>
      <c r="AG192" s="915"/>
      <c r="AH192" s="915"/>
      <c r="AI192" s="915"/>
      <c r="AJ192" s="915"/>
      <c r="AK192" s="915"/>
      <c r="AL192" s="915"/>
      <c r="AM192" s="915"/>
      <c r="AN192" s="915"/>
      <c r="AO192" s="915"/>
      <c r="AP192" s="915"/>
    </row>
    <row r="193" spans="28:42" x14ac:dyDescent="0.3">
      <c r="AB193" s="915"/>
      <c r="AC193" s="915"/>
      <c r="AD193" s="915"/>
      <c r="AE193" s="915"/>
      <c r="AF193" s="915"/>
      <c r="AG193" s="915"/>
      <c r="AH193" s="915"/>
      <c r="AI193" s="915"/>
      <c r="AJ193" s="915"/>
      <c r="AK193" s="915"/>
      <c r="AL193" s="915"/>
      <c r="AM193" s="915"/>
      <c r="AN193" s="915"/>
      <c r="AO193" s="915"/>
      <c r="AP193" s="915"/>
    </row>
    <row r="194" spans="28:42" x14ac:dyDescent="0.3">
      <c r="AB194" s="915"/>
      <c r="AC194" s="915"/>
      <c r="AD194" s="915"/>
      <c r="AE194" s="915"/>
      <c r="AF194" s="915"/>
      <c r="AG194" s="915"/>
      <c r="AH194" s="915"/>
      <c r="AI194" s="915"/>
      <c r="AJ194" s="915"/>
      <c r="AK194" s="915"/>
      <c r="AL194" s="915"/>
      <c r="AM194" s="915"/>
      <c r="AN194" s="915"/>
      <c r="AO194" s="915"/>
      <c r="AP194" s="915"/>
    </row>
    <row r="195" spans="28:42" x14ac:dyDescent="0.3">
      <c r="AB195" s="915"/>
      <c r="AC195" s="915"/>
      <c r="AD195" s="915"/>
      <c r="AE195" s="915"/>
      <c r="AF195" s="915"/>
      <c r="AG195" s="915"/>
      <c r="AH195" s="915"/>
      <c r="AI195" s="915"/>
      <c r="AJ195" s="915"/>
      <c r="AK195" s="915"/>
      <c r="AL195" s="915"/>
      <c r="AM195" s="915"/>
      <c r="AN195" s="915"/>
      <c r="AO195" s="915"/>
      <c r="AP195" s="915"/>
    </row>
    <row r="196" spans="28:42" x14ac:dyDescent="0.3">
      <c r="AB196" s="915"/>
      <c r="AC196" s="915"/>
      <c r="AD196" s="915"/>
      <c r="AE196" s="915"/>
      <c r="AF196" s="915"/>
      <c r="AG196" s="915"/>
      <c r="AH196" s="915"/>
      <c r="AI196" s="915"/>
      <c r="AJ196" s="915"/>
      <c r="AK196" s="915"/>
      <c r="AL196" s="915"/>
      <c r="AM196" s="915"/>
      <c r="AN196" s="915"/>
      <c r="AO196" s="915"/>
      <c r="AP196" s="915"/>
    </row>
    <row r="197" spans="28:42" x14ac:dyDescent="0.3">
      <c r="AB197" s="915"/>
      <c r="AC197" s="915"/>
      <c r="AD197" s="915"/>
      <c r="AE197" s="915"/>
      <c r="AF197" s="915"/>
      <c r="AG197" s="915"/>
      <c r="AH197" s="915"/>
      <c r="AI197" s="915"/>
      <c r="AJ197" s="915"/>
      <c r="AK197" s="915"/>
      <c r="AL197" s="915"/>
      <c r="AM197" s="915"/>
      <c r="AN197" s="915"/>
      <c r="AO197" s="915"/>
      <c r="AP197" s="915"/>
    </row>
    <row r="198" spans="28:42" x14ac:dyDescent="0.3">
      <c r="AB198" s="915"/>
      <c r="AC198" s="915"/>
      <c r="AD198" s="915"/>
      <c r="AE198" s="915"/>
      <c r="AF198" s="915"/>
      <c r="AG198" s="915"/>
      <c r="AH198" s="915"/>
      <c r="AI198" s="915"/>
      <c r="AJ198" s="915"/>
      <c r="AK198" s="915"/>
      <c r="AL198" s="915"/>
      <c r="AM198" s="915"/>
      <c r="AN198" s="915"/>
      <c r="AO198" s="915"/>
      <c r="AP198" s="915"/>
    </row>
    <row r="199" spans="28:42" x14ac:dyDescent="0.3">
      <c r="AB199" s="915"/>
      <c r="AC199" s="915"/>
      <c r="AD199" s="915"/>
      <c r="AE199" s="915"/>
      <c r="AF199" s="915"/>
      <c r="AG199" s="915"/>
      <c r="AH199" s="915"/>
      <c r="AI199" s="915"/>
      <c r="AJ199" s="915"/>
      <c r="AK199" s="915"/>
      <c r="AL199" s="915"/>
      <c r="AM199" s="915"/>
      <c r="AN199" s="915"/>
      <c r="AO199" s="915"/>
      <c r="AP199" s="915"/>
    </row>
    <row r="200" spans="28:42" x14ac:dyDescent="0.3">
      <c r="AB200" s="915"/>
      <c r="AC200" s="915"/>
      <c r="AD200" s="915"/>
      <c r="AE200" s="915"/>
      <c r="AF200" s="915"/>
      <c r="AG200" s="915"/>
      <c r="AH200" s="915"/>
      <c r="AI200" s="915"/>
      <c r="AJ200" s="915"/>
      <c r="AK200" s="915"/>
      <c r="AL200" s="915"/>
      <c r="AM200" s="915"/>
      <c r="AN200" s="915"/>
      <c r="AO200" s="915"/>
      <c r="AP200" s="915"/>
    </row>
    <row r="201" spans="28:42" x14ac:dyDescent="0.3">
      <c r="AB201" s="915"/>
      <c r="AC201" s="915"/>
      <c r="AD201" s="915"/>
      <c r="AE201" s="915"/>
      <c r="AF201" s="915"/>
      <c r="AG201" s="915"/>
      <c r="AH201" s="915"/>
      <c r="AI201" s="915"/>
      <c r="AJ201" s="915"/>
      <c r="AK201" s="915"/>
      <c r="AL201" s="915"/>
      <c r="AM201" s="915"/>
      <c r="AN201" s="915"/>
      <c r="AO201" s="915"/>
      <c r="AP201" s="915"/>
    </row>
    <row r="202" spans="28:42" x14ac:dyDescent="0.3">
      <c r="AB202" s="915"/>
      <c r="AC202" s="915"/>
      <c r="AD202" s="915"/>
      <c r="AE202" s="915"/>
      <c r="AF202" s="915"/>
      <c r="AG202" s="915"/>
      <c r="AH202" s="915"/>
      <c r="AI202" s="915"/>
      <c r="AJ202" s="915"/>
      <c r="AK202" s="915"/>
      <c r="AL202" s="915"/>
      <c r="AM202" s="915"/>
      <c r="AN202" s="915"/>
      <c r="AO202" s="915"/>
      <c r="AP202" s="915"/>
    </row>
    <row r="203" spans="28:42" x14ac:dyDescent="0.3">
      <c r="AB203" s="915"/>
      <c r="AC203" s="915"/>
      <c r="AD203" s="915"/>
      <c r="AE203" s="915"/>
      <c r="AF203" s="915"/>
      <c r="AG203" s="915"/>
      <c r="AH203" s="915"/>
      <c r="AI203" s="915"/>
      <c r="AJ203" s="915"/>
      <c r="AK203" s="915"/>
      <c r="AL203" s="915"/>
      <c r="AM203" s="915"/>
      <c r="AN203" s="915"/>
      <c r="AO203" s="915"/>
      <c r="AP203" s="915"/>
    </row>
    <row r="204" spans="28:42" x14ac:dyDescent="0.3">
      <c r="AB204" s="915"/>
      <c r="AC204" s="915"/>
      <c r="AD204" s="915"/>
      <c r="AE204" s="915"/>
      <c r="AF204" s="915"/>
      <c r="AG204" s="915"/>
      <c r="AH204" s="915"/>
      <c r="AI204" s="915"/>
      <c r="AJ204" s="915"/>
      <c r="AK204" s="915"/>
      <c r="AL204" s="915"/>
      <c r="AM204" s="915"/>
      <c r="AN204" s="915"/>
      <c r="AO204" s="915"/>
      <c r="AP204" s="915"/>
    </row>
    <row r="205" spans="28:42" x14ac:dyDescent="0.3">
      <c r="AB205" s="915"/>
      <c r="AC205" s="915"/>
      <c r="AD205" s="915"/>
      <c r="AE205" s="915"/>
      <c r="AF205" s="915"/>
      <c r="AG205" s="915"/>
      <c r="AH205" s="915"/>
      <c r="AI205" s="915"/>
      <c r="AJ205" s="915"/>
      <c r="AK205" s="915"/>
      <c r="AL205" s="915"/>
      <c r="AM205" s="915"/>
      <c r="AN205" s="915"/>
      <c r="AO205" s="915"/>
      <c r="AP205" s="915"/>
    </row>
    <row r="206" spans="28:42" x14ac:dyDescent="0.3">
      <c r="AB206" s="915"/>
      <c r="AC206" s="915"/>
      <c r="AD206" s="915"/>
      <c r="AE206" s="915"/>
      <c r="AF206" s="915"/>
      <c r="AG206" s="915"/>
      <c r="AH206" s="915"/>
      <c r="AI206" s="915"/>
      <c r="AJ206" s="915"/>
      <c r="AK206" s="915"/>
      <c r="AL206" s="915"/>
      <c r="AM206" s="915"/>
      <c r="AN206" s="915"/>
      <c r="AO206" s="915"/>
      <c r="AP206" s="915"/>
    </row>
    <row r="207" spans="28:42" x14ac:dyDescent="0.3">
      <c r="AB207" s="915"/>
      <c r="AC207" s="915"/>
      <c r="AD207" s="915"/>
      <c r="AE207" s="915"/>
      <c r="AF207" s="915"/>
      <c r="AG207" s="915"/>
      <c r="AH207" s="915"/>
      <c r="AI207" s="915"/>
      <c r="AJ207" s="915"/>
      <c r="AK207" s="915"/>
      <c r="AL207" s="915"/>
      <c r="AM207" s="915"/>
      <c r="AN207" s="915"/>
      <c r="AO207" s="915"/>
      <c r="AP207" s="915"/>
    </row>
    <row r="208" spans="28:42" x14ac:dyDescent="0.3">
      <c r="AB208" s="915"/>
      <c r="AC208" s="915"/>
      <c r="AD208" s="915"/>
      <c r="AE208" s="915"/>
      <c r="AF208" s="915"/>
      <c r="AG208" s="915"/>
      <c r="AH208" s="915"/>
      <c r="AI208" s="915"/>
      <c r="AJ208" s="915"/>
      <c r="AK208" s="915"/>
      <c r="AL208" s="915"/>
      <c r="AM208" s="915"/>
      <c r="AN208" s="915"/>
      <c r="AO208" s="915"/>
      <c r="AP208" s="915"/>
    </row>
    <row r="209" spans="28:42" x14ac:dyDescent="0.3">
      <c r="AB209" s="915"/>
      <c r="AC209" s="915"/>
      <c r="AD209" s="915"/>
      <c r="AE209" s="915"/>
      <c r="AF209" s="915"/>
      <c r="AG209" s="915"/>
      <c r="AH209" s="915"/>
      <c r="AI209" s="915"/>
      <c r="AJ209" s="915"/>
      <c r="AK209" s="915"/>
      <c r="AL209" s="915"/>
      <c r="AM209" s="915"/>
      <c r="AN209" s="915"/>
      <c r="AO209" s="915"/>
      <c r="AP209" s="915"/>
    </row>
    <row r="210" spans="28:42" x14ac:dyDescent="0.3">
      <c r="AB210" s="915"/>
      <c r="AC210" s="915"/>
      <c r="AD210" s="915"/>
      <c r="AE210" s="915"/>
      <c r="AF210" s="915"/>
      <c r="AG210" s="915"/>
      <c r="AH210" s="915"/>
      <c r="AI210" s="915"/>
      <c r="AJ210" s="915"/>
      <c r="AK210" s="915"/>
      <c r="AL210" s="915"/>
      <c r="AM210" s="915"/>
      <c r="AN210" s="915"/>
      <c r="AO210" s="915"/>
      <c r="AP210" s="915"/>
    </row>
    <row r="211" spans="28:42" x14ac:dyDescent="0.3">
      <c r="AB211" s="915"/>
      <c r="AC211" s="915"/>
      <c r="AD211" s="915"/>
      <c r="AE211" s="915"/>
      <c r="AF211" s="915"/>
      <c r="AG211" s="915"/>
      <c r="AH211" s="915"/>
      <c r="AI211" s="915"/>
      <c r="AJ211" s="915"/>
      <c r="AK211" s="915"/>
      <c r="AL211" s="915"/>
      <c r="AM211" s="915"/>
      <c r="AN211" s="915"/>
      <c r="AO211" s="915"/>
      <c r="AP211" s="915"/>
    </row>
    <row r="212" spans="28:42" x14ac:dyDescent="0.3">
      <c r="AB212" s="915"/>
      <c r="AC212" s="915"/>
      <c r="AD212" s="915"/>
      <c r="AE212" s="915"/>
      <c r="AF212" s="915"/>
      <c r="AG212" s="915"/>
      <c r="AH212" s="915"/>
      <c r="AI212" s="915"/>
      <c r="AJ212" s="915"/>
      <c r="AK212" s="915"/>
      <c r="AL212" s="915"/>
      <c r="AM212" s="915"/>
      <c r="AN212" s="915"/>
      <c r="AO212" s="915"/>
      <c r="AP212" s="915"/>
    </row>
    <row r="213" spans="28:42" x14ac:dyDescent="0.3">
      <c r="AB213" s="915"/>
      <c r="AC213" s="915"/>
      <c r="AD213" s="915"/>
      <c r="AE213" s="915"/>
      <c r="AF213" s="915"/>
      <c r="AG213" s="915"/>
      <c r="AH213" s="915"/>
      <c r="AI213" s="915"/>
      <c r="AJ213" s="915"/>
      <c r="AK213" s="915"/>
      <c r="AL213" s="915"/>
      <c r="AM213" s="915"/>
      <c r="AN213" s="915"/>
      <c r="AO213" s="915"/>
      <c r="AP213" s="915"/>
    </row>
    <row r="214" spans="28:42" x14ac:dyDescent="0.3">
      <c r="AB214" s="915"/>
      <c r="AC214" s="915"/>
      <c r="AD214" s="915"/>
      <c r="AE214" s="915"/>
      <c r="AF214" s="915"/>
      <c r="AG214" s="915"/>
      <c r="AH214" s="915"/>
      <c r="AI214" s="915"/>
      <c r="AJ214" s="915"/>
      <c r="AK214" s="915"/>
      <c r="AL214" s="915"/>
      <c r="AM214" s="915"/>
      <c r="AN214" s="915"/>
      <c r="AO214" s="915"/>
      <c r="AP214" s="915"/>
    </row>
    <row r="215" spans="28:42" x14ac:dyDescent="0.3">
      <c r="AB215" s="915"/>
      <c r="AC215" s="915"/>
      <c r="AD215" s="915"/>
      <c r="AE215" s="915"/>
      <c r="AF215" s="915"/>
      <c r="AG215" s="915"/>
      <c r="AH215" s="915"/>
      <c r="AI215" s="915"/>
      <c r="AJ215" s="915"/>
      <c r="AK215" s="915"/>
      <c r="AL215" s="915"/>
      <c r="AM215" s="915"/>
      <c r="AN215" s="915"/>
      <c r="AO215" s="915"/>
      <c r="AP215" s="915"/>
    </row>
    <row r="235" spans="28:42" x14ac:dyDescent="0.3">
      <c r="AB235" s="462"/>
      <c r="AC235" s="462"/>
      <c r="AD235" s="462"/>
      <c r="AE235" s="462"/>
      <c r="AF235" s="462"/>
      <c r="AG235" s="462"/>
      <c r="AH235" s="462"/>
      <c r="AI235" s="462"/>
      <c r="AJ235" s="462"/>
      <c r="AK235" s="462"/>
      <c r="AL235" s="462"/>
      <c r="AM235" s="462"/>
      <c r="AN235" s="462"/>
      <c r="AO235" s="462"/>
      <c r="AP235" s="462"/>
    </row>
    <row r="236" spans="28:42" x14ac:dyDescent="0.3">
      <c r="AB236" s="462"/>
      <c r="AC236" s="462"/>
      <c r="AD236" s="462"/>
      <c r="AE236" s="462"/>
      <c r="AF236" s="462"/>
      <c r="AG236" s="462"/>
      <c r="AH236" s="462"/>
      <c r="AI236" s="462"/>
      <c r="AJ236" s="462"/>
      <c r="AK236" s="462"/>
      <c r="AL236" s="462"/>
      <c r="AM236" s="462"/>
      <c r="AN236" s="462"/>
      <c r="AO236" s="462"/>
      <c r="AP236" s="462"/>
    </row>
    <row r="237" spans="28:42" x14ac:dyDescent="0.3">
      <c r="AB237" s="462"/>
      <c r="AC237" s="462"/>
      <c r="AD237" s="462"/>
      <c r="AE237" s="462"/>
      <c r="AF237" s="462"/>
      <c r="AG237" s="462"/>
      <c r="AH237" s="462"/>
      <c r="AI237" s="462"/>
      <c r="AJ237" s="462"/>
      <c r="AK237" s="462"/>
      <c r="AL237" s="462"/>
      <c r="AM237" s="462"/>
      <c r="AN237" s="462"/>
      <c r="AO237" s="462"/>
      <c r="AP237" s="462"/>
    </row>
    <row r="238" spans="28:42" x14ac:dyDescent="0.3">
      <c r="AB238" s="462"/>
      <c r="AC238" s="462"/>
      <c r="AD238" s="462"/>
      <c r="AE238" s="462"/>
      <c r="AF238" s="462"/>
      <c r="AG238" s="462"/>
      <c r="AH238" s="462"/>
      <c r="AI238" s="462"/>
      <c r="AJ238" s="462"/>
      <c r="AK238" s="462"/>
      <c r="AL238" s="462"/>
      <c r="AM238" s="462"/>
      <c r="AN238" s="462"/>
      <c r="AO238" s="462"/>
      <c r="AP238" s="462"/>
    </row>
    <row r="239" spans="28:42" x14ac:dyDescent="0.3">
      <c r="AB239" s="462"/>
      <c r="AC239" s="462"/>
      <c r="AD239" s="462"/>
      <c r="AE239" s="462"/>
      <c r="AF239" s="462"/>
      <c r="AG239" s="462"/>
      <c r="AH239" s="462"/>
      <c r="AI239" s="462"/>
      <c r="AJ239" s="462"/>
      <c r="AK239" s="462"/>
      <c r="AL239" s="462"/>
      <c r="AM239" s="462"/>
      <c r="AN239" s="462"/>
      <c r="AO239" s="462"/>
      <c r="AP239" s="462"/>
    </row>
  </sheetData>
  <sheetProtection algorithmName="SHA-512" hashValue="JJ5/oe6ylJuKXyovGo5NCcAC4/fNHuIBWBs0zmIUYYqdhn1nH3Rvzy0mHP0FZsrqHgE1LYS8VIWcdCoAIT9k1w==" saltValue="MejZv6I2t9E/6SID4cz69g==" spinCount="100000" sheet="1" objects="1" scenarios="1" selectLockedCells="1"/>
  <dataConsolidate/>
  <mergeCells count="295">
    <mergeCell ref="AM99:AN99"/>
    <mergeCell ref="AI102:AJ102"/>
    <mergeCell ref="AM102:AN102"/>
    <mergeCell ref="AI108:AJ108"/>
    <mergeCell ref="AC108:AD108"/>
    <mergeCell ref="AE108:AF108"/>
    <mergeCell ref="BC2:BG4"/>
    <mergeCell ref="AC112:AF112"/>
    <mergeCell ref="AC111:AF111"/>
    <mergeCell ref="AG111:AJ111"/>
    <mergeCell ref="AG112:AJ112"/>
    <mergeCell ref="AM111:AO111"/>
    <mergeCell ref="AM112:AO112"/>
    <mergeCell ref="AK111:AL111"/>
    <mergeCell ref="AK112:AL112"/>
    <mergeCell ref="AC109:AD109"/>
    <mergeCell ref="AE109:AF109"/>
    <mergeCell ref="AG109:AH109"/>
    <mergeCell ref="AI109:AJ109"/>
    <mergeCell ref="AM109:AN109"/>
    <mergeCell ref="AC102:AD102"/>
    <mergeCell ref="AE102:AF102"/>
    <mergeCell ref="AG103:AH103"/>
    <mergeCell ref="AI103:AJ103"/>
    <mergeCell ref="AC101:AD101"/>
    <mergeCell ref="AE101:AF101"/>
    <mergeCell ref="AG101:AH101"/>
    <mergeCell ref="AI101:AJ101"/>
    <mergeCell ref="AM101:AN101"/>
    <mergeCell ref="AQ138:AX140"/>
    <mergeCell ref="AM108:AN108"/>
    <mergeCell ref="AC103:AD103"/>
    <mergeCell ref="AE103:AF103"/>
    <mergeCell ref="AG106:AH106"/>
    <mergeCell ref="AI106:AJ106"/>
    <mergeCell ref="AM106:AN106"/>
    <mergeCell ref="AG108:AH108"/>
    <mergeCell ref="AM103:AN103"/>
    <mergeCell ref="AC105:AD105"/>
    <mergeCell ref="AE105:AF105"/>
    <mergeCell ref="AG105:AH105"/>
    <mergeCell ref="AC88:AD88"/>
    <mergeCell ref="AC89:AD89"/>
    <mergeCell ref="AE89:AF89"/>
    <mergeCell ref="AC90:AD90"/>
    <mergeCell ref="AE90:AF90"/>
    <mergeCell ref="AM95:AN95"/>
    <mergeCell ref="AC96:AD96"/>
    <mergeCell ref="AE96:AF96"/>
    <mergeCell ref="AG96:AH96"/>
    <mergeCell ref="AG95:AH95"/>
    <mergeCell ref="AI95:AJ95"/>
    <mergeCell ref="AM89:AN89"/>
    <mergeCell ref="AM90:AN90"/>
    <mergeCell ref="AM91:AN91"/>
    <mergeCell ref="AM92:AN92"/>
    <mergeCell ref="AM93:AN93"/>
    <mergeCell ref="AM97:AN97"/>
    <mergeCell ref="AM98:AN98"/>
    <mergeCell ref="AC91:AD91"/>
    <mergeCell ref="AE91:AF91"/>
    <mergeCell ref="AC95:AD95"/>
    <mergeCell ref="AE95:AF95"/>
    <mergeCell ref="AC98:AD98"/>
    <mergeCell ref="AE98:AF98"/>
    <mergeCell ref="AG98:AH98"/>
    <mergeCell ref="AI98:AJ98"/>
    <mergeCell ref="AG85:AH85"/>
    <mergeCell ref="AI85:AJ85"/>
    <mergeCell ref="AM85:AN85"/>
    <mergeCell ref="AG86:AH86"/>
    <mergeCell ref="AI86:AJ86"/>
    <mergeCell ref="AM86:AN86"/>
    <mergeCell ref="AC93:AD93"/>
    <mergeCell ref="AE93:AF93"/>
    <mergeCell ref="AG88:AH88"/>
    <mergeCell ref="AI87:AJ87"/>
    <mergeCell ref="AG87:AH87"/>
    <mergeCell ref="AI88:AJ88"/>
    <mergeCell ref="AG89:AH89"/>
    <mergeCell ref="AI89:AJ89"/>
    <mergeCell ref="AG90:AH90"/>
    <mergeCell ref="AI90:AJ90"/>
    <mergeCell ref="AG91:AH91"/>
    <mergeCell ref="AI91:AJ91"/>
    <mergeCell ref="AG92:AH92"/>
    <mergeCell ref="AI92:AJ92"/>
    <mergeCell ref="AG93:AH93"/>
    <mergeCell ref="AI93:AJ93"/>
    <mergeCell ref="AM87:AN87"/>
    <mergeCell ref="AM88:AN88"/>
    <mergeCell ref="AM74:AN74"/>
    <mergeCell ref="AM75:AN75"/>
    <mergeCell ref="AM76:AN76"/>
    <mergeCell ref="AM77:AN77"/>
    <mergeCell ref="AE77:AF77"/>
    <mergeCell ref="AE78:AF78"/>
    <mergeCell ref="AE79:AF79"/>
    <mergeCell ref="AI78:AJ78"/>
    <mergeCell ref="AE80:AF80"/>
    <mergeCell ref="AM78:AN78"/>
    <mergeCell ref="AM79:AN79"/>
    <mergeCell ref="AG74:AH74"/>
    <mergeCell ref="AG75:AH75"/>
    <mergeCell ref="AG76:AH76"/>
    <mergeCell ref="AG77:AH77"/>
    <mergeCell ref="AI79:AJ79"/>
    <mergeCell ref="AI80:AJ80"/>
    <mergeCell ref="AG78:AH78"/>
    <mergeCell ref="AG79:AH79"/>
    <mergeCell ref="AG80:AH80"/>
    <mergeCell ref="AI74:AJ74"/>
    <mergeCell ref="AI75:AJ75"/>
    <mergeCell ref="AI76:AJ76"/>
    <mergeCell ref="AI77:AJ77"/>
    <mergeCell ref="AC87:AD87"/>
    <mergeCell ref="AE87:AF87"/>
    <mergeCell ref="AE88:AF88"/>
    <mergeCell ref="AM80:AN80"/>
    <mergeCell ref="AM81:AN81"/>
    <mergeCell ref="AC92:AD92"/>
    <mergeCell ref="AE92:AF92"/>
    <mergeCell ref="AB115:AP116"/>
    <mergeCell ref="AI96:AJ96"/>
    <mergeCell ref="AM96:AN96"/>
    <mergeCell ref="AC97:AD97"/>
    <mergeCell ref="AE97:AF97"/>
    <mergeCell ref="AG97:AH97"/>
    <mergeCell ref="AI97:AJ97"/>
    <mergeCell ref="AI99:AJ99"/>
    <mergeCell ref="AI105:AJ105"/>
    <mergeCell ref="AM105:AN105"/>
    <mergeCell ref="AC106:AD106"/>
    <mergeCell ref="AE106:AF106"/>
    <mergeCell ref="AC99:AD99"/>
    <mergeCell ref="AE99:AF99"/>
    <mergeCell ref="AG99:AH99"/>
    <mergeCell ref="AG102:AH102"/>
    <mergeCell ref="AE86:AF86"/>
    <mergeCell ref="AC86:AD86"/>
    <mergeCell ref="AC85:AD85"/>
    <mergeCell ref="AE85:AF85"/>
    <mergeCell ref="E31:Y31"/>
    <mergeCell ref="E32:Y32"/>
    <mergeCell ref="D33:Y33"/>
    <mergeCell ref="G55:U55"/>
    <mergeCell ref="W55:Y55"/>
    <mergeCell ref="G57:L57"/>
    <mergeCell ref="O57:U57"/>
    <mergeCell ref="G35:U35"/>
    <mergeCell ref="W35:Y35"/>
    <mergeCell ref="O41:U41"/>
    <mergeCell ref="G47:L47"/>
    <mergeCell ref="O47:U47"/>
    <mergeCell ref="O39:U39"/>
    <mergeCell ref="AE39:AF39"/>
    <mergeCell ref="AC37:AD37"/>
    <mergeCell ref="G36:K36"/>
    <mergeCell ref="G38:K38"/>
    <mergeCell ref="AE57:AF57"/>
    <mergeCell ref="G53:L53"/>
    <mergeCell ref="O53:U53"/>
    <mergeCell ref="G43:L43"/>
    <mergeCell ref="O60:U60"/>
    <mergeCell ref="AC79:AD79"/>
    <mergeCell ref="AC81:AD81"/>
    <mergeCell ref="AC78:AD78"/>
    <mergeCell ref="AC80:AD80"/>
    <mergeCell ref="AE74:AF74"/>
    <mergeCell ref="AE75:AF75"/>
    <mergeCell ref="AE76:AF76"/>
    <mergeCell ref="AC74:AD74"/>
    <mergeCell ref="AC75:AD75"/>
    <mergeCell ref="AC76:AD76"/>
    <mergeCell ref="AC77:AD77"/>
    <mergeCell ref="AE81:AF81"/>
    <mergeCell ref="AB63:AI65"/>
    <mergeCell ref="AI81:AJ81"/>
    <mergeCell ref="AG81:AH81"/>
    <mergeCell ref="AK44:AO44"/>
    <mergeCell ref="AG73:AH73"/>
    <mergeCell ref="AI73:AJ73"/>
    <mergeCell ref="AK34:AO34"/>
    <mergeCell ref="AK11:AO12"/>
    <mergeCell ref="AK54:AO54"/>
    <mergeCell ref="AK50:AO50"/>
    <mergeCell ref="AC25:AD25"/>
    <mergeCell ref="AC29:AD29"/>
    <mergeCell ref="AE29:AF29"/>
    <mergeCell ref="AC49:AD49"/>
    <mergeCell ref="AE49:AF49"/>
    <mergeCell ref="AM73:AN73"/>
    <mergeCell ref="AL71:AM71"/>
    <mergeCell ref="AL70:AO70"/>
    <mergeCell ref="AL68:AP69"/>
    <mergeCell ref="AL66:AO67"/>
    <mergeCell ref="AC73:AD73"/>
    <mergeCell ref="AE73:AF73"/>
    <mergeCell ref="AE60:AF60"/>
    <mergeCell ref="AC57:AD57"/>
    <mergeCell ref="AE41:AF41"/>
    <mergeCell ref="AE37:AF37"/>
    <mergeCell ref="AC39:AD39"/>
    <mergeCell ref="AE25:AF25"/>
    <mergeCell ref="AC27:AD27"/>
    <mergeCell ref="AE27:AF27"/>
    <mergeCell ref="AC47:AD47"/>
    <mergeCell ref="AE47:AF47"/>
    <mergeCell ref="AC53:AD53"/>
    <mergeCell ref="AE53:AF53"/>
    <mergeCell ref="AC41:AD41"/>
    <mergeCell ref="W45:Y45"/>
    <mergeCell ref="W51:Y51"/>
    <mergeCell ref="O43:U43"/>
    <mergeCell ref="AC43:AD43"/>
    <mergeCell ref="AE43:AF43"/>
    <mergeCell ref="O59:U59"/>
    <mergeCell ref="AQ4:BA4"/>
    <mergeCell ref="AQ2:BA3"/>
    <mergeCell ref="AH2:AJ4"/>
    <mergeCell ref="AK2:AO4"/>
    <mergeCell ref="AB2:AG4"/>
    <mergeCell ref="AK5:AO6"/>
    <mergeCell ref="AP5:AP6"/>
    <mergeCell ref="AH8:AJ10"/>
    <mergeCell ref="AH5:AJ5"/>
    <mergeCell ref="AC15:AD15"/>
    <mergeCell ref="AE15:AF15"/>
    <mergeCell ref="AC17:AD17"/>
    <mergeCell ref="AE17:AF17"/>
    <mergeCell ref="AC19:AD19"/>
    <mergeCell ref="AE19:AF19"/>
    <mergeCell ref="AC21:AD21"/>
    <mergeCell ref="AE21:AF21"/>
    <mergeCell ref="AC23:AD23"/>
    <mergeCell ref="AE23:AF23"/>
    <mergeCell ref="O26:T26"/>
    <mergeCell ref="D9:J9"/>
    <mergeCell ref="L9:Y11"/>
    <mergeCell ref="D11:K12"/>
    <mergeCell ref="G23:L23"/>
    <mergeCell ref="G14:K14"/>
    <mergeCell ref="G22:K22"/>
    <mergeCell ref="O14:T14"/>
    <mergeCell ref="O18:T18"/>
    <mergeCell ref="O20:T20"/>
    <mergeCell ref="O22:T22"/>
    <mergeCell ref="G19:L19"/>
    <mergeCell ref="O19:U19"/>
    <mergeCell ref="G13:U13"/>
    <mergeCell ref="W13:Y13"/>
    <mergeCell ref="O23:U23"/>
    <mergeCell ref="O21:U21"/>
    <mergeCell ref="G21:L21"/>
    <mergeCell ref="G17:L17"/>
    <mergeCell ref="O17:U17"/>
    <mergeCell ref="G15:L15"/>
    <mergeCell ref="O15:U15"/>
    <mergeCell ref="O29:U29"/>
    <mergeCell ref="G25:L25"/>
    <mergeCell ref="G18:K18"/>
    <mergeCell ref="G16:K16"/>
    <mergeCell ref="G20:K20"/>
    <mergeCell ref="G24:K24"/>
    <mergeCell ref="G26:K26"/>
    <mergeCell ref="G28:K28"/>
    <mergeCell ref="O16:T16"/>
    <mergeCell ref="G27:L27"/>
    <mergeCell ref="O27:U27"/>
    <mergeCell ref="O28:T28"/>
    <mergeCell ref="O24:T24"/>
    <mergeCell ref="G52:K52"/>
    <mergeCell ref="G56:K56"/>
    <mergeCell ref="O56:T56"/>
    <mergeCell ref="O52:T52"/>
    <mergeCell ref="O48:T48"/>
    <mergeCell ref="O46:T46"/>
    <mergeCell ref="O42:T42"/>
    <mergeCell ref="O40:T40"/>
    <mergeCell ref="O25:U25"/>
    <mergeCell ref="G41:L41"/>
    <mergeCell ref="O38:T38"/>
    <mergeCell ref="O36:T36"/>
    <mergeCell ref="G51:U51"/>
    <mergeCell ref="G37:L37"/>
    <mergeCell ref="O37:U37"/>
    <mergeCell ref="G39:L39"/>
    <mergeCell ref="G49:L49"/>
    <mergeCell ref="O49:U49"/>
    <mergeCell ref="G45:U45"/>
    <mergeCell ref="G40:K40"/>
    <mergeCell ref="G42:K42"/>
    <mergeCell ref="G46:K46"/>
    <mergeCell ref="G48:K48"/>
    <mergeCell ref="G29:L29"/>
  </mergeCells>
  <conditionalFormatting sqref="D3 Y3 D63 Y63 D5">
    <cfRule type="expression" dxfId="223" priority="1">
      <formula>$A$1="wit"</formula>
    </cfRule>
    <cfRule type="expression" dxfId="222" priority="2">
      <formula>$A$1="zwart"</formula>
    </cfRule>
  </conditionalFormatting>
  <conditionalFormatting sqref="D7">
    <cfRule type="expression" dxfId="221" priority="3">
      <formula>OR($AI$6=0,$AJ$62=1)</formula>
    </cfRule>
  </conditionalFormatting>
  <conditionalFormatting sqref="G14:L14 G16:L16 G18:L18 G20:L20 G22:L22 G24:L24 G26:L26 G28:L28 G36:L36 G38:L38 G40:L40 G42:L42 G46:L46 G48:L48 G52:L52 G56:L56">
    <cfRule type="expression" dxfId="220" priority="4">
      <formula>$AK14="ONGELDIG"</formula>
    </cfRule>
    <cfRule type="expression" dxfId="219" priority="5">
      <formula>$AK14="LEEG"</formula>
    </cfRule>
    <cfRule type="expression" dxfId="218" priority="6">
      <formula>$AK14="GOED"</formula>
    </cfRule>
  </conditionalFormatting>
  <conditionalFormatting sqref="W14 W52 W16 W18 W20 W22 W24 W26 W28 W36 W38 W40 W42 W46 W48 W56">
    <cfRule type="expression" dxfId="217" priority="25">
      <formula>$AM14="ONGELDIG"</formula>
    </cfRule>
    <cfRule type="expression" dxfId="216" priority="26">
      <formula>$AM14="LEEG"</formula>
    </cfRule>
    <cfRule type="expression" dxfId="215" priority="27">
      <formula>$AM14="GOED"</formula>
    </cfRule>
  </conditionalFormatting>
  <conditionalFormatting sqref="Y14 Y52 Y16 Y18 Y20 Y22 Y24 Y26 Y28 Y36 Y38 Y40 Y42 Y46 Y48 Y56">
    <cfRule type="expression" dxfId="214" priority="139">
      <formula>$AN14="ONGELDIG"</formula>
    </cfRule>
    <cfRule type="expression" dxfId="213" priority="140">
      <formula>$AN14="LEEG"</formula>
    </cfRule>
    <cfRule type="expression" dxfId="212" priority="141">
      <formula>$AN14="GOED"</formula>
    </cfRule>
  </conditionalFormatting>
  <conditionalFormatting sqref="O14:U14 O16:U16 O18:U18 O20:U20 O22:U22 O24:U24 O26:U26 O28:U28 O36:U36 O38:U38 O40:U40 O42:U42 O46:U46 O48:U48 O52:U52 O56:U56 I59:U59">
    <cfRule type="expression" dxfId="211" priority="7">
      <formula>$AL14="ONGELDIG"</formula>
    </cfRule>
    <cfRule type="expression" dxfId="210" priority="8">
      <formula>$AL14="LEEG"</formula>
    </cfRule>
    <cfRule type="expression" dxfId="209" priority="9">
      <formula>$AL14="GOED"</formula>
    </cfRule>
  </conditionalFormatting>
  <dataValidations count="28">
    <dataValidation type="list" allowBlank="1" showInputMessage="1" showErrorMessage="1" sqref="D9" xr:uid="{00000000-0002-0000-1200-000000000000}">
      <formula1>$AC$6:$AC$8</formula1>
    </dataValidation>
    <dataValidation type="list" allowBlank="1" showInputMessage="1" showErrorMessage="1" sqref="L14 L16" xr:uid="{00000000-0002-0000-1200-000001000000}">
      <formula1>$AQ$13:$AQ$17</formula1>
    </dataValidation>
    <dataValidation type="list" allowBlank="1" showInputMessage="1" showErrorMessage="1" sqref="L28 U22" xr:uid="{00000000-0002-0000-1200-000002000000}">
      <formula1>$AQ$33:$AQ$37</formula1>
    </dataValidation>
    <dataValidation type="list" allowBlank="1" showInputMessage="1" showErrorMessage="1" sqref="L24 U26" xr:uid="{00000000-0002-0000-1200-000003000000}">
      <formula1>$AQ$38:$AQ$42</formula1>
    </dataValidation>
    <dataValidation type="list" allowBlank="1" showInputMessage="1" showErrorMessage="1" sqref="L22 L26" xr:uid="{00000000-0002-0000-1200-000004000000}">
      <formula1>$AQ$28:$AQ$32</formula1>
    </dataValidation>
    <dataValidation type="list" allowBlank="1" showInputMessage="1" showErrorMessage="1" sqref="L18 U16" xr:uid="{00000000-0002-0000-1200-000005000000}">
      <formula1>$AQ$23:$AQ$27</formula1>
    </dataValidation>
    <dataValidation type="list" allowBlank="1" showInputMessage="1" showErrorMessage="1" sqref="U14 L20" xr:uid="{00000000-0002-0000-1200-000006000000}">
      <formula1>$AQ$18:$AQ$22</formula1>
    </dataValidation>
    <dataValidation type="list" allowBlank="1" showInputMessage="1" showErrorMessage="1" sqref="U18" xr:uid="{00000000-0002-0000-1200-000007000000}">
      <formula1>$AS$13:$AS$25</formula1>
    </dataValidation>
    <dataValidation type="list" allowBlank="1" showInputMessage="1" showErrorMessage="1" sqref="U20" xr:uid="{00000000-0002-0000-1200-000008000000}">
      <formula1>$AU$13:$AU$29</formula1>
    </dataValidation>
    <dataValidation type="list" allowBlank="1" showInputMessage="1" showErrorMessage="1" sqref="U24" xr:uid="{00000000-0002-0000-1200-000009000000}">
      <formula1>$AW$13:$AW$25</formula1>
    </dataValidation>
    <dataValidation type="list" allowBlank="1" showInputMessage="1" showErrorMessage="1" sqref="U28" xr:uid="{00000000-0002-0000-1200-00000A000000}">
      <formula1>$AY$13:$AY$29</formula1>
    </dataValidation>
    <dataValidation type="list" allowBlank="1" showInputMessage="1" showErrorMessage="1" sqref="L36" xr:uid="{00000000-0002-0000-1200-00000B000000}">
      <formula1>$AS$30:$AS$46</formula1>
    </dataValidation>
    <dataValidation type="list" allowBlank="1" showInputMessage="1" showErrorMessage="1" sqref="U36" xr:uid="{00000000-0002-0000-1200-00000C000000}">
      <formula1>$AU$30:$AU$38</formula1>
    </dataValidation>
    <dataValidation type="list" allowBlank="1" showInputMessage="1" showErrorMessage="1" sqref="L38" xr:uid="{00000000-0002-0000-1200-00000D000000}">
      <formula1>$AW$30:$AW$50</formula1>
    </dataValidation>
    <dataValidation type="list" allowBlank="1" showInputMessage="1" showErrorMessage="1" sqref="U38" xr:uid="{00000000-0002-0000-1200-00000E000000}">
      <formula1>$AY$30:$AY$38</formula1>
    </dataValidation>
    <dataValidation type="list" allowBlank="1" showInputMessage="1" showErrorMessage="1" sqref="L40" xr:uid="{00000000-0002-0000-1200-00000F000000}">
      <formula1>$AS$51:$AS$67</formula1>
    </dataValidation>
    <dataValidation type="list" allowBlank="1" showInputMessage="1" showErrorMessage="1" sqref="L42" xr:uid="{00000000-0002-0000-1200-000010000000}">
      <formula1>$AW$51:$AW$71</formula1>
    </dataValidation>
    <dataValidation type="list" allowBlank="1" showInputMessage="1" showErrorMessage="1" sqref="U40" xr:uid="{00000000-0002-0000-1200-000011000000}">
      <formula1>$AU$51:$AU$59</formula1>
    </dataValidation>
    <dataValidation type="list" allowBlank="1" showInputMessage="1" showErrorMessage="1" sqref="U42" xr:uid="{00000000-0002-0000-1200-000012000000}">
      <formula1>$AY$51:$AY$59</formula1>
    </dataValidation>
    <dataValidation type="list" allowBlank="1" showInputMessage="1" showErrorMessage="1" sqref="L46" xr:uid="{00000000-0002-0000-1200-000013000000}">
      <formula1>$AS$72:$AS$96</formula1>
    </dataValidation>
    <dataValidation type="list" allowBlank="1" showInputMessage="1" showErrorMessage="1" sqref="U46" xr:uid="{00000000-0002-0000-1200-000014000000}">
      <formula1>$AU$72:$AU$96</formula1>
    </dataValidation>
    <dataValidation type="list" allowBlank="1" showInputMessage="1" showErrorMessage="1" sqref="L48" xr:uid="{00000000-0002-0000-1200-000015000000}">
      <formula1>$AW$72:$AW$96</formula1>
    </dataValidation>
    <dataValidation type="list" allowBlank="1" showInputMessage="1" showErrorMessage="1" sqref="U48" xr:uid="{00000000-0002-0000-1200-000016000000}">
      <formula1>$AY$72:$AY$96</formula1>
    </dataValidation>
    <dataValidation type="list" allowBlank="1" showInputMessage="1" showErrorMessage="1" sqref="L52" xr:uid="{00000000-0002-0000-1200-000017000000}">
      <formula1>$AS$105:$AS$129</formula1>
    </dataValidation>
    <dataValidation type="list" allowBlank="1" showInputMessage="1" showErrorMessage="1" sqref="U52" xr:uid="{00000000-0002-0000-1200-000018000000}">
      <formula1>$AU$105:$AU$129</formula1>
    </dataValidation>
    <dataValidation type="list" allowBlank="1" showInputMessage="1" showErrorMessage="1" sqref="L56" xr:uid="{00000000-0002-0000-1200-000019000000}">
      <formula1>$AW$105:$AW$129</formula1>
    </dataValidation>
    <dataValidation type="list" allowBlank="1" showInputMessage="1" showErrorMessage="1" sqref="U56" xr:uid="{00000000-0002-0000-1200-00001A000000}">
      <formula1>$AY$105:$AY$129</formula1>
    </dataValidation>
    <dataValidation type="list" allowBlank="1" showInputMessage="1" showErrorMessage="1" sqref="O59:U59" xr:uid="{00000000-0002-0000-1200-00001B000000}">
      <formula1>$AQ$105:$AQ$129</formula1>
    </dataValidation>
  </dataValidations>
  <hyperlinks>
    <hyperlink ref="D33" r:id="rId1" display="www.excel-pool.nl/4beste3" xr:uid="{00000000-0004-0000-1200-000000000000}"/>
  </hyperlinks>
  <printOptions horizontalCentered="1"/>
  <pageMargins left="0.19685039370078741" right="0.19685039370078741" top="0.39370078740157483" bottom="0.39370078740157483" header="0.31496062992125984" footer="0.31496062992125984"/>
  <pageSetup paperSize="9" scale="8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7</vt:i4>
      </vt:variant>
    </vt:vector>
  </HeadingPairs>
  <TitlesOfParts>
    <vt:vector size="18" baseType="lpstr">
      <vt:lpstr>Taal01</vt:lpstr>
      <vt:lpstr>Taal02</vt:lpstr>
      <vt:lpstr>Taal03</vt:lpstr>
      <vt:lpstr>Taal04</vt:lpstr>
      <vt:lpstr>Voorblad</vt:lpstr>
      <vt:lpstr>Reglement</vt:lpstr>
      <vt:lpstr>Groepswedstrijden</vt:lpstr>
      <vt:lpstr>Eindstand Groep</vt:lpstr>
      <vt:lpstr>Finalewedstrijden</vt:lpstr>
      <vt:lpstr>Deelnamecode</vt:lpstr>
      <vt:lpstr>ImageHEX</vt:lpstr>
      <vt:lpstr>Deelnamecode!Afdrukbereik</vt:lpstr>
      <vt:lpstr>'Eindstand Groep'!Afdrukbereik</vt:lpstr>
      <vt:lpstr>Finalewedstrijden!Afdrukbereik</vt:lpstr>
      <vt:lpstr>Groepswedstrijden!Afdrukbereik</vt:lpstr>
      <vt:lpstr>Reglement!Afdrukbereik</vt:lpstr>
      <vt:lpstr>Voorblad!Afdrukbereik</vt:lpstr>
      <vt:lpstr>DEENAMECODE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dc:creator>
  <cp:lastModifiedBy>Marleen Dekker-Veenstra</cp:lastModifiedBy>
  <cp:lastPrinted>2019-11-23T20:41:29Z</cp:lastPrinted>
  <dcterms:created xsi:type="dcterms:W3CDTF">2008-04-11T17:46:19Z</dcterms:created>
  <dcterms:modified xsi:type="dcterms:W3CDTF">2021-05-11T19:55:46Z</dcterms:modified>
</cp:coreProperties>
</file>