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Vincent Woudenberg.DESKTOP-RPU3G16\Dropbox\Penningmeester\Financien\2018-2019\Jaarcijfers\"/>
    </mc:Choice>
  </mc:AlternateContent>
  <xr:revisionPtr revIDLastSave="0" documentId="13_ncr:1_{F2B1288B-535C-4A88-85F8-A591DCBA335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Exploitatierekening" sheetId="1" r:id="rId1"/>
    <sheet name="Balans" sheetId="6" r:id="rId2"/>
    <sheet name="Leden &amp; Contributie" sheetId="7" r:id="rId3"/>
    <sheet name="Sponsoring 2019 - 2020" sheetId="3" r:id="rId4"/>
  </sheets>
  <externalReferences>
    <externalReference r:id="rId5"/>
    <externalReference r:id="rId6"/>
    <externalReference r:id="rId7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8" i="1" l="1"/>
  <c r="AJ8" i="1"/>
  <c r="AK8" i="1" s="1"/>
  <c r="AI8" i="1"/>
  <c r="AG8" i="1"/>
  <c r="AC8" i="1"/>
  <c r="Y8" i="1"/>
  <c r="U8" i="1"/>
  <c r="Q8" i="1"/>
  <c r="M8" i="1"/>
  <c r="I8" i="1"/>
  <c r="E8" i="1"/>
  <c r="AL7" i="1"/>
  <c r="AJ7" i="1"/>
  <c r="AK7" i="1" s="1"/>
  <c r="AI7" i="1"/>
  <c r="AG7" i="1"/>
  <c r="AC7" i="1"/>
  <c r="Y7" i="1"/>
  <c r="Y6" i="1" s="1"/>
  <c r="U7" i="1"/>
  <c r="U6" i="1" s="1"/>
  <c r="Q7" i="1"/>
  <c r="M7" i="1"/>
  <c r="I7" i="1"/>
  <c r="I6" i="1" s="1"/>
  <c r="E7" i="1"/>
  <c r="E6" i="1" s="1"/>
  <c r="AL6" i="1"/>
  <c r="AJ6" i="1"/>
  <c r="AI6" i="1"/>
  <c r="AH6" i="1"/>
  <c r="AG6" i="1"/>
  <c r="AF6" i="1"/>
  <c r="AE6" i="1"/>
  <c r="AD6" i="1"/>
  <c r="AC6" i="1"/>
  <c r="AB6" i="1"/>
  <c r="AA6" i="1"/>
  <c r="Z6" i="1"/>
  <c r="X6" i="1"/>
  <c r="W6" i="1"/>
  <c r="V6" i="1"/>
  <c r="T6" i="1"/>
  <c r="S6" i="1"/>
  <c r="R6" i="1"/>
  <c r="Q6" i="1"/>
  <c r="P6" i="1"/>
  <c r="O6" i="1"/>
  <c r="N6" i="1"/>
  <c r="M6" i="1"/>
  <c r="L6" i="1"/>
  <c r="K6" i="1"/>
  <c r="J6" i="1"/>
  <c r="H6" i="1"/>
  <c r="G6" i="1"/>
  <c r="F6" i="1"/>
  <c r="D6" i="1"/>
  <c r="C6" i="1"/>
  <c r="AL5" i="1"/>
  <c r="AJ5" i="1"/>
  <c r="AK5" i="1" s="1"/>
  <c r="AI5" i="1"/>
  <c r="AG5" i="1"/>
  <c r="AC5" i="1"/>
  <c r="Y5" i="1"/>
  <c r="U5" i="1"/>
  <c r="Q5" i="1"/>
  <c r="M5" i="1"/>
  <c r="I5" i="1"/>
  <c r="E5" i="1"/>
  <c r="AL4" i="1"/>
  <c r="AI4" i="1"/>
  <c r="AG4" i="1"/>
  <c r="AC4" i="1"/>
  <c r="X4" i="1"/>
  <c r="AJ4" i="1" s="1"/>
  <c r="AK4" i="1" s="1"/>
  <c r="U4" i="1"/>
  <c r="Q4" i="1"/>
  <c r="M4" i="1"/>
  <c r="I4" i="1"/>
  <c r="E4" i="1"/>
  <c r="AK6" i="1" l="1"/>
  <c r="Y4" i="1"/>
  <c r="AB42" i="6" l="1"/>
  <c r="AJ86" i="1"/>
  <c r="J27" i="6"/>
  <c r="AB27" i="6" l="1"/>
  <c r="J39" i="6"/>
  <c r="Y17" i="6"/>
  <c r="Y22" i="6"/>
  <c r="Y42" i="6"/>
  <c r="AA42" i="6" l="1"/>
  <c r="AB43" i="6"/>
  <c r="P27" i="6"/>
  <c r="AI86" i="1"/>
  <c r="Y27" i="1"/>
  <c r="U27" i="1"/>
  <c r="Q27" i="1"/>
  <c r="M27" i="1"/>
  <c r="I27" i="1"/>
  <c r="AC27" i="1"/>
  <c r="AG27" i="1"/>
  <c r="AL27" i="1"/>
  <c r="AJ27" i="1"/>
  <c r="AI27" i="1"/>
  <c r="AI25" i="1" s="1"/>
  <c r="AI26" i="1"/>
  <c r="AJ15" i="1"/>
  <c r="AI15" i="1"/>
  <c r="AI11" i="1"/>
  <c r="AI10" i="1"/>
  <c r="AK3" i="1"/>
  <c r="AJ3" i="1"/>
  <c r="AI3" i="1"/>
  <c r="AI80" i="1"/>
  <c r="AI81" i="1"/>
  <c r="K22" i="6"/>
  <c r="AK27" i="1" l="1"/>
  <c r="F81" i="1" l="1"/>
  <c r="F80" i="1"/>
  <c r="F73" i="1"/>
  <c r="F71" i="1"/>
  <c r="F68" i="1" s="1"/>
  <c r="F70" i="1"/>
  <c r="F57" i="1"/>
  <c r="F54" i="1"/>
  <c r="F52" i="1"/>
  <c r="F51" i="1"/>
  <c r="F50" i="1"/>
  <c r="F48" i="1"/>
  <c r="F43" i="1" s="1"/>
  <c r="F46" i="1"/>
  <c r="F44" i="1"/>
  <c r="F39" i="1"/>
  <c r="F37" i="1" s="1"/>
  <c r="F38" i="1"/>
  <c r="F35" i="1"/>
  <c r="F34" i="1"/>
  <c r="F33" i="1" s="1"/>
  <c r="D80" i="1"/>
  <c r="D73" i="1"/>
  <c r="D71" i="1"/>
  <c r="D69" i="1"/>
  <c r="D68" i="1" s="1"/>
  <c r="D57" i="1"/>
  <c r="D54" i="1"/>
  <c r="D51" i="1"/>
  <c r="D50" i="1"/>
  <c r="D49" i="1"/>
  <c r="D46" i="1"/>
  <c r="D43" i="1"/>
  <c r="D37" i="1"/>
  <c r="D35" i="1"/>
  <c r="D33" i="1"/>
  <c r="F25" i="1"/>
  <c r="F21" i="1"/>
  <c r="F17" i="1"/>
  <c r="F16" i="1"/>
  <c r="F14" i="1"/>
  <c r="F11" i="1"/>
  <c r="F9" i="1"/>
  <c r="F3" i="1"/>
  <c r="D25" i="1"/>
  <c r="D16" i="1"/>
  <c r="D14" i="1"/>
  <c r="D9" i="1"/>
  <c r="D3" i="1"/>
  <c r="Z58" i="1" l="1"/>
  <c r="E37" i="6" l="1"/>
  <c r="P21" i="1" l="1"/>
  <c r="AK86" i="1" l="1"/>
  <c r="AG86" i="1"/>
  <c r="AC86" i="1"/>
  <c r="U86" i="1"/>
  <c r="Y86" i="1"/>
  <c r="Q86" i="1"/>
  <c r="M86" i="1"/>
  <c r="I86" i="1" l="1"/>
  <c r="I85" i="1" s="1"/>
  <c r="G85" i="1"/>
  <c r="H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F85" i="1"/>
  <c r="E86" i="1"/>
  <c r="E85" i="1" s="1"/>
  <c r="D85" i="1"/>
  <c r="C85" i="1"/>
  <c r="T19" i="6" l="1"/>
  <c r="X58" i="1"/>
  <c r="G43" i="6" l="1"/>
  <c r="C42" i="6"/>
  <c r="E20" i="6" l="1"/>
  <c r="E84" i="1"/>
  <c r="E83" i="1"/>
  <c r="E82" i="1"/>
  <c r="E79" i="1"/>
  <c r="E78" i="1"/>
  <c r="E77" i="1"/>
  <c r="E76" i="1"/>
  <c r="E75" i="1"/>
  <c r="E74" i="1"/>
  <c r="E72" i="1"/>
  <c r="E71" i="1"/>
  <c r="E70" i="1"/>
  <c r="E69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 s="1"/>
  <c r="E53" i="1"/>
  <c r="E52" i="1"/>
  <c r="E50" i="1"/>
  <c r="E49" i="1"/>
  <c r="E48" i="1"/>
  <c r="E47" i="1"/>
  <c r="E46" i="1"/>
  <c r="E45" i="1"/>
  <c r="E44" i="1"/>
  <c r="E42" i="1"/>
  <c r="E41" i="1"/>
  <c r="E40" i="1"/>
  <c r="E38" i="1"/>
  <c r="E36" i="1"/>
  <c r="E35" i="1" s="1"/>
  <c r="E34" i="1"/>
  <c r="E29" i="1"/>
  <c r="E28" i="1"/>
  <c r="E27" i="1"/>
  <c r="E26" i="1"/>
  <c r="E24" i="1"/>
  <c r="E23" i="1"/>
  <c r="E22" i="1"/>
  <c r="E21" i="1"/>
  <c r="E20" i="1"/>
  <c r="E19" i="1"/>
  <c r="E18" i="1"/>
  <c r="E17" i="1"/>
  <c r="E15" i="1"/>
  <c r="E14" i="1" s="1"/>
  <c r="E13" i="1"/>
  <c r="E12" i="1"/>
  <c r="E11" i="1"/>
  <c r="E10" i="1"/>
  <c r="C81" i="1"/>
  <c r="E81" i="1" s="1"/>
  <c r="C80" i="1"/>
  <c r="C73" i="1"/>
  <c r="C68" i="1"/>
  <c r="C57" i="1"/>
  <c r="C54" i="1"/>
  <c r="C53" i="1"/>
  <c r="C51" i="1" s="1"/>
  <c r="C52" i="1"/>
  <c r="C50" i="1"/>
  <c r="C48" i="1"/>
  <c r="C43" i="1" s="1"/>
  <c r="C46" i="1"/>
  <c r="C38" i="1"/>
  <c r="C35" i="1"/>
  <c r="C27" i="1"/>
  <c r="C26" i="1"/>
  <c r="C25" i="1"/>
  <c r="C16" i="1"/>
  <c r="C14" i="1"/>
  <c r="C9" i="1"/>
  <c r="E51" i="1" l="1"/>
  <c r="E25" i="1"/>
  <c r="E80" i="1"/>
  <c r="E73" i="1"/>
  <c r="E9" i="1"/>
  <c r="E16" i="1"/>
  <c r="E68" i="1"/>
  <c r="E43" i="1"/>
  <c r="E57" i="1"/>
  <c r="C39" i="1"/>
  <c r="C37" i="1" l="1"/>
  <c r="E39" i="1"/>
  <c r="E37" i="1" s="1"/>
  <c r="H20" i="6"/>
  <c r="G19" i="6"/>
  <c r="J80" i="1" l="1"/>
  <c r="J73" i="1"/>
  <c r="J68" i="1"/>
  <c r="J62" i="1"/>
  <c r="J61" i="1"/>
  <c r="J57" i="1"/>
  <c r="J55" i="1"/>
  <c r="J54" i="1" s="1"/>
  <c r="J51" i="1"/>
  <c r="J46" i="1"/>
  <c r="J43" i="1"/>
  <c r="J41" i="1"/>
  <c r="J37" i="1"/>
  <c r="J35" i="1"/>
  <c r="J25" i="1"/>
  <c r="J24" i="1"/>
  <c r="J22" i="1"/>
  <c r="J21" i="1"/>
  <c r="J14" i="1"/>
  <c r="J9" i="1"/>
  <c r="H80" i="1"/>
  <c r="H73" i="1"/>
  <c r="H68" i="1"/>
  <c r="H57" i="1"/>
  <c r="H54" i="1"/>
  <c r="H51" i="1"/>
  <c r="H43" i="1"/>
  <c r="H37" i="1"/>
  <c r="H35" i="1"/>
  <c r="H25" i="1"/>
  <c r="H24" i="1"/>
  <c r="H16" i="1"/>
  <c r="H14" i="1"/>
  <c r="H9" i="1"/>
  <c r="J16" i="1" l="1"/>
  <c r="X76" i="1"/>
  <c r="X69" i="1"/>
  <c r="X21" i="1" l="1"/>
  <c r="X79" i="1"/>
  <c r="Z39" i="6" l="1"/>
  <c r="AF55" i="1"/>
  <c r="AB80" i="1" l="1"/>
  <c r="AB73" i="1"/>
  <c r="AB68" i="1"/>
  <c r="AB57" i="1"/>
  <c r="AB54" i="1"/>
  <c r="AB51" i="1"/>
  <c r="AB43" i="1"/>
  <c r="AB37" i="1"/>
  <c r="AB35" i="1"/>
  <c r="AB25" i="1"/>
  <c r="AB16" i="1"/>
  <c r="AB14" i="1"/>
  <c r="AB9" i="1"/>
  <c r="P80" i="1" l="1"/>
  <c r="P73" i="1"/>
  <c r="P68" i="1"/>
  <c r="P57" i="1"/>
  <c r="P54" i="1"/>
  <c r="P51" i="1"/>
  <c r="P43" i="1"/>
  <c r="P37" i="1"/>
  <c r="P35" i="1"/>
  <c r="P25" i="1"/>
  <c r="P24" i="1"/>
  <c r="P16" i="1" s="1"/>
  <c r="P14" i="1"/>
  <c r="P9" i="1"/>
  <c r="K16" i="6" l="1"/>
  <c r="N80" i="1" l="1"/>
  <c r="N73" i="1"/>
  <c r="N68" i="1"/>
  <c r="N57" i="1"/>
  <c r="N54" i="1"/>
  <c r="N51" i="1"/>
  <c r="N43" i="1"/>
  <c r="N37" i="1"/>
  <c r="N35" i="1"/>
  <c r="L80" i="1"/>
  <c r="L73" i="1"/>
  <c r="L68" i="1"/>
  <c r="L57" i="1"/>
  <c r="L54" i="1"/>
  <c r="L51" i="1"/>
  <c r="L43" i="1"/>
  <c r="L37" i="1"/>
  <c r="L35" i="1"/>
  <c r="N25" i="1"/>
  <c r="N16" i="1"/>
  <c r="N14" i="1"/>
  <c r="N9" i="1"/>
  <c r="L25" i="1"/>
  <c r="L24" i="1"/>
  <c r="L16" i="1"/>
  <c r="L14" i="1"/>
  <c r="L9" i="1"/>
  <c r="O22" i="6" l="1"/>
  <c r="U42" i="1" l="1"/>
  <c r="E16" i="7" l="1"/>
  <c r="J50" i="7"/>
  <c r="I50" i="7"/>
  <c r="H50" i="7"/>
  <c r="G50" i="7"/>
  <c r="F50" i="7"/>
  <c r="E50" i="7"/>
  <c r="D46" i="7"/>
  <c r="H45" i="7"/>
  <c r="H44" i="7"/>
  <c r="H43" i="7"/>
  <c r="H42" i="7"/>
  <c r="H41" i="7"/>
  <c r="H40" i="7"/>
  <c r="H39" i="7"/>
  <c r="H48" i="7" s="1"/>
  <c r="D37" i="7"/>
  <c r="G36" i="7"/>
  <c r="G35" i="7"/>
  <c r="G34" i="7"/>
  <c r="G33" i="7"/>
  <c r="G32" i="7"/>
  <c r="G31" i="7"/>
  <c r="G30" i="7"/>
  <c r="G29" i="7"/>
  <c r="G48" i="7" s="1"/>
  <c r="D27" i="7"/>
  <c r="F26" i="7"/>
  <c r="F25" i="7"/>
  <c r="F24" i="7"/>
  <c r="F23" i="7"/>
  <c r="F22" i="7"/>
  <c r="D20" i="7"/>
  <c r="E19" i="7"/>
  <c r="E18" i="7"/>
  <c r="E48" i="7" s="1"/>
  <c r="E17" i="7"/>
  <c r="E15" i="7"/>
  <c r="E14" i="7"/>
  <c r="E13" i="7"/>
  <c r="D8" i="7"/>
  <c r="J7" i="7"/>
  <c r="J48" i="7" s="1"/>
  <c r="J6" i="7"/>
  <c r="J5" i="7"/>
  <c r="I2" i="7"/>
  <c r="I48" i="7" s="1"/>
  <c r="D48" i="7" l="1"/>
  <c r="D50" i="7"/>
  <c r="F48" i="7"/>
  <c r="AC18" i="1" l="1"/>
  <c r="X24" i="1"/>
  <c r="AC13" i="1" l="1"/>
  <c r="C17" i="3" l="1"/>
  <c r="C5" i="3"/>
  <c r="C14" i="3"/>
  <c r="D2" i="3"/>
  <c r="F2" i="3"/>
  <c r="C2" i="3" l="1"/>
  <c r="C18" i="3" s="1"/>
  <c r="K18" i="3"/>
  <c r="C20" i="3" l="1"/>
  <c r="F40" i="6"/>
  <c r="C39" i="6"/>
  <c r="C37" i="6"/>
  <c r="G24" i="1" l="1"/>
  <c r="G21" i="1"/>
  <c r="AA40" i="6" l="1"/>
  <c r="AC38" i="6"/>
  <c r="AA38" i="6"/>
  <c r="R42" i="6"/>
  <c r="O42" i="6"/>
  <c r="U22" i="6"/>
  <c r="R22" i="6"/>
  <c r="L42" i="6"/>
  <c r="L22" i="6"/>
  <c r="I22" i="6"/>
  <c r="I42" i="6"/>
  <c r="F22" i="6"/>
  <c r="F42" i="6"/>
  <c r="C22" i="6"/>
  <c r="Y39" i="6" l="1"/>
  <c r="Y20" i="6" l="1"/>
  <c r="Y27" i="6"/>
  <c r="Y43" i="6" s="1"/>
  <c r="AC39" i="6"/>
  <c r="AA39" i="6"/>
  <c r="Z42" i="6"/>
  <c r="X42" i="6"/>
  <c r="Y40" i="6"/>
  <c r="AH80" i="1"/>
  <c r="AH73" i="1"/>
  <c r="AH68" i="1"/>
  <c r="AH57" i="1"/>
  <c r="AH54" i="1"/>
  <c r="AH51" i="1"/>
  <c r="AH43" i="1"/>
  <c r="AH37" i="1"/>
  <c r="AH35" i="1"/>
  <c r="AH33" i="1"/>
  <c r="AH25" i="1"/>
  <c r="AH16" i="1"/>
  <c r="AH14" i="1"/>
  <c r="AH9" i="1"/>
  <c r="AH3" i="1"/>
  <c r="AF80" i="1"/>
  <c r="AE80" i="1"/>
  <c r="AF73" i="1"/>
  <c r="AE73" i="1"/>
  <c r="AF68" i="1"/>
  <c r="AE68" i="1"/>
  <c r="AF57" i="1"/>
  <c r="AE57" i="1"/>
  <c r="AF54" i="1"/>
  <c r="AE54" i="1"/>
  <c r="AF51" i="1"/>
  <c r="AE51" i="1"/>
  <c r="AF43" i="1"/>
  <c r="AE43" i="1"/>
  <c r="AF37" i="1"/>
  <c r="AE37" i="1"/>
  <c r="AF35" i="1"/>
  <c r="AE35" i="1"/>
  <c r="AF33" i="1"/>
  <c r="AE33" i="1"/>
  <c r="AF25" i="1"/>
  <c r="AE25" i="1"/>
  <c r="AF16" i="1"/>
  <c r="AE16" i="1"/>
  <c r="AF14" i="1"/>
  <c r="AE14" i="1"/>
  <c r="AF9" i="1"/>
  <c r="AE9" i="1"/>
  <c r="AF3" i="1"/>
  <c r="AE3" i="1"/>
  <c r="AE87" i="1" l="1"/>
  <c r="AF87" i="1"/>
  <c r="AH87" i="1"/>
  <c r="AF30" i="1"/>
  <c r="AH30" i="1"/>
  <c r="AE30" i="1"/>
  <c r="F87" i="1" l="1"/>
  <c r="D29" i="6" l="1"/>
  <c r="M64" i="1" l="1"/>
  <c r="Q64" i="1"/>
  <c r="U64" i="1"/>
  <c r="Y64" i="1"/>
  <c r="AC64" i="1"/>
  <c r="AG64" i="1"/>
  <c r="AI64" i="1"/>
  <c r="AJ64" i="1"/>
  <c r="AL64" i="1"/>
  <c r="AK64" i="1" l="1"/>
  <c r="AL15" i="1"/>
  <c r="AL81" i="1" l="1"/>
  <c r="N33" i="1" l="1"/>
  <c r="N87" i="1" s="1"/>
  <c r="L33" i="1"/>
  <c r="L87" i="1" s="1"/>
  <c r="L3" i="1"/>
  <c r="L30" i="1" l="1"/>
  <c r="AC40" i="6" l="1"/>
  <c r="G39" i="6"/>
  <c r="G37" i="6"/>
  <c r="G29" i="6"/>
  <c r="G40" i="6" l="1"/>
  <c r="D16" i="6" l="1"/>
  <c r="D14" i="6"/>
  <c r="E15" i="6"/>
  <c r="D38" i="6"/>
  <c r="AB38" i="6" s="1"/>
  <c r="Q22" i="6" l="1"/>
  <c r="Q27" i="6" s="1"/>
  <c r="P16" i="6"/>
  <c r="D9" i="6" l="1"/>
  <c r="D7" i="6"/>
  <c r="S11" i="6" l="1"/>
  <c r="N22" i="6" l="1"/>
  <c r="N27" i="6" s="1"/>
  <c r="M27" i="6" s="1"/>
  <c r="Q65" i="1"/>
  <c r="D40" i="6" l="1"/>
  <c r="AB40" i="6" s="1"/>
  <c r="AA37" i="6" l="1"/>
  <c r="AC32" i="6"/>
  <c r="AC33" i="6"/>
  <c r="AC34" i="6"/>
  <c r="AC35" i="6"/>
  <c r="AC31" i="6"/>
  <c r="AA32" i="6"/>
  <c r="AA33" i="6"/>
  <c r="AA34" i="6"/>
  <c r="AA35" i="6"/>
  <c r="AA31" i="6"/>
  <c r="AC29" i="6"/>
  <c r="AB29" i="6"/>
  <c r="AA29" i="6"/>
  <c r="Z22" i="6"/>
  <c r="X22" i="6"/>
  <c r="AA22" i="6" s="1"/>
  <c r="W22" i="6"/>
  <c r="AC20" i="6"/>
  <c r="AC19" i="6"/>
  <c r="AA20" i="6"/>
  <c r="AA19" i="6"/>
  <c r="AC16" i="6"/>
  <c r="AC14" i="6"/>
  <c r="AA15" i="6"/>
  <c r="AA16" i="6"/>
  <c r="AA17" i="6"/>
  <c r="AA14" i="6"/>
  <c r="AC12" i="6"/>
  <c r="AC11" i="6"/>
  <c r="AA12" i="6"/>
  <c r="AA11" i="6"/>
  <c r="AC6" i="6"/>
  <c r="AC8" i="6"/>
  <c r="AC9" i="6"/>
  <c r="AB9" i="6"/>
  <c r="AB5" i="6"/>
  <c r="AA6" i="6"/>
  <c r="AA8" i="6"/>
  <c r="AA9" i="6"/>
  <c r="AA5" i="6"/>
  <c r="Y16" i="6"/>
  <c r="S16" i="6"/>
  <c r="M16" i="6"/>
  <c r="J16" i="6"/>
  <c r="G16" i="6"/>
  <c r="D35" i="6"/>
  <c r="AB35" i="6" s="1"/>
  <c r="D34" i="6"/>
  <c r="AB34" i="6" s="1"/>
  <c r="D33" i="6"/>
  <c r="AB33" i="6" s="1"/>
  <c r="D32" i="6"/>
  <c r="AB32" i="6" s="1"/>
  <c r="D31" i="6"/>
  <c r="V12" i="6"/>
  <c r="S12" i="6"/>
  <c r="P12" i="6"/>
  <c r="M12" i="6"/>
  <c r="J12" i="6"/>
  <c r="D12" i="6"/>
  <c r="D11" i="6"/>
  <c r="AB11" i="6" s="1"/>
  <c r="AB12" i="6" l="1"/>
  <c r="AB31" i="6"/>
  <c r="E33" i="1" l="1"/>
  <c r="E87" i="1" s="1"/>
  <c r="D87" i="1"/>
  <c r="C33" i="1"/>
  <c r="C87" i="1" s="1"/>
  <c r="C3" i="1"/>
  <c r="AL29" i="1"/>
  <c r="AJ29" i="1"/>
  <c r="AI29" i="1"/>
  <c r="AG29" i="1"/>
  <c r="AC29" i="1"/>
  <c r="Y29" i="1"/>
  <c r="U29" i="1"/>
  <c r="Q29" i="1"/>
  <c r="M29" i="1"/>
  <c r="G25" i="1"/>
  <c r="K25" i="1"/>
  <c r="O25" i="1"/>
  <c r="R25" i="1"/>
  <c r="S25" i="1"/>
  <c r="T25" i="1"/>
  <c r="V25" i="1"/>
  <c r="W25" i="1"/>
  <c r="X25" i="1"/>
  <c r="Z25" i="1"/>
  <c r="AA25" i="1"/>
  <c r="AD25" i="1"/>
  <c r="I29" i="1"/>
  <c r="N3" i="1" l="1"/>
  <c r="E3" i="1"/>
  <c r="E30" i="1" s="1"/>
  <c r="C30" i="1"/>
  <c r="C89" i="1" s="1"/>
  <c r="AL3" i="1"/>
  <c r="D30" i="1"/>
  <c r="AK29" i="1"/>
  <c r="G57" i="1"/>
  <c r="I64" i="1"/>
  <c r="E13" i="3" l="1"/>
  <c r="F13" i="3" s="1"/>
  <c r="G13" i="3" s="1"/>
  <c r="H13" i="3" s="1"/>
  <c r="E4" i="3"/>
  <c r="G17" i="6" l="1"/>
  <c r="D6" i="6"/>
  <c r="AB6" i="6" s="1"/>
  <c r="AC37" i="6"/>
  <c r="T22" i="6"/>
  <c r="T27" i="6" s="1"/>
  <c r="S27" i="6" s="1"/>
  <c r="K27" i="6"/>
  <c r="K42" i="6" s="1"/>
  <c r="H22" i="6"/>
  <c r="H27" i="6" s="1"/>
  <c r="V20" i="6"/>
  <c r="S20" i="6"/>
  <c r="P20" i="6"/>
  <c r="M20" i="6"/>
  <c r="J20" i="6"/>
  <c r="J22" i="6" s="1"/>
  <c r="G20" i="6"/>
  <c r="D20" i="6"/>
  <c r="S19" i="6"/>
  <c r="P19" i="6"/>
  <c r="D19" i="6"/>
  <c r="S17" i="6"/>
  <c r="J17" i="6"/>
  <c r="AC15" i="6"/>
  <c r="AB14" i="6"/>
  <c r="D8" i="6"/>
  <c r="AB8" i="6" s="1"/>
  <c r="E5" i="6"/>
  <c r="E22" i="6" l="1"/>
  <c r="AC5" i="6"/>
  <c r="AB19" i="6"/>
  <c r="P22" i="6"/>
  <c r="S42" i="6"/>
  <c r="S43" i="6" s="1"/>
  <c r="AB20" i="6"/>
  <c r="M22" i="6"/>
  <c r="D17" i="6"/>
  <c r="AB17" i="6" s="1"/>
  <c r="AC17" i="6"/>
  <c r="S22" i="6"/>
  <c r="G22" i="6"/>
  <c r="Q42" i="6"/>
  <c r="P42" i="6"/>
  <c r="P43" i="6" s="1"/>
  <c r="U27" i="6"/>
  <c r="D15" i="6"/>
  <c r="H42" i="6"/>
  <c r="T42" i="6"/>
  <c r="N42" i="6"/>
  <c r="D37" i="6"/>
  <c r="D39" i="6"/>
  <c r="AB15" i="6" l="1"/>
  <c r="D22" i="6"/>
  <c r="AB22" i="6" s="1"/>
  <c r="AC22" i="6"/>
  <c r="E27" i="6"/>
  <c r="J43" i="6"/>
  <c r="J42" i="6"/>
  <c r="AB39" i="6"/>
  <c r="G42" i="6"/>
  <c r="U42" i="6"/>
  <c r="AA27" i="6"/>
  <c r="M42" i="6"/>
  <c r="M43" i="6" s="1"/>
  <c r="AB37" i="6"/>
  <c r="E42" i="6" l="1"/>
  <c r="AL82" i="1"/>
  <c r="AL83" i="1"/>
  <c r="AL84" i="1"/>
  <c r="AL75" i="1"/>
  <c r="AL76" i="1"/>
  <c r="AL77" i="1"/>
  <c r="AL78" i="1"/>
  <c r="AL79" i="1"/>
  <c r="AL70" i="1"/>
  <c r="AL71" i="1"/>
  <c r="AL72" i="1"/>
  <c r="AL74" i="1"/>
  <c r="AL69" i="1"/>
  <c r="AL59" i="1"/>
  <c r="AL60" i="1"/>
  <c r="AL61" i="1"/>
  <c r="AL62" i="1"/>
  <c r="AL63" i="1"/>
  <c r="AL65" i="1"/>
  <c r="AL66" i="1"/>
  <c r="AL67" i="1"/>
  <c r="AL58" i="1"/>
  <c r="AL56" i="1"/>
  <c r="AL53" i="1"/>
  <c r="AL55" i="1"/>
  <c r="AL52" i="1"/>
  <c r="AL45" i="1"/>
  <c r="AL46" i="1"/>
  <c r="AL47" i="1"/>
  <c r="AL48" i="1"/>
  <c r="AL49" i="1"/>
  <c r="AL50" i="1"/>
  <c r="AL39" i="1"/>
  <c r="AL40" i="1"/>
  <c r="AL41" i="1"/>
  <c r="AL42" i="1"/>
  <c r="AL44" i="1"/>
  <c r="AL38" i="1"/>
  <c r="AL36" i="1"/>
  <c r="AL34" i="1"/>
  <c r="AL28" i="1"/>
  <c r="AL26" i="1"/>
  <c r="AL18" i="1"/>
  <c r="AL19" i="1"/>
  <c r="AL20" i="1"/>
  <c r="AL21" i="1"/>
  <c r="AL22" i="1"/>
  <c r="AL23" i="1"/>
  <c r="AL24" i="1"/>
  <c r="AL17" i="1"/>
  <c r="AL11" i="1"/>
  <c r="AL12" i="1"/>
  <c r="AL13" i="1"/>
  <c r="AL10" i="1"/>
  <c r="AG82" i="1"/>
  <c r="AG83" i="1"/>
  <c r="AG84" i="1"/>
  <c r="AG81" i="1"/>
  <c r="AG75" i="1"/>
  <c r="AG76" i="1"/>
  <c r="AG77" i="1"/>
  <c r="AG78" i="1"/>
  <c r="AG79" i="1"/>
  <c r="AG74" i="1"/>
  <c r="AG72" i="1"/>
  <c r="AG71" i="1"/>
  <c r="AG70" i="1"/>
  <c r="AG69" i="1"/>
  <c r="AG59" i="1"/>
  <c r="AG60" i="1"/>
  <c r="AG61" i="1"/>
  <c r="AG62" i="1"/>
  <c r="AG63" i="1"/>
  <c r="AG65" i="1"/>
  <c r="AG66" i="1"/>
  <c r="AG67" i="1"/>
  <c r="AG58" i="1"/>
  <c r="AG56" i="1"/>
  <c r="AG55" i="1"/>
  <c r="AG53" i="1"/>
  <c r="AG52" i="1"/>
  <c r="AG45" i="1"/>
  <c r="AG46" i="1"/>
  <c r="AG47" i="1"/>
  <c r="AG48" i="1"/>
  <c r="AG49" i="1"/>
  <c r="AG50" i="1"/>
  <c r="AG44" i="1"/>
  <c r="AG39" i="1"/>
  <c r="AG40" i="1"/>
  <c r="AG41" i="1"/>
  <c r="AG42" i="1"/>
  <c r="AG38" i="1"/>
  <c r="AG36" i="1"/>
  <c r="AG34" i="1"/>
  <c r="AG28" i="1"/>
  <c r="AG26" i="1"/>
  <c r="AG18" i="1"/>
  <c r="AG19" i="1"/>
  <c r="AG20" i="1"/>
  <c r="AG21" i="1"/>
  <c r="AG22" i="1"/>
  <c r="AG23" i="1"/>
  <c r="AG17" i="1"/>
  <c r="AG15" i="1"/>
  <c r="AG11" i="1"/>
  <c r="AG12" i="1"/>
  <c r="AG13" i="1"/>
  <c r="AG10" i="1"/>
  <c r="D43" i="6" l="1"/>
  <c r="D42" i="6"/>
  <c r="AG25" i="1"/>
  <c r="AL25" i="1"/>
  <c r="AC82" i="1"/>
  <c r="AC83" i="1"/>
  <c r="AC84" i="1"/>
  <c r="AC81" i="1"/>
  <c r="AC75" i="1"/>
  <c r="AC76" i="1"/>
  <c r="AC77" i="1"/>
  <c r="AC78" i="1"/>
  <c r="AC79" i="1"/>
  <c r="AC74" i="1"/>
  <c r="AC70" i="1"/>
  <c r="AC71" i="1"/>
  <c r="AC72" i="1"/>
  <c r="AC69" i="1"/>
  <c r="AC59" i="1"/>
  <c r="AC60" i="1"/>
  <c r="AC61" i="1"/>
  <c r="AC62" i="1"/>
  <c r="AC63" i="1"/>
  <c r="AC65" i="1"/>
  <c r="AC66" i="1"/>
  <c r="AC67" i="1"/>
  <c r="AC58" i="1"/>
  <c r="AC56" i="1"/>
  <c r="AC55" i="1"/>
  <c r="AC53" i="1"/>
  <c r="AC52" i="1"/>
  <c r="AC45" i="1"/>
  <c r="AC46" i="1"/>
  <c r="AC47" i="1"/>
  <c r="AC48" i="1"/>
  <c r="AC49" i="1"/>
  <c r="AC50" i="1"/>
  <c r="AC44" i="1"/>
  <c r="AC39" i="1"/>
  <c r="AC40" i="1"/>
  <c r="AC41" i="1"/>
  <c r="AC42" i="1"/>
  <c r="AC38" i="1"/>
  <c r="AC36" i="1"/>
  <c r="AC34" i="1"/>
  <c r="AC28" i="1"/>
  <c r="AC26" i="1"/>
  <c r="AC19" i="1"/>
  <c r="AC20" i="1"/>
  <c r="AC21" i="1"/>
  <c r="AC22" i="1"/>
  <c r="AC23" i="1"/>
  <c r="AC17" i="1"/>
  <c r="AC15" i="1"/>
  <c r="AC11" i="1"/>
  <c r="AC12" i="1"/>
  <c r="AC10" i="1"/>
  <c r="Y82" i="1"/>
  <c r="Y83" i="1"/>
  <c r="Y84" i="1"/>
  <c r="Y81" i="1"/>
  <c r="Y75" i="1"/>
  <c r="Y76" i="1"/>
  <c r="Y77" i="1"/>
  <c r="Y78" i="1"/>
  <c r="Y79" i="1"/>
  <c r="Y74" i="1"/>
  <c r="Y70" i="1"/>
  <c r="Y71" i="1"/>
  <c r="Y72" i="1"/>
  <c r="Y69" i="1"/>
  <c r="Y59" i="1"/>
  <c r="Y60" i="1"/>
  <c r="Y61" i="1"/>
  <c r="Y62" i="1"/>
  <c r="Y63" i="1"/>
  <c r="Y65" i="1"/>
  <c r="Y66" i="1"/>
  <c r="Y67" i="1"/>
  <c r="Y58" i="1"/>
  <c r="Y56" i="1"/>
  <c r="Y55" i="1"/>
  <c r="Y53" i="1"/>
  <c r="Y52" i="1"/>
  <c r="Y45" i="1"/>
  <c r="Y46" i="1"/>
  <c r="Y47" i="1"/>
  <c r="Y48" i="1"/>
  <c r="Y49" i="1"/>
  <c r="Y50" i="1"/>
  <c r="Y44" i="1"/>
  <c r="Y39" i="1"/>
  <c r="Y40" i="1"/>
  <c r="Y41" i="1"/>
  <c r="Y42" i="1"/>
  <c r="Y38" i="1"/>
  <c r="Y36" i="1"/>
  <c r="Y34" i="1"/>
  <c r="Y28" i="1"/>
  <c r="Y26" i="1"/>
  <c r="Y25" i="1" s="1"/>
  <c r="Y18" i="1"/>
  <c r="Y19" i="1"/>
  <c r="Y20" i="1"/>
  <c r="Y21" i="1"/>
  <c r="Y22" i="1"/>
  <c r="Y23" i="1"/>
  <c r="Y17" i="1"/>
  <c r="Y15" i="1"/>
  <c r="Y11" i="1"/>
  <c r="Y12" i="1"/>
  <c r="Y13" i="1"/>
  <c r="Y10" i="1"/>
  <c r="U82" i="1"/>
  <c r="U83" i="1"/>
  <c r="U84" i="1"/>
  <c r="U81" i="1"/>
  <c r="U75" i="1"/>
  <c r="U76" i="1"/>
  <c r="U77" i="1"/>
  <c r="U78" i="1"/>
  <c r="U79" i="1"/>
  <c r="U74" i="1"/>
  <c r="U70" i="1"/>
  <c r="U71" i="1"/>
  <c r="U72" i="1"/>
  <c r="U69" i="1"/>
  <c r="U59" i="1"/>
  <c r="U60" i="1"/>
  <c r="U61" i="1"/>
  <c r="U62" i="1"/>
  <c r="U63" i="1"/>
  <c r="U65" i="1"/>
  <c r="U66" i="1"/>
  <c r="U67" i="1"/>
  <c r="U58" i="1"/>
  <c r="U56" i="1"/>
  <c r="U55" i="1"/>
  <c r="U53" i="1"/>
  <c r="U52" i="1"/>
  <c r="U45" i="1"/>
  <c r="U46" i="1"/>
  <c r="U47" i="1"/>
  <c r="U48" i="1"/>
  <c r="U49" i="1"/>
  <c r="U50" i="1"/>
  <c r="U44" i="1"/>
  <c r="U39" i="1"/>
  <c r="U40" i="1"/>
  <c r="U41" i="1"/>
  <c r="U38" i="1"/>
  <c r="U36" i="1"/>
  <c r="U34" i="1"/>
  <c r="U28" i="1"/>
  <c r="U26" i="1"/>
  <c r="U18" i="1"/>
  <c r="U19" i="1"/>
  <c r="U20" i="1"/>
  <c r="U21" i="1"/>
  <c r="U22" i="1"/>
  <c r="U23" i="1"/>
  <c r="U17" i="1"/>
  <c r="U15" i="1"/>
  <c r="U11" i="1"/>
  <c r="U12" i="1"/>
  <c r="U13" i="1"/>
  <c r="U10" i="1"/>
  <c r="Q82" i="1"/>
  <c r="Q83" i="1"/>
  <c r="Q84" i="1"/>
  <c r="Q81" i="1"/>
  <c r="Q75" i="1"/>
  <c r="Q76" i="1"/>
  <c r="Q77" i="1"/>
  <c r="Q78" i="1"/>
  <c r="Q79" i="1"/>
  <c r="Q74" i="1"/>
  <c r="Q70" i="1"/>
  <c r="Q71" i="1"/>
  <c r="Q72" i="1"/>
  <c r="Q69" i="1"/>
  <c r="Q59" i="1"/>
  <c r="Q60" i="1"/>
  <c r="Q61" i="1"/>
  <c r="Q62" i="1"/>
  <c r="Q63" i="1"/>
  <c r="Q66" i="1"/>
  <c r="Q67" i="1"/>
  <c r="Q58" i="1"/>
  <c r="Q56" i="1"/>
  <c r="Q55" i="1"/>
  <c r="Q53" i="1"/>
  <c r="Q52" i="1"/>
  <c r="Q45" i="1"/>
  <c r="Q46" i="1"/>
  <c r="Q47" i="1"/>
  <c r="Q48" i="1"/>
  <c r="Q49" i="1"/>
  <c r="Q50" i="1"/>
  <c r="Q44" i="1"/>
  <c r="Q39" i="1"/>
  <c r="Q40" i="1"/>
  <c r="Q41" i="1"/>
  <c r="Q42" i="1"/>
  <c r="Q38" i="1"/>
  <c r="Q36" i="1"/>
  <c r="Q34" i="1"/>
  <c r="Q28" i="1"/>
  <c r="Q26" i="1"/>
  <c r="Q18" i="1"/>
  <c r="Q19" i="1"/>
  <c r="Q20" i="1"/>
  <c r="Q21" i="1"/>
  <c r="Q22" i="1"/>
  <c r="Q23" i="1"/>
  <c r="Q17" i="1"/>
  <c r="Q15" i="1"/>
  <c r="Q11" i="1"/>
  <c r="Q12" i="1"/>
  <c r="Q13" i="1"/>
  <c r="Q10" i="1"/>
  <c r="M84" i="1"/>
  <c r="M83" i="1"/>
  <c r="M82" i="1"/>
  <c r="M81" i="1"/>
  <c r="M75" i="1"/>
  <c r="M76" i="1"/>
  <c r="M77" i="1"/>
  <c r="M78" i="1"/>
  <c r="M79" i="1"/>
  <c r="M74" i="1"/>
  <c r="M72" i="1"/>
  <c r="M71" i="1"/>
  <c r="M70" i="1"/>
  <c r="M69" i="1"/>
  <c r="M59" i="1"/>
  <c r="M60" i="1"/>
  <c r="M61" i="1"/>
  <c r="M62" i="1"/>
  <c r="M63" i="1"/>
  <c r="M65" i="1"/>
  <c r="M66" i="1"/>
  <c r="M67" i="1"/>
  <c r="M58" i="1"/>
  <c r="M56" i="1"/>
  <c r="M55" i="1"/>
  <c r="M53" i="1"/>
  <c r="M52" i="1"/>
  <c r="M45" i="1"/>
  <c r="M46" i="1"/>
  <c r="M47" i="1"/>
  <c r="M48" i="1"/>
  <c r="M49" i="1"/>
  <c r="M50" i="1"/>
  <c r="M44" i="1"/>
  <c r="M39" i="1"/>
  <c r="M40" i="1"/>
  <c r="M41" i="1"/>
  <c r="M42" i="1"/>
  <c r="M38" i="1"/>
  <c r="M36" i="1"/>
  <c r="M34" i="1"/>
  <c r="M28" i="1"/>
  <c r="M26" i="1"/>
  <c r="M18" i="1"/>
  <c r="M19" i="1"/>
  <c r="M20" i="1"/>
  <c r="M21" i="1"/>
  <c r="M22" i="1"/>
  <c r="M23" i="1"/>
  <c r="M17" i="1"/>
  <c r="M15" i="1"/>
  <c r="M11" i="1"/>
  <c r="M12" i="1"/>
  <c r="M13" i="1"/>
  <c r="M10" i="1"/>
  <c r="U25" i="1" l="1"/>
  <c r="M25" i="1"/>
  <c r="Q25" i="1"/>
  <c r="AC25" i="1"/>
  <c r="I82" i="1"/>
  <c r="I83" i="1"/>
  <c r="I84" i="1"/>
  <c r="I81" i="1"/>
  <c r="I75" i="1"/>
  <c r="I76" i="1"/>
  <c r="I77" i="1"/>
  <c r="I78" i="1"/>
  <c r="I79" i="1"/>
  <c r="I74" i="1"/>
  <c r="I70" i="1"/>
  <c r="I71" i="1"/>
  <c r="I72" i="1"/>
  <c r="I69" i="1"/>
  <c r="I59" i="1"/>
  <c r="I60" i="1"/>
  <c r="I61" i="1"/>
  <c r="I62" i="1"/>
  <c r="I63" i="1"/>
  <c r="I65" i="1"/>
  <c r="I66" i="1"/>
  <c r="I67" i="1"/>
  <c r="I58" i="1"/>
  <c r="I56" i="1"/>
  <c r="I55" i="1"/>
  <c r="I53" i="1"/>
  <c r="I52" i="1"/>
  <c r="I45" i="1"/>
  <c r="I46" i="1"/>
  <c r="I47" i="1"/>
  <c r="I48" i="1"/>
  <c r="I49" i="1"/>
  <c r="I50" i="1"/>
  <c r="I44" i="1"/>
  <c r="I39" i="1"/>
  <c r="I40" i="1"/>
  <c r="I41" i="1"/>
  <c r="I42" i="1"/>
  <c r="I38" i="1"/>
  <c r="I36" i="1"/>
  <c r="I34" i="1"/>
  <c r="I28" i="1"/>
  <c r="I26" i="1"/>
  <c r="I18" i="1"/>
  <c r="I19" i="1"/>
  <c r="I20" i="1"/>
  <c r="I21" i="1"/>
  <c r="I22" i="1"/>
  <c r="I23" i="1"/>
  <c r="I17" i="1"/>
  <c r="I15" i="1"/>
  <c r="I11" i="1"/>
  <c r="I12" i="1"/>
  <c r="I13" i="1"/>
  <c r="I10" i="1"/>
  <c r="AJ24" i="1"/>
  <c r="I25" i="1" l="1"/>
  <c r="AJ82" i="1"/>
  <c r="AJ83" i="1"/>
  <c r="AJ84" i="1"/>
  <c r="AJ75" i="1"/>
  <c r="AJ76" i="1"/>
  <c r="AJ77" i="1"/>
  <c r="AJ78" i="1"/>
  <c r="AJ79" i="1"/>
  <c r="AJ70" i="1"/>
  <c r="AJ71" i="1"/>
  <c r="AJ72" i="1"/>
  <c r="AJ81" i="1"/>
  <c r="AJ74" i="1"/>
  <c r="AJ69" i="1"/>
  <c r="AJ59" i="1"/>
  <c r="AJ60" i="1"/>
  <c r="AJ61" i="1"/>
  <c r="AJ62" i="1"/>
  <c r="AJ63" i="1"/>
  <c r="AJ65" i="1"/>
  <c r="AJ66" i="1"/>
  <c r="AJ67" i="1"/>
  <c r="AJ56" i="1"/>
  <c r="AJ53" i="1"/>
  <c r="AJ45" i="1"/>
  <c r="AJ46" i="1"/>
  <c r="AJ47" i="1"/>
  <c r="AJ48" i="1"/>
  <c r="AJ49" i="1"/>
  <c r="AJ50" i="1"/>
  <c r="AJ39" i="1"/>
  <c r="AJ40" i="1"/>
  <c r="AJ41" i="1"/>
  <c r="AJ42" i="1"/>
  <c r="AJ58" i="1"/>
  <c r="AJ55" i="1"/>
  <c r="AJ52" i="1"/>
  <c r="AJ44" i="1"/>
  <c r="AJ38" i="1"/>
  <c r="AJ36" i="1"/>
  <c r="AJ34" i="1"/>
  <c r="AJ28" i="1"/>
  <c r="AJ26" i="1"/>
  <c r="AJ18" i="1"/>
  <c r="AJ19" i="1"/>
  <c r="AJ20" i="1"/>
  <c r="AJ21" i="1"/>
  <c r="AJ22" i="1"/>
  <c r="AJ23" i="1"/>
  <c r="AJ11" i="1"/>
  <c r="AJ12" i="1"/>
  <c r="AJ13" i="1"/>
  <c r="AJ17" i="1"/>
  <c r="AJ10" i="1"/>
  <c r="AI82" i="1"/>
  <c r="AI83" i="1"/>
  <c r="AI84" i="1"/>
  <c r="AI75" i="1"/>
  <c r="AI76" i="1"/>
  <c r="AI77" i="1"/>
  <c r="AI78" i="1"/>
  <c r="AI79" i="1"/>
  <c r="AI74" i="1"/>
  <c r="AI70" i="1"/>
  <c r="AI71" i="1"/>
  <c r="AI72" i="1"/>
  <c r="AI69" i="1"/>
  <c r="AI59" i="1"/>
  <c r="AI60" i="1"/>
  <c r="AI61" i="1"/>
  <c r="AI62" i="1"/>
  <c r="AI63" i="1"/>
  <c r="AI65" i="1"/>
  <c r="AI66" i="1"/>
  <c r="AI67" i="1"/>
  <c r="AI58" i="1"/>
  <c r="AI56" i="1"/>
  <c r="AI55" i="1"/>
  <c r="AI53" i="1"/>
  <c r="AI52" i="1"/>
  <c r="AI45" i="1"/>
  <c r="AI46" i="1"/>
  <c r="AI47" i="1"/>
  <c r="AI48" i="1"/>
  <c r="AI49" i="1"/>
  <c r="AI50" i="1"/>
  <c r="AI44" i="1"/>
  <c r="AI39" i="1"/>
  <c r="AI40" i="1"/>
  <c r="AI41" i="1"/>
  <c r="AI42" i="1"/>
  <c r="AI38" i="1"/>
  <c r="AI36" i="1"/>
  <c r="AI34" i="1"/>
  <c r="AI28" i="1"/>
  <c r="AI18" i="1"/>
  <c r="AI19" i="1"/>
  <c r="AI20" i="1"/>
  <c r="AI21" i="1"/>
  <c r="AI22" i="1"/>
  <c r="AI23" i="1"/>
  <c r="AI17" i="1"/>
  <c r="AI12" i="1"/>
  <c r="AI13" i="1"/>
  <c r="AJ25" i="1" l="1"/>
  <c r="AK28" i="1"/>
  <c r="AK17" i="1"/>
  <c r="AK11" i="1"/>
  <c r="AK20" i="1"/>
  <c r="AK44" i="1"/>
  <c r="AK42" i="1"/>
  <c r="AK50" i="1"/>
  <c r="AK46" i="1"/>
  <c r="AK67" i="1"/>
  <c r="AK62" i="1"/>
  <c r="AK69" i="1"/>
  <c r="AK72" i="1"/>
  <c r="AK78" i="1"/>
  <c r="AK84" i="1"/>
  <c r="AK23" i="1"/>
  <c r="AK19" i="1"/>
  <c r="AK34" i="1"/>
  <c r="AK52" i="1"/>
  <c r="AK41" i="1"/>
  <c r="AK49" i="1"/>
  <c r="AK45" i="1"/>
  <c r="AK66" i="1"/>
  <c r="AK61" i="1"/>
  <c r="AK74" i="1"/>
  <c r="AK71" i="1"/>
  <c r="AK77" i="1"/>
  <c r="AK83" i="1"/>
  <c r="AK10" i="1"/>
  <c r="AK13" i="1"/>
  <c r="AK22" i="1"/>
  <c r="AK18" i="1"/>
  <c r="AK36" i="1"/>
  <c r="AK55" i="1"/>
  <c r="AK40" i="1"/>
  <c r="AK48" i="1"/>
  <c r="AK53" i="1"/>
  <c r="AK65" i="1"/>
  <c r="AK60" i="1"/>
  <c r="AK81" i="1"/>
  <c r="AK70" i="1"/>
  <c r="AK76" i="1"/>
  <c r="AK82" i="1"/>
  <c r="AK15" i="1"/>
  <c r="AK12" i="1"/>
  <c r="AK21" i="1"/>
  <c r="AK38" i="1"/>
  <c r="AK58" i="1"/>
  <c r="AK39" i="1"/>
  <c r="AK47" i="1"/>
  <c r="AK56" i="1"/>
  <c r="AK63" i="1"/>
  <c r="AK59" i="1"/>
  <c r="AK79" i="1"/>
  <c r="AK75" i="1"/>
  <c r="E12" i="3"/>
  <c r="J18" i="3"/>
  <c r="I18" i="3"/>
  <c r="D17" i="3"/>
  <c r="E14" i="3"/>
  <c r="F14" i="3" s="1"/>
  <c r="D12" i="3"/>
  <c r="E11" i="3"/>
  <c r="E10" i="3"/>
  <c r="E9" i="3"/>
  <c r="E8" i="3"/>
  <c r="E7" i="3"/>
  <c r="E6" i="3"/>
  <c r="E5" i="3"/>
  <c r="D18" i="3" l="1"/>
  <c r="F30" i="1" s="1"/>
  <c r="E18" i="3"/>
  <c r="F18" i="3"/>
  <c r="N30" i="1" s="1"/>
  <c r="G14" i="3"/>
  <c r="H14" i="3" l="1"/>
  <c r="H18" i="3" s="1"/>
  <c r="G18" i="3"/>
  <c r="AG80" i="1" l="1"/>
  <c r="AJ80" i="1"/>
  <c r="AK80" i="1"/>
  <c r="AL80" i="1"/>
  <c r="AG73" i="1"/>
  <c r="AI73" i="1"/>
  <c r="AJ73" i="1"/>
  <c r="AK73" i="1"/>
  <c r="AL73" i="1"/>
  <c r="AG68" i="1"/>
  <c r="AI68" i="1"/>
  <c r="AJ68" i="1"/>
  <c r="AK68" i="1"/>
  <c r="AL68" i="1"/>
  <c r="AG57" i="1"/>
  <c r="AI57" i="1"/>
  <c r="AJ57" i="1"/>
  <c r="AK57" i="1"/>
  <c r="AL57" i="1"/>
  <c r="AG54" i="1"/>
  <c r="AI54" i="1"/>
  <c r="AJ54" i="1"/>
  <c r="AK54" i="1"/>
  <c r="AL54" i="1"/>
  <c r="AG51" i="1"/>
  <c r="AI51" i="1"/>
  <c r="AJ51" i="1"/>
  <c r="AK51" i="1"/>
  <c r="AL51" i="1"/>
  <c r="AG43" i="1"/>
  <c r="AI43" i="1"/>
  <c r="AJ43" i="1"/>
  <c r="AK43" i="1"/>
  <c r="AL43" i="1"/>
  <c r="AG37" i="1"/>
  <c r="AI37" i="1"/>
  <c r="AJ37" i="1"/>
  <c r="AK37" i="1"/>
  <c r="AL37" i="1"/>
  <c r="AG35" i="1"/>
  <c r="AI35" i="1"/>
  <c r="AJ35" i="1"/>
  <c r="AK35" i="1"/>
  <c r="AL35" i="1"/>
  <c r="AG33" i="1"/>
  <c r="AI33" i="1"/>
  <c r="AI87" i="1" s="1"/>
  <c r="AJ33" i="1"/>
  <c r="AK33" i="1"/>
  <c r="AL33" i="1"/>
  <c r="AJ16" i="1"/>
  <c r="AL16" i="1"/>
  <c r="AG14" i="1"/>
  <c r="AI14" i="1"/>
  <c r="AJ14" i="1"/>
  <c r="AK14" i="1"/>
  <c r="AL14" i="1"/>
  <c r="AG9" i="1"/>
  <c r="AI9" i="1"/>
  <c r="AJ9" i="1"/>
  <c r="AK9" i="1"/>
  <c r="AL9" i="1"/>
  <c r="AG3" i="1"/>
  <c r="I80" i="1"/>
  <c r="K80" i="1"/>
  <c r="M80" i="1"/>
  <c r="O80" i="1"/>
  <c r="Q80" i="1"/>
  <c r="R80" i="1"/>
  <c r="S80" i="1"/>
  <c r="T80" i="1"/>
  <c r="U80" i="1"/>
  <c r="V80" i="1"/>
  <c r="W80" i="1"/>
  <c r="X80" i="1"/>
  <c r="Y80" i="1"/>
  <c r="Z80" i="1"/>
  <c r="AA80" i="1"/>
  <c r="AC80" i="1"/>
  <c r="AD80" i="1"/>
  <c r="I73" i="1"/>
  <c r="K73" i="1"/>
  <c r="M73" i="1"/>
  <c r="O73" i="1"/>
  <c r="Q73" i="1"/>
  <c r="R73" i="1"/>
  <c r="S73" i="1"/>
  <c r="T73" i="1"/>
  <c r="U73" i="1"/>
  <c r="V73" i="1"/>
  <c r="W73" i="1"/>
  <c r="X73" i="1"/>
  <c r="Y73" i="1"/>
  <c r="Z73" i="1"/>
  <c r="AA73" i="1"/>
  <c r="AC73" i="1"/>
  <c r="AD73" i="1"/>
  <c r="I68" i="1"/>
  <c r="K68" i="1"/>
  <c r="M68" i="1"/>
  <c r="O68" i="1"/>
  <c r="Q68" i="1"/>
  <c r="R68" i="1"/>
  <c r="S68" i="1"/>
  <c r="T68" i="1"/>
  <c r="U68" i="1"/>
  <c r="V68" i="1"/>
  <c r="W68" i="1"/>
  <c r="X68" i="1"/>
  <c r="Y68" i="1"/>
  <c r="Z68" i="1"/>
  <c r="AA68" i="1"/>
  <c r="AC68" i="1"/>
  <c r="AD68" i="1"/>
  <c r="I57" i="1"/>
  <c r="K57" i="1"/>
  <c r="M57" i="1"/>
  <c r="O57" i="1"/>
  <c r="Q57" i="1"/>
  <c r="R57" i="1"/>
  <c r="S57" i="1"/>
  <c r="T57" i="1"/>
  <c r="U57" i="1"/>
  <c r="V57" i="1"/>
  <c r="W57" i="1"/>
  <c r="X57" i="1"/>
  <c r="Y57" i="1"/>
  <c r="Z57" i="1"/>
  <c r="AA57" i="1"/>
  <c r="AC57" i="1"/>
  <c r="AD57" i="1"/>
  <c r="I54" i="1"/>
  <c r="K54" i="1"/>
  <c r="M54" i="1"/>
  <c r="O54" i="1"/>
  <c r="Q54" i="1"/>
  <c r="R54" i="1"/>
  <c r="S54" i="1"/>
  <c r="T54" i="1"/>
  <c r="U54" i="1"/>
  <c r="V54" i="1"/>
  <c r="W54" i="1"/>
  <c r="X54" i="1"/>
  <c r="Y54" i="1"/>
  <c r="Z54" i="1"/>
  <c r="AA54" i="1"/>
  <c r="AC54" i="1"/>
  <c r="AD54" i="1"/>
  <c r="G51" i="1"/>
  <c r="I51" i="1"/>
  <c r="K51" i="1"/>
  <c r="M51" i="1"/>
  <c r="O51" i="1"/>
  <c r="Q51" i="1"/>
  <c r="R51" i="1"/>
  <c r="S51" i="1"/>
  <c r="T51" i="1"/>
  <c r="U51" i="1"/>
  <c r="V51" i="1"/>
  <c r="W51" i="1"/>
  <c r="X51" i="1"/>
  <c r="Y51" i="1"/>
  <c r="Z51" i="1"/>
  <c r="AA51" i="1"/>
  <c r="AC51" i="1"/>
  <c r="AD51" i="1"/>
  <c r="I43" i="1"/>
  <c r="K43" i="1"/>
  <c r="M43" i="1"/>
  <c r="O43" i="1"/>
  <c r="Q43" i="1"/>
  <c r="R43" i="1"/>
  <c r="S43" i="1"/>
  <c r="T43" i="1"/>
  <c r="U43" i="1"/>
  <c r="V43" i="1"/>
  <c r="W43" i="1"/>
  <c r="X43" i="1"/>
  <c r="Y43" i="1"/>
  <c r="Z43" i="1"/>
  <c r="AA43" i="1"/>
  <c r="AC43" i="1"/>
  <c r="AD43" i="1"/>
  <c r="I37" i="1"/>
  <c r="K37" i="1"/>
  <c r="M37" i="1"/>
  <c r="O37" i="1"/>
  <c r="Q37" i="1"/>
  <c r="R37" i="1"/>
  <c r="S37" i="1"/>
  <c r="T37" i="1"/>
  <c r="U37" i="1"/>
  <c r="V37" i="1"/>
  <c r="W37" i="1"/>
  <c r="X37" i="1"/>
  <c r="Y37" i="1"/>
  <c r="Z37" i="1"/>
  <c r="AA37" i="1"/>
  <c r="AC37" i="1"/>
  <c r="AD37" i="1"/>
  <c r="I35" i="1"/>
  <c r="K35" i="1"/>
  <c r="M35" i="1"/>
  <c r="O35" i="1"/>
  <c r="Q35" i="1"/>
  <c r="R35" i="1"/>
  <c r="S35" i="1"/>
  <c r="T35" i="1"/>
  <c r="U35" i="1"/>
  <c r="V35" i="1"/>
  <c r="W35" i="1"/>
  <c r="X35" i="1"/>
  <c r="Y35" i="1"/>
  <c r="Z35" i="1"/>
  <c r="AA35" i="1"/>
  <c r="AC35" i="1"/>
  <c r="AD35" i="1"/>
  <c r="H33" i="1"/>
  <c r="H87" i="1" s="1"/>
  <c r="I33" i="1"/>
  <c r="J33" i="1"/>
  <c r="J87" i="1" s="1"/>
  <c r="K33" i="1"/>
  <c r="M33" i="1"/>
  <c r="M87" i="1" s="1"/>
  <c r="O33" i="1"/>
  <c r="P33" i="1"/>
  <c r="P87" i="1" s="1"/>
  <c r="Q33" i="1"/>
  <c r="R33" i="1"/>
  <c r="R87" i="1" s="1"/>
  <c r="S33" i="1"/>
  <c r="T33" i="1"/>
  <c r="U33" i="1"/>
  <c r="V33" i="1"/>
  <c r="V87" i="1" s="1"/>
  <c r="W33" i="1"/>
  <c r="X33" i="1"/>
  <c r="Y33" i="1"/>
  <c r="Z33" i="1"/>
  <c r="Z87" i="1" s="1"/>
  <c r="AA33" i="1"/>
  <c r="AB33" i="1"/>
  <c r="AB87" i="1" s="1"/>
  <c r="AC33" i="1"/>
  <c r="AD33" i="1"/>
  <c r="AD87" i="1" s="1"/>
  <c r="R16" i="1"/>
  <c r="T16" i="1"/>
  <c r="V16" i="1"/>
  <c r="X16" i="1"/>
  <c r="Z16" i="1"/>
  <c r="AD16" i="1"/>
  <c r="I14" i="1"/>
  <c r="K14" i="1"/>
  <c r="M14" i="1"/>
  <c r="O14" i="1"/>
  <c r="Q14" i="1"/>
  <c r="R14" i="1"/>
  <c r="S14" i="1"/>
  <c r="T14" i="1"/>
  <c r="U14" i="1"/>
  <c r="V14" i="1"/>
  <c r="W14" i="1"/>
  <c r="X14" i="1"/>
  <c r="Y14" i="1"/>
  <c r="Z14" i="1"/>
  <c r="AA14" i="1"/>
  <c r="AC14" i="1"/>
  <c r="AD14" i="1"/>
  <c r="I9" i="1"/>
  <c r="K9" i="1"/>
  <c r="M9" i="1"/>
  <c r="O9" i="1"/>
  <c r="Q9" i="1"/>
  <c r="R9" i="1"/>
  <c r="S9" i="1"/>
  <c r="T9" i="1"/>
  <c r="U9" i="1"/>
  <c r="V9" i="1"/>
  <c r="W9" i="1"/>
  <c r="X9" i="1"/>
  <c r="Y9" i="1"/>
  <c r="Z9" i="1"/>
  <c r="AA9" i="1"/>
  <c r="AC9" i="1"/>
  <c r="AD9" i="1"/>
  <c r="H3" i="1"/>
  <c r="I3" i="1"/>
  <c r="J3" i="1"/>
  <c r="K3" i="1"/>
  <c r="M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C87" i="1" l="1"/>
  <c r="Y87" i="1"/>
  <c r="Q87" i="1"/>
  <c r="AG87" i="1"/>
  <c r="AK87" i="1"/>
  <c r="X87" i="1"/>
  <c r="T87" i="1"/>
  <c r="U87" i="1"/>
  <c r="K87" i="1"/>
  <c r="AA87" i="1"/>
  <c r="W87" i="1"/>
  <c r="S87" i="1"/>
  <c r="O87" i="1"/>
  <c r="I87" i="1"/>
  <c r="AL87" i="1"/>
  <c r="AJ87" i="1"/>
  <c r="X30" i="1"/>
  <c r="H30" i="1"/>
  <c r="J30" i="1"/>
  <c r="AL30" i="1"/>
  <c r="S16" i="1"/>
  <c r="U24" i="1"/>
  <c r="U16" i="1" s="1"/>
  <c r="U30" i="1" s="1"/>
  <c r="W16" i="1"/>
  <c r="W30" i="1" s="1"/>
  <c r="Y24" i="1"/>
  <c r="Y16" i="1" s="1"/>
  <c r="Y30" i="1" s="1"/>
  <c r="K16" i="1"/>
  <c r="K30" i="1" s="1"/>
  <c r="M24" i="1"/>
  <c r="M16" i="1" s="1"/>
  <c r="M30" i="1" s="1"/>
  <c r="M89" i="1" s="1"/>
  <c r="AA16" i="1"/>
  <c r="AC24" i="1"/>
  <c r="AC16" i="1" s="1"/>
  <c r="AC30" i="1" s="1"/>
  <c r="O16" i="1"/>
  <c r="O30" i="1" s="1"/>
  <c r="Q24" i="1"/>
  <c r="Q16" i="1" s="1"/>
  <c r="Q30" i="1" s="1"/>
  <c r="AG24" i="1"/>
  <c r="AG16" i="1" s="1"/>
  <c r="AG30" i="1" s="1"/>
  <c r="AJ30" i="1"/>
  <c r="AB30" i="1"/>
  <c r="T30" i="1"/>
  <c r="P30" i="1"/>
  <c r="AA30" i="1"/>
  <c r="S30" i="1"/>
  <c r="AD30" i="1"/>
  <c r="Z30" i="1"/>
  <c r="V30" i="1"/>
  <c r="R30" i="1"/>
  <c r="AJ89" i="1" l="1"/>
  <c r="AB44" i="6" s="1"/>
  <c r="X89" i="1"/>
  <c r="Z89" i="1"/>
  <c r="R89" i="1"/>
  <c r="S44" i="6"/>
  <c r="S45" i="6" s="1"/>
  <c r="AL89" i="1"/>
  <c r="AF89" i="1"/>
  <c r="AD89" i="1"/>
  <c r="L89" i="1"/>
  <c r="V89" i="1"/>
  <c r="H89" i="1"/>
  <c r="T89" i="1"/>
  <c r="AB89" i="1"/>
  <c r="N89" i="1"/>
  <c r="J89" i="1"/>
  <c r="AH89" i="1"/>
  <c r="P89" i="1"/>
  <c r="M44" i="6" s="1"/>
  <c r="AG89" i="1"/>
  <c r="Y89" i="1"/>
  <c r="U89" i="1"/>
  <c r="Q89" i="1"/>
  <c r="O89" i="1"/>
  <c r="AC89" i="1"/>
  <c r="S89" i="1"/>
  <c r="K89" i="1"/>
  <c r="AA89" i="1"/>
  <c r="W89" i="1"/>
  <c r="AE89" i="1"/>
  <c r="M45" i="6" l="1"/>
  <c r="V44" i="6"/>
  <c r="P44" i="6"/>
  <c r="P45" i="6" s="1"/>
  <c r="J44" i="6"/>
  <c r="J45" i="6" s="1"/>
  <c r="G44" i="6"/>
  <c r="G45" i="6" s="1"/>
  <c r="Y44" i="6"/>
  <c r="Y45" i="6" s="1"/>
  <c r="I24" i="1"/>
  <c r="I16" i="1" s="1"/>
  <c r="I30" i="1" s="1"/>
  <c r="I89" i="1" s="1"/>
  <c r="AI24" i="1"/>
  <c r="G80" i="1"/>
  <c r="G73" i="1"/>
  <c r="G68" i="1"/>
  <c r="G54" i="1"/>
  <c r="G43" i="1"/>
  <c r="G37" i="1"/>
  <c r="G35" i="1"/>
  <c r="G33" i="1"/>
  <c r="G16" i="1"/>
  <c r="G14" i="1"/>
  <c r="G9" i="1"/>
  <c r="G3" i="1"/>
  <c r="G87" i="1" l="1"/>
  <c r="AK26" i="1"/>
  <c r="AK25" i="1" s="1"/>
  <c r="AK24" i="1"/>
  <c r="AK16" i="1" s="1"/>
  <c r="AI16" i="1"/>
  <c r="F89" i="1"/>
  <c r="G30" i="1"/>
  <c r="AK30" i="1" l="1"/>
  <c r="AK89" i="1" s="1"/>
  <c r="D89" i="1"/>
  <c r="AI30" i="1"/>
  <c r="AI89" i="1" s="1"/>
  <c r="E89" i="1"/>
  <c r="G89" i="1"/>
  <c r="V16" i="6"/>
  <c r="W27" i="6"/>
  <c r="V22" i="6" l="1"/>
  <c r="AB16" i="6"/>
  <c r="D44" i="6"/>
  <c r="W42" i="6"/>
  <c r="V27" i="6"/>
  <c r="V42" i="6" l="1"/>
  <c r="V43" i="6" l="1"/>
  <c r="AB45" i="6" s="1"/>
  <c r="V45" i="6" l="1"/>
  <c r="AC27" i="6" l="1"/>
  <c r="AC42" i="6" l="1"/>
  <c r="D4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Vincent Woudenberg</author>
    <author>Rutger Pijnappel</author>
  </authors>
  <commentList>
    <comment ref="N4" authorId="0" shapeId="0" xr:uid="{97451924-1A61-40EE-8EDE-B1788FA0922E}">
      <text>
        <r>
          <rPr>
            <b/>
            <sz val="9"/>
            <color indexed="81"/>
            <rFont val="Tahoma"/>
            <family val="2"/>
          </rPr>
          <t>Vincent Woudenberg:</t>
        </r>
        <r>
          <rPr>
            <sz val="9"/>
            <color indexed="81"/>
            <rFont val="Tahoma"/>
            <family val="2"/>
          </rPr>
          <t xml:space="preserve">
Ledenaantallen aangepast door de handbal, contributie 2% verhoogd, afgestemd met ledenadmin.</t>
        </r>
      </text>
    </comment>
    <comment ref="J7" authorId="1" shapeId="0" xr:uid="{8FFFD063-604C-495D-A7B9-B4DB158D3D82}">
      <text>
        <r>
          <rPr>
            <b/>
            <sz val="9"/>
            <color indexed="81"/>
            <rFont val="Tahoma"/>
            <charset val="1"/>
          </rPr>
          <t>Rutger Pijnappel:</t>
        </r>
        <r>
          <rPr>
            <sz val="9"/>
            <color indexed="81"/>
            <rFont val="Tahoma"/>
            <charset val="1"/>
          </rPr>
          <t xml:space="preserve">
Sponsit overzicht + 750 extra sponsor</t>
        </r>
      </text>
    </comment>
    <comment ref="H8" authorId="1" shapeId="0" xr:uid="{DC9300E5-AB63-4AD2-AFDC-21A50BC89E6C}">
      <text>
        <r>
          <rPr>
            <b/>
            <sz val="9"/>
            <color indexed="81"/>
            <rFont val="Tahoma"/>
            <charset val="1"/>
          </rPr>
          <t>Rutger Pijnappel:</t>
        </r>
        <r>
          <rPr>
            <sz val="9"/>
            <color indexed="81"/>
            <rFont val="Tahoma"/>
            <charset val="1"/>
          </rPr>
          <t xml:space="preserve">
244,80 storting entree 1e 3 wedstrijden kwijt</t>
        </r>
      </text>
    </comment>
    <comment ref="H13" authorId="1" shapeId="0" xr:uid="{21C56373-9447-4EED-BFB2-7ABE8AC59D0A}">
      <text>
        <r>
          <rPr>
            <b/>
            <sz val="9"/>
            <color indexed="81"/>
            <rFont val="Tahoma"/>
            <charset val="1"/>
          </rPr>
          <t>Rutger Pijnappel:</t>
        </r>
        <r>
          <rPr>
            <sz val="9"/>
            <color indexed="81"/>
            <rFont val="Tahoma"/>
            <charset val="1"/>
          </rPr>
          <t xml:space="preserve">
332,00 storting verloting 1e 3 wedstrijden kwijt</t>
        </r>
      </text>
    </comment>
    <comment ref="H24" authorId="1" shapeId="0" xr:uid="{5188F4AF-AD1D-40A3-82B0-3A2422452793}">
      <text>
        <r>
          <rPr>
            <b/>
            <sz val="9"/>
            <color indexed="81"/>
            <rFont val="Tahoma"/>
            <charset val="1"/>
          </rPr>
          <t>Rutger Pijnappel:</t>
        </r>
        <r>
          <rPr>
            <sz val="9"/>
            <color indexed="81"/>
            <rFont val="Tahoma"/>
            <charset val="1"/>
          </rPr>
          <t xml:space="preserve">
Grolsch bonus 1,5 jaar. 9985,87 = 2018 ; 4715,37 = 2019 1e halfjaar.
Omzetverdeling:
ABBA 1280,34
2018 2e halfjaar 2095,60
2019 1e halfjaar 4062,80 -/- 566,40 voetbalquiz alpe dhuzes = 3496,40
</t>
        </r>
      </text>
    </comment>
    <comment ref="J24" authorId="1" shapeId="0" xr:uid="{31294254-1842-4261-9827-2CC64AA3F5D9}">
      <text>
        <r>
          <rPr>
            <b/>
            <sz val="9"/>
            <color indexed="81"/>
            <rFont val="Tahoma"/>
            <charset val="1"/>
          </rPr>
          <t>Rutger Pijnappel:</t>
        </r>
        <r>
          <rPr>
            <sz val="9"/>
            <color indexed="81"/>
            <rFont val="Tahoma"/>
            <charset val="1"/>
          </rPr>
          <t xml:space="preserve">
10K grolsch bonus
6,5K activiteiten omzetverdeling</t>
        </r>
      </text>
    </comment>
    <comment ref="J37" authorId="1" shapeId="0" xr:uid="{03226764-552D-4F8A-8D6B-00C612DC22AE}">
      <text>
        <r>
          <rPr>
            <b/>
            <sz val="9"/>
            <color indexed="81"/>
            <rFont val="Tahoma"/>
            <charset val="1"/>
          </rPr>
          <t>Rutger Pijnappel:</t>
        </r>
        <r>
          <rPr>
            <sz val="9"/>
            <color indexed="81"/>
            <rFont val="Tahoma"/>
            <charset val="1"/>
          </rPr>
          <t xml:space="preserve">
Zie salaris bestand</t>
        </r>
      </text>
    </comment>
    <comment ref="J41" authorId="1" shapeId="0" xr:uid="{ED135FAC-024F-4394-9B4E-80658A60D811}">
      <text>
        <r>
          <rPr>
            <b/>
            <sz val="9"/>
            <color indexed="81"/>
            <rFont val="Tahoma"/>
            <charset val="1"/>
          </rPr>
          <t>Rutger Pijnappel:</t>
        </r>
        <r>
          <rPr>
            <sz val="9"/>
            <color indexed="81"/>
            <rFont val="Tahoma"/>
            <charset val="1"/>
          </rPr>
          <t xml:space="preserve">
500 scheidsrechter
500 cursus jeugdtrainers
1380 Menno
250 scheidsrechters pupillen
140 EHBO cursus Michel</t>
        </r>
      </text>
    </comment>
    <comment ref="J46" authorId="1" shapeId="0" xr:uid="{EB5E35B3-9067-4FDB-A965-3419383FB01F}">
      <text>
        <r>
          <rPr>
            <b/>
            <sz val="9"/>
            <color indexed="81"/>
            <rFont val="Tahoma"/>
            <charset val="1"/>
          </rPr>
          <t>Rutger Pijnappel:</t>
        </r>
        <r>
          <rPr>
            <sz val="9"/>
            <color indexed="81"/>
            <rFont val="Tahoma"/>
            <charset val="1"/>
          </rPr>
          <t xml:space="preserve">
1412 * 4 voorschot MFC
-/- besparing LED a 2035</t>
        </r>
      </text>
    </comment>
    <comment ref="J55" authorId="1" shapeId="0" xr:uid="{35F64683-134A-42EB-AE54-34C9CEE697D8}">
      <text>
        <r>
          <rPr>
            <b/>
            <sz val="9"/>
            <color indexed="81"/>
            <rFont val="Tahoma"/>
            <charset val="1"/>
          </rPr>
          <t>Rutger Pijnappel:</t>
        </r>
        <r>
          <rPr>
            <sz val="9"/>
            <color indexed="81"/>
            <rFont val="Tahoma"/>
            <charset val="1"/>
          </rPr>
          <t xml:space="preserve">
Kosten 2018-2019 + extra 1153 ivm LED verlichting</t>
        </r>
      </text>
    </comment>
    <comment ref="J58" authorId="1" shapeId="0" xr:uid="{50CFE9B8-D670-4B10-ADC6-E3911C23CA4D}">
      <text>
        <r>
          <rPr>
            <b/>
            <sz val="9"/>
            <color indexed="81"/>
            <rFont val="Tahoma"/>
            <charset val="1"/>
          </rPr>
          <t>Rutger Pijnappel:</t>
        </r>
        <r>
          <rPr>
            <sz val="9"/>
            <color indexed="81"/>
            <rFont val="Tahoma"/>
            <charset val="1"/>
          </rPr>
          <t xml:space="preserve">
Zie begroting spelmaterialen</t>
        </r>
      </text>
    </comment>
    <comment ref="J59" authorId="1" shapeId="0" xr:uid="{6CD32CDD-0026-44EA-A6BC-D4E093717785}">
      <text>
        <r>
          <rPr>
            <b/>
            <sz val="9"/>
            <color indexed="81"/>
            <rFont val="Tahoma"/>
            <charset val="1"/>
          </rPr>
          <t>Rutger Pijnappel:</t>
        </r>
        <r>
          <rPr>
            <sz val="9"/>
            <color indexed="81"/>
            <rFont val="Tahoma"/>
            <charset val="1"/>
          </rPr>
          <t xml:space="preserve">
Zie begroting kledingkosten</t>
        </r>
      </text>
    </comment>
    <comment ref="J60" authorId="1" shapeId="0" xr:uid="{01FDC7BB-27CE-4D11-A066-F36BC4972F28}">
      <text>
        <r>
          <rPr>
            <b/>
            <sz val="9"/>
            <color indexed="81"/>
            <rFont val="Tahoma"/>
            <charset val="1"/>
          </rPr>
          <t>Rutger Pijnappel:</t>
        </r>
        <r>
          <rPr>
            <sz val="9"/>
            <color indexed="81"/>
            <rFont val="Tahoma"/>
            <charset val="1"/>
          </rPr>
          <t xml:space="preserve">
Zie begroting teambuilding/wasvergoeding</t>
        </r>
      </text>
    </comment>
    <comment ref="J61" authorId="1" shapeId="0" xr:uid="{DD42FDE7-4F66-4E70-A519-ACA608EF3049}">
      <text>
        <r>
          <rPr>
            <b/>
            <sz val="9"/>
            <color indexed="81"/>
            <rFont val="Tahoma"/>
            <charset val="1"/>
          </rPr>
          <t>Rutger Pijnappel:</t>
        </r>
        <r>
          <rPr>
            <sz val="9"/>
            <color indexed="81"/>
            <rFont val="Tahoma"/>
            <charset val="1"/>
          </rPr>
          <t xml:space="preserve">
Vrijwilligersvergoeding 275 p.m. + 750 Framo</t>
        </r>
      </text>
    </comment>
    <comment ref="J62" authorId="1" shapeId="0" xr:uid="{441BDE21-DAEC-4334-8005-92348BB396F3}">
      <text>
        <r>
          <rPr>
            <b/>
            <sz val="9"/>
            <color indexed="81"/>
            <rFont val="Tahoma"/>
            <charset val="1"/>
          </rPr>
          <t>Rutger Pijnappel:</t>
        </r>
        <r>
          <rPr>
            <sz val="9"/>
            <color indexed="81"/>
            <rFont val="Tahoma"/>
            <charset val="1"/>
          </rPr>
          <t xml:space="preserve">
12*75,00 busje
12*35,00 benzine</t>
        </r>
      </text>
    </comment>
    <comment ref="J64" authorId="1" shapeId="0" xr:uid="{FE02FD7D-055D-44BD-A117-D4D165CC7BD7}">
      <text>
        <r>
          <rPr>
            <b/>
            <sz val="9"/>
            <color indexed="81"/>
            <rFont val="Tahoma"/>
            <charset val="1"/>
          </rPr>
          <t>Rutger Pijnappel:</t>
        </r>
        <r>
          <rPr>
            <sz val="9"/>
            <color indexed="81"/>
            <rFont val="Tahoma"/>
            <charset val="1"/>
          </rPr>
          <t xml:space="preserve">
Veel meer deelnemers en dus ook kosten. Resultaat VBD +/- 1000,-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Vincent Woudenberg</author>
    <author>Microsoft Office User</author>
  </authors>
  <commentList>
    <comment ref="A39" authorId="0" shapeId="0" xr:uid="{255EE376-BF2E-4693-9CBC-5E52838F16AB}">
      <text>
        <r>
          <rPr>
            <b/>
            <sz val="9"/>
            <color indexed="81"/>
            <rFont val="Tahoma"/>
            <family val="2"/>
          </rPr>
          <t>Vincent Woudenberg:</t>
        </r>
        <r>
          <rPr>
            <sz val="9"/>
            <color indexed="81"/>
            <rFont val="Tahoma"/>
            <family val="2"/>
          </rPr>
          <t xml:space="preserve">
Crediteuren</t>
        </r>
      </text>
    </comment>
    <comment ref="Z39" authorId="1" shapeId="0" xr:uid="{74BFA86F-DBCC-41B3-855F-EB96872E6B0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LET OP IS BETAALDE FACTUUR VOOR BEACHTENNIS MATERIIALEN.
</t>
        </r>
        <r>
          <rPr>
            <sz val="10"/>
            <color rgb="FF000000"/>
            <rFont val="Tahoma"/>
            <family val="2"/>
          </rPr>
          <t xml:space="preserve"> EN VELD 2019=8-2019 DEEL 1.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Tevens trainers, zijn na 30-6-2019 betaald. + reeds ontvangen geld € 345,- van leden. 2019-2020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Vincent Woudenberg</author>
  </authors>
  <commentList>
    <comment ref="J2" authorId="0" shapeId="0" xr:uid="{2CFEB857-F9DE-417E-8264-F33B244E5673}">
      <text>
        <r>
          <rPr>
            <b/>
            <sz val="9"/>
            <color indexed="81"/>
            <rFont val="Tahoma"/>
            <family val="2"/>
          </rPr>
          <t>Vincent Woudenberg:</t>
        </r>
        <r>
          <rPr>
            <sz val="9"/>
            <color indexed="81"/>
            <rFont val="Tahoma"/>
            <family val="2"/>
          </rPr>
          <t xml:space="preserve">
€ 500,- de € 113,- voor iedere deelnemer van de racetoertocht vervalt</t>
        </r>
      </text>
    </comment>
  </commentList>
</comments>
</file>

<file path=xl/sharedStrings.xml><?xml version="1.0" encoding="utf-8"?>
<sst xmlns="http://schemas.openxmlformats.org/spreadsheetml/2006/main" count="382" uniqueCount="221">
  <si>
    <t>Contributies en donateurs</t>
  </si>
  <si>
    <t>Contributie</t>
  </si>
  <si>
    <t>Donateurs</t>
  </si>
  <si>
    <t>Sponsoring en entreegeld</t>
  </si>
  <si>
    <t>Sponsorbijdragen</t>
  </si>
  <si>
    <t>Entreegelden</t>
  </si>
  <si>
    <t>Acties / loterijen</t>
  </si>
  <si>
    <t>Nationale lotto</t>
  </si>
  <si>
    <t>Activiteiten jeugd           (inleggeld jeugdkamp)</t>
  </si>
  <si>
    <t>Activiteiten vereniging   (inschrijfgeld crossloop)</t>
  </si>
  <si>
    <t>Overige akties</t>
  </si>
  <si>
    <t>Subsidies</t>
  </si>
  <si>
    <t>Diverse baten</t>
  </si>
  <si>
    <t>Interest</t>
  </si>
  <si>
    <t>Boete spelers</t>
  </si>
  <si>
    <t>Erfpacht ondergrond MFC</t>
  </si>
  <si>
    <t>Energie (verrekening met MFC)</t>
  </si>
  <si>
    <t xml:space="preserve">Overige opbrengsten </t>
  </si>
  <si>
    <t>Opbrengsten wasgeld</t>
  </si>
  <si>
    <t>Resterende koepelkosten</t>
  </si>
  <si>
    <t>Horeca inkomsten</t>
  </si>
  <si>
    <t>Horeca verkopen aan derden</t>
  </si>
  <si>
    <t>Verhuur accommodatie</t>
  </si>
  <si>
    <t>Totaal</t>
  </si>
  <si>
    <t>Lasten</t>
  </si>
  <si>
    <t>0000</t>
  </si>
  <si>
    <t>Afschrijvingen</t>
  </si>
  <si>
    <t>Afschrijvingen volgens bijlage</t>
  </si>
  <si>
    <t>Voorzieningen</t>
  </si>
  <si>
    <t>Voorzieningen (ook voor energiebesparing)</t>
  </si>
  <si>
    <t>Personeelskosten</t>
  </si>
  <si>
    <t>Bruto salaris                (= incl. werknemerslasten)</t>
  </si>
  <si>
    <t>Sociale lasten          (aanvullende werkgeverslasten)</t>
  </si>
  <si>
    <t>Onbelaste vergoedingen</t>
  </si>
  <si>
    <t>Opleidingskosten</t>
  </si>
  <si>
    <t>Vrijwilligersvergoeding</t>
  </si>
  <si>
    <t>Huisvestingskosten (gebouwen)</t>
  </si>
  <si>
    <t>Schoonmaakkosten vrijwilligers</t>
  </si>
  <si>
    <t>Huur gebouwen / zaal</t>
  </si>
  <si>
    <t>Electra, gas en water</t>
  </si>
  <si>
    <t>Belastingen gebouwen (WOZ etc.)</t>
  </si>
  <si>
    <t>Verzekeringen (algemeen)</t>
  </si>
  <si>
    <t>Onderhoud gebouwen</t>
  </si>
  <si>
    <t>Doorbelaste kosten van het MFC</t>
  </si>
  <si>
    <t>Bureaukosten</t>
  </si>
  <si>
    <t>Automatisering / internet</t>
  </si>
  <si>
    <t>Overige bureaukosten</t>
  </si>
  <si>
    <t>Accomodatiekosten (veldkosten)</t>
  </si>
  <si>
    <t>Huur sportvelden</t>
  </si>
  <si>
    <t>BTW accomodatiekosten</t>
  </si>
  <si>
    <t>Wedstrijdkosten</t>
  </si>
  <si>
    <t>Spelmaterialen</t>
  </si>
  <si>
    <t>Kledingkosten</t>
  </si>
  <si>
    <t>Wasvergoeding</t>
  </si>
  <si>
    <t>Medische kosten</t>
  </si>
  <si>
    <t>Vervoer- en verblijfkosten</t>
  </si>
  <si>
    <t>Toernooien</t>
  </si>
  <si>
    <t>Zaalhuur</t>
  </si>
  <si>
    <t>Kosten KNVB</t>
  </si>
  <si>
    <t>Overige wedstrijdkosten 
(kosten KNSB, Voorster Cup, NTFU, Nevobo, KNHB, etc.)</t>
  </si>
  <si>
    <t>Bestuur en commissiekosten</t>
  </si>
  <si>
    <t>Bestuurskosten</t>
  </si>
  <si>
    <t>Activiteiten jeugd</t>
  </si>
  <si>
    <t>Activiteiten vereniging</t>
  </si>
  <si>
    <t>Sponsorcommissie</t>
  </si>
  <si>
    <t>Diverse lasten</t>
  </si>
  <si>
    <t>Kosten reclameborden ed</t>
  </si>
  <si>
    <t>Kosten acties / loterijen</t>
  </si>
  <si>
    <t>Overige kosten</t>
  </si>
  <si>
    <t>Verrekening omzetresultaat evenementen</t>
  </si>
  <si>
    <t>Doorrekening (resterende) koepelkosten</t>
  </si>
  <si>
    <t>Kosten Rabobank</t>
  </si>
  <si>
    <t>Horecakosten</t>
  </si>
  <si>
    <t>Inkoop drank en etenswaren</t>
  </si>
  <si>
    <t>Eigen gebruik bestuur/commissie/trainers</t>
  </si>
  <si>
    <t>Eigen gebruik horecapersoneel</t>
  </si>
  <si>
    <t>Overige horecakosten</t>
  </si>
  <si>
    <t>Resultaat volgens dit overzicht</t>
  </si>
  <si>
    <t>Baten</t>
  </si>
  <si>
    <t>Begroting 2017-2018</t>
  </si>
  <si>
    <t>Vereniging</t>
  </si>
  <si>
    <t>Totaal Baten</t>
  </si>
  <si>
    <t>Totaal lasten</t>
  </si>
  <si>
    <t>Voetbal</t>
  </si>
  <si>
    <t>Werkelijk 2017-2018</t>
  </si>
  <si>
    <t>Verschil 2017-2018</t>
  </si>
  <si>
    <t>Begroting 2018-2019</t>
  </si>
  <si>
    <t>Handbal</t>
  </si>
  <si>
    <t>Volleybal</t>
  </si>
  <si>
    <t>Gymnastiek</t>
  </si>
  <si>
    <t>Biljart</t>
  </si>
  <si>
    <t>Fietsen</t>
  </si>
  <si>
    <t>Beach</t>
  </si>
  <si>
    <t>Voetbal zaal</t>
  </si>
  <si>
    <t>Voetbaljunior</t>
  </si>
  <si>
    <t>Voetbalpupillen</t>
  </si>
  <si>
    <t>Voetbal senioren</t>
  </si>
  <si>
    <t>Voetbalsponsoring</t>
  </si>
  <si>
    <t>Voetbalvrouwensponsoring</t>
  </si>
  <si>
    <t>Website</t>
  </si>
  <si>
    <t>Reclameborden (sporthal)</t>
  </si>
  <si>
    <t>Sponsoring flatscreen</t>
  </si>
  <si>
    <t>Reclameborden (aanschaf sporthal)</t>
  </si>
  <si>
    <t>Volgens Sponit</t>
  </si>
  <si>
    <t>Verschil</t>
  </si>
  <si>
    <t>Reclameborden (aanschaf hoofdveld)</t>
  </si>
  <si>
    <t>Reclameborden (hoofdveld)</t>
  </si>
  <si>
    <t>Grootboek- rekening</t>
  </si>
  <si>
    <t>DEBET</t>
  </si>
  <si>
    <t>Duurzame activa</t>
  </si>
  <si>
    <t>0005</t>
  </si>
  <si>
    <t>Grond en terreinen</t>
  </si>
  <si>
    <t>0010+0011</t>
  </si>
  <si>
    <t>Gebouwen/installaties</t>
  </si>
  <si>
    <t>0020+0021</t>
  </si>
  <si>
    <t>Inventarissen kantine</t>
  </si>
  <si>
    <t>0060+0061</t>
  </si>
  <si>
    <t>Lichtinstallatie</t>
  </si>
  <si>
    <t xml:space="preserve">Vlottende activa </t>
  </si>
  <si>
    <t>0210</t>
  </si>
  <si>
    <t>Voorraad kantine + emballage</t>
  </si>
  <si>
    <t>3525</t>
  </si>
  <si>
    <t>Omzetbelasting</t>
  </si>
  <si>
    <t>0540</t>
  </si>
  <si>
    <t>Nog te ontv / vooruit bet kosten / obligaties</t>
  </si>
  <si>
    <t>Liquide middelen</t>
  </si>
  <si>
    <t>1010+1015</t>
  </si>
  <si>
    <t>Kas (beheerd door penningmeester)</t>
  </si>
  <si>
    <t>1020+1040</t>
  </si>
  <si>
    <t>Rabobank (lopende + evt spaarrekening)</t>
  </si>
  <si>
    <t>Totaal DEBET</t>
  </si>
  <si>
    <t>CREDIT</t>
  </si>
  <si>
    <t>Eigen vermogen</t>
  </si>
  <si>
    <t>2390</t>
  </si>
  <si>
    <t>Ledenkapitaal / eigen vermogen</t>
  </si>
  <si>
    <t>2030</t>
  </si>
  <si>
    <t>Reservering tbv energie besparende maatregelen</t>
  </si>
  <si>
    <t>Vlottende pasiva</t>
  </si>
  <si>
    <t>3511</t>
  </si>
  <si>
    <t>Restant omzet en loonbelasting vorig seizoen</t>
  </si>
  <si>
    <t>3540</t>
  </si>
  <si>
    <t>Nog te betalen / vooruit ontv kosten</t>
  </si>
  <si>
    <t>Totaal CREDIT</t>
  </si>
  <si>
    <t>Resultaat</t>
  </si>
  <si>
    <t>Controleregel van exploitatierekening</t>
  </si>
  <si>
    <t>Voetbaldagen</t>
  </si>
  <si>
    <t>Overige horeca inkomsten</t>
  </si>
  <si>
    <t>Frequentie</t>
  </si>
  <si>
    <t>Aantal leden</t>
  </si>
  <si>
    <t>voetbal</t>
  </si>
  <si>
    <t>handbal</t>
  </si>
  <si>
    <t>volleybal</t>
  </si>
  <si>
    <t>gymnastiek</t>
  </si>
  <si>
    <t>biljart</t>
  </si>
  <si>
    <t>fietsen</t>
  </si>
  <si>
    <t>Afdeling biljart</t>
  </si>
  <si>
    <t>per kwartaal</t>
  </si>
  <si>
    <t>Afdeling fietsen</t>
  </si>
  <si>
    <t>M-lid (= al lid van andere vereniging)</t>
  </si>
  <si>
    <t>18 jaar en ouder</t>
  </si>
  <si>
    <t>t/m 17 jaar</t>
  </si>
  <si>
    <t>Afdeling schaatsen</t>
  </si>
  <si>
    <t>per jaar</t>
  </si>
  <si>
    <t>Afdeling voetbal</t>
  </si>
  <si>
    <t>Vriend van SCK</t>
  </si>
  <si>
    <t>Veterinnen</t>
  </si>
  <si>
    <t>35+ / 45+</t>
  </si>
  <si>
    <t>12 t/m 17 jaar</t>
  </si>
  <si>
    <t>t/m 11 jaar</t>
  </si>
  <si>
    <t>Zaalvoetbal</t>
  </si>
  <si>
    <t>Recreanten</t>
  </si>
  <si>
    <t>Recreanten competitie</t>
  </si>
  <si>
    <t>Recreanten geen competitie</t>
  </si>
  <si>
    <t>12 t/m 17 jaar (2*trainen)</t>
  </si>
  <si>
    <t>Afdeling gymnastiek 
(inclusief dansen en aerobics)</t>
  </si>
  <si>
    <t>(Ook lid van een 2e sport binnen afdeling)</t>
  </si>
  <si>
    <t>Aantal actieve leden</t>
  </si>
  <si>
    <t>Wasgeld per kwartaal</t>
  </si>
  <si>
    <t>Vorderingen op lange termijn</t>
  </si>
  <si>
    <t>Lening MFC</t>
  </si>
  <si>
    <t>0105</t>
  </si>
  <si>
    <t>0110</t>
  </si>
  <si>
    <t>Lening Vereniging</t>
  </si>
  <si>
    <t>Schulden op lange termijn</t>
  </si>
  <si>
    <t>Lening afdeling biljart</t>
  </si>
  <si>
    <t>3005</t>
  </si>
  <si>
    <t>3010</t>
  </si>
  <si>
    <t>Lening afdeling fietsen</t>
  </si>
  <si>
    <t>3015</t>
  </si>
  <si>
    <t>Lening afdeling gymnastiek</t>
  </si>
  <si>
    <t>3020</t>
  </si>
  <si>
    <t>Lening afdeling handbal</t>
  </si>
  <si>
    <t>3025</t>
  </si>
  <si>
    <t>Lening afdeling volleybal</t>
  </si>
  <si>
    <t>0550</t>
  </si>
  <si>
    <t>Overige vorderingen (omzet evenementen)</t>
  </si>
  <si>
    <t>3590</t>
  </si>
  <si>
    <t>Overige korte termijn schulden</t>
  </si>
  <si>
    <t>Afdeling volleybal (contributie 2% verhoogd)</t>
  </si>
  <si>
    <t>0015+0016</t>
  </si>
  <si>
    <t>PV Panelen</t>
  </si>
  <si>
    <t>Netto salaris</t>
  </si>
  <si>
    <t>3530</t>
  </si>
  <si>
    <t>Afdeling handbal (contributie 2% verhoogd)</t>
  </si>
  <si>
    <t>4010 / 4020</t>
  </si>
  <si>
    <t>Werkelijk 2018-2019</t>
  </si>
  <si>
    <t>Verschil 2018-2019</t>
  </si>
  <si>
    <t>Begroting 2019-2020</t>
  </si>
  <si>
    <t>Mutaties 2018-2019</t>
  </si>
  <si>
    <t xml:space="preserve">Bouwcenter Nobel (€ 200,-) staat onder flatscreen sponsoring en reclamebord hoofdveld. </t>
  </si>
  <si>
    <t xml:space="preserve">Annatomie (€ 250,-) staat onder reclamebord hoofdveld en reclamebord sporthal. </t>
  </si>
  <si>
    <t>Reclamebord Beachveld</t>
  </si>
  <si>
    <t>Verrekening omzetsresultaat (nieuwe regeling)</t>
  </si>
  <si>
    <t>18 jaar en ouder (2x trainen)</t>
  </si>
  <si>
    <t>192 18+ - 17 veterinnen - 30 35/45+</t>
  </si>
  <si>
    <t>45 18+ - 14 recreanten</t>
  </si>
  <si>
    <t>65 18+ - 10 recreanten geen comp - 22 recreanten competitie</t>
  </si>
  <si>
    <t>Balans Vereniging en Sportclub Totaal Seizoen 2018 - 2019</t>
  </si>
  <si>
    <t>Verrekening horeca verkopen</t>
  </si>
  <si>
    <t>Verschillen / afrondingen</t>
  </si>
  <si>
    <t>Betalingsverschillen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</si>
</sst>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sz val="16"/>
      <color theme="1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1">
    <xf numFmtId="0" fontId="0" fillId="0" borderId="0" xfId="0"/>
    <xf numFmtId="41" fontId="0" fillId="0" borderId="0" xfId="0" applyNumberFormat="1"/>
    <xf numFmtId="0" fontId="1" fillId="0" borderId="0" xfId="0" applyFont="1" applyAlignment="1">
      <alignment horizontal="center"/>
    </xf>
    <xf numFmtId="41" fontId="1" fillId="0" borderId="0" xfId="0" applyNumberFormat="1" applyFont="1" applyAlignment="1">
      <alignment horizontal="center" wrapText="1"/>
    </xf>
    <xf numFmtId="0" fontId="1" fillId="4" borderId="0" xfId="0" applyFont="1" applyFill="1"/>
    <xf numFmtId="41" fontId="1" fillId="4" borderId="0" xfId="0" applyNumberFormat="1" applyFont="1" applyFill="1"/>
    <xf numFmtId="0" fontId="0" fillId="4" borderId="0" xfId="0" applyFill="1"/>
    <xf numFmtId="0" fontId="1" fillId="0" borderId="0" xfId="0" applyFont="1" applyAlignment="1">
      <alignment horizontal="center" wrapText="1"/>
    </xf>
    <xf numFmtId="0" fontId="0" fillId="0" borderId="0" xfId="0" applyFill="1"/>
    <xf numFmtId="49" fontId="1" fillId="4" borderId="0" xfId="0" applyNumberFormat="1" applyFont="1" applyFill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2" fontId="0" fillId="5" borderId="1" xfId="0" applyNumberFormat="1" applyFill="1" applyBorder="1" applyAlignment="1">
      <alignment vertical="center"/>
    </xf>
    <xf numFmtId="42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2" fontId="0" fillId="0" borderId="1" xfId="0" applyNumberFormat="1" applyFill="1" applyBorder="1" applyAlignment="1">
      <alignment vertical="center"/>
    </xf>
    <xf numFmtId="41" fontId="0" fillId="0" borderId="0" xfId="0" applyNumberFormat="1" applyFill="1"/>
    <xf numFmtId="42" fontId="5" fillId="2" borderId="6" xfId="0" applyNumberFormat="1" applyFont="1" applyFill="1" applyBorder="1" applyAlignment="1">
      <alignment horizontal="centerContinuous" vertical="center"/>
    </xf>
    <xf numFmtId="42" fontId="5" fillId="2" borderId="7" xfId="0" applyNumberFormat="1" applyFont="1" applyFill="1" applyBorder="1" applyAlignment="1">
      <alignment horizontal="centerContinuous" vertical="center"/>
    </xf>
    <xf numFmtId="42" fontId="5" fillId="2" borderId="8" xfId="0" applyNumberFormat="1" applyFont="1" applyFill="1" applyBorder="1" applyAlignment="1">
      <alignment horizontal="centerContinuous" vertical="center"/>
    </xf>
    <xf numFmtId="42" fontId="5" fillId="2" borderId="9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center" vertical="center" wrapText="1"/>
    </xf>
    <xf numFmtId="42" fontId="5" fillId="2" borderId="13" xfId="0" applyNumberFormat="1" applyFont="1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42" fontId="5" fillId="2" borderId="15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42" fontId="6" fillId="3" borderId="4" xfId="0" applyNumberFormat="1" applyFont="1" applyFill="1" applyBorder="1" applyAlignment="1">
      <alignment vertical="center"/>
    </xf>
    <xf numFmtId="42" fontId="5" fillId="2" borderId="20" xfId="0" applyNumberFormat="1" applyFont="1" applyFill="1" applyBorder="1" applyAlignment="1">
      <alignment vertical="center"/>
    </xf>
    <xf numFmtId="42" fontId="5" fillId="2" borderId="4" xfId="0" applyNumberFormat="1" applyFont="1" applyFill="1" applyBorder="1" applyAlignment="1">
      <alignment vertical="center"/>
    </xf>
    <xf numFmtId="42" fontId="6" fillId="2" borderId="4" xfId="0" applyNumberFormat="1" applyFont="1" applyFill="1" applyBorder="1" applyAlignment="1">
      <alignment vertical="center"/>
    </xf>
    <xf numFmtId="42" fontId="6" fillId="2" borderId="21" xfId="0" quotePrefix="1" applyNumberFormat="1" applyFont="1" applyFill="1" applyBorder="1" applyAlignment="1">
      <alignment horizontal="center" vertical="center"/>
    </xf>
    <xf numFmtId="42" fontId="6" fillId="2" borderId="1" xfId="0" applyNumberFormat="1" applyFont="1" applyFill="1" applyBorder="1" applyAlignment="1">
      <alignment vertical="center"/>
    </xf>
    <xf numFmtId="42" fontId="6" fillId="5" borderId="23" xfId="0" applyNumberFormat="1" applyFont="1" applyFill="1" applyBorder="1" applyAlignment="1">
      <alignment vertical="center"/>
    </xf>
    <xf numFmtId="42" fontId="6" fillId="5" borderId="1" xfId="0" applyNumberFormat="1" applyFont="1" applyFill="1" applyBorder="1" applyAlignment="1">
      <alignment vertical="center"/>
    </xf>
    <xf numFmtId="42" fontId="5" fillId="2" borderId="25" xfId="0" applyNumberFormat="1" applyFont="1" applyFill="1" applyBorder="1" applyAlignment="1">
      <alignment vertical="center"/>
    </xf>
    <xf numFmtId="42" fontId="5" fillId="2" borderId="1" xfId="0" applyNumberFormat="1" applyFont="1" applyFill="1" applyBorder="1" applyAlignment="1">
      <alignment vertical="center"/>
    </xf>
    <xf numFmtId="42" fontId="6" fillId="2" borderId="23" xfId="0" applyNumberFormat="1" applyFont="1" applyFill="1" applyBorder="1" applyAlignment="1">
      <alignment vertical="center"/>
    </xf>
    <xf numFmtId="42" fontId="6" fillId="3" borderId="21" xfId="0" applyNumberFormat="1" applyFont="1" applyFill="1" applyBorder="1" applyAlignment="1">
      <alignment horizontal="center" vertical="center"/>
    </xf>
    <xf numFmtId="42" fontId="6" fillId="3" borderId="1" xfId="0" applyNumberFormat="1" applyFont="1" applyFill="1" applyBorder="1" applyAlignment="1">
      <alignment vertical="center"/>
    </xf>
    <xf numFmtId="42" fontId="6" fillId="2" borderId="24" xfId="0" applyNumberFormat="1" applyFont="1" applyFill="1" applyBorder="1" applyAlignment="1">
      <alignment vertical="center"/>
    </xf>
    <xf numFmtId="42" fontId="6" fillId="3" borderId="26" xfId="0" applyNumberFormat="1" applyFont="1" applyFill="1" applyBorder="1" applyAlignment="1">
      <alignment horizontal="center" vertical="center"/>
    </xf>
    <xf numFmtId="42" fontId="6" fillId="3" borderId="2" xfId="0" applyNumberFormat="1" applyFont="1" applyFill="1" applyBorder="1" applyAlignment="1">
      <alignment vertical="center"/>
    </xf>
    <xf numFmtId="42" fontId="5" fillId="2" borderId="27" xfId="0" applyNumberFormat="1" applyFont="1" applyFill="1" applyBorder="1" applyAlignment="1">
      <alignment vertical="center"/>
    </xf>
    <xf numFmtId="42" fontId="5" fillId="2" borderId="2" xfId="0" applyNumberFormat="1" applyFont="1" applyFill="1" applyBorder="1" applyAlignment="1">
      <alignment vertical="center"/>
    </xf>
    <xf numFmtId="42" fontId="6" fillId="2" borderId="2" xfId="0" applyNumberFormat="1" applyFont="1" applyFill="1" applyBorder="1" applyAlignment="1">
      <alignment vertical="center"/>
    </xf>
    <xf numFmtId="42" fontId="5" fillId="5" borderId="28" xfId="0" applyNumberFormat="1" applyFont="1" applyFill="1" applyBorder="1" applyAlignment="1">
      <alignment horizontal="center" vertical="center"/>
    </xf>
    <xf numFmtId="42" fontId="5" fillId="2" borderId="28" xfId="0" applyNumberFormat="1" applyFont="1" applyFill="1" applyBorder="1" applyAlignment="1">
      <alignment vertical="center"/>
    </xf>
    <xf numFmtId="42" fontId="5" fillId="5" borderId="12" xfId="0" applyNumberFormat="1" applyFont="1" applyFill="1" applyBorder="1" applyAlignment="1">
      <alignment vertical="center"/>
    </xf>
    <xf numFmtId="42" fontId="5" fillId="5" borderId="13" xfId="0" applyNumberFormat="1" applyFont="1" applyFill="1" applyBorder="1" applyAlignment="1">
      <alignment vertical="center"/>
    </xf>
    <xf numFmtId="42" fontId="5" fillId="2" borderId="28" xfId="0" applyNumberFormat="1" applyFont="1" applyFill="1" applyBorder="1" applyAlignment="1">
      <alignment horizontal="center" vertical="center"/>
    </xf>
    <xf numFmtId="42" fontId="5" fillId="2" borderId="31" xfId="0" applyNumberFormat="1" applyFont="1" applyFill="1" applyBorder="1" applyAlignment="1">
      <alignment vertical="center"/>
    </xf>
    <xf numFmtId="42" fontId="5" fillId="2" borderId="32" xfId="0" applyNumberFormat="1" applyFont="1" applyFill="1" applyBorder="1" applyAlignment="1">
      <alignment vertical="center"/>
    </xf>
    <xf numFmtId="42" fontId="3" fillId="2" borderId="28" xfId="0" applyNumberFormat="1" applyFont="1" applyFill="1" applyBorder="1" applyAlignment="1">
      <alignment vertical="center"/>
    </xf>
    <xf numFmtId="42" fontId="5" fillId="2" borderId="30" xfId="0" applyNumberFormat="1" applyFont="1" applyFill="1" applyBorder="1" applyAlignment="1">
      <alignment vertical="center"/>
    </xf>
    <xf numFmtId="42" fontId="3" fillId="2" borderId="12" xfId="0" applyNumberFormat="1" applyFont="1" applyFill="1" applyBorder="1" applyAlignment="1">
      <alignment vertical="center"/>
    </xf>
    <xf numFmtId="42" fontId="5" fillId="2" borderId="12" xfId="0" applyNumberFormat="1" applyFont="1" applyFill="1" applyBorder="1" applyAlignment="1">
      <alignment vertical="center"/>
    </xf>
    <xf numFmtId="42" fontId="3" fillId="2" borderId="13" xfId="0" applyNumberFormat="1" applyFont="1" applyFill="1" applyBorder="1" applyAlignment="1">
      <alignment vertical="center"/>
    </xf>
    <xf numFmtId="42" fontId="5" fillId="2" borderId="14" xfId="0" applyNumberFormat="1" applyFont="1" applyFill="1" applyBorder="1" applyAlignment="1">
      <alignment vertical="center"/>
    </xf>
    <xf numFmtId="42" fontId="5" fillId="2" borderId="13" xfId="0" applyNumberFormat="1" applyFont="1" applyFill="1" applyBorder="1" applyAlignment="1">
      <alignment vertical="center"/>
    </xf>
    <xf numFmtId="42" fontId="5" fillId="2" borderId="34" xfId="0" applyNumberFormat="1" applyFont="1" applyFill="1" applyBorder="1" applyAlignment="1">
      <alignment vertical="center"/>
    </xf>
    <xf numFmtId="42" fontId="5" fillId="2" borderId="29" xfId="0" applyNumberFormat="1" applyFont="1" applyFill="1" applyBorder="1" applyAlignment="1">
      <alignment vertical="center"/>
    </xf>
    <xf numFmtId="42" fontId="3" fillId="2" borderId="35" xfId="0" applyNumberFormat="1" applyFont="1" applyFill="1" applyBorder="1" applyAlignment="1">
      <alignment vertical="center"/>
    </xf>
    <xf numFmtId="42" fontId="5" fillId="2" borderId="36" xfId="0" applyNumberFormat="1" applyFont="1" applyFill="1" applyBorder="1" applyAlignment="1">
      <alignment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42" fontId="6" fillId="2" borderId="18" xfId="0" applyNumberFormat="1" applyFont="1" applyFill="1" applyBorder="1" applyAlignment="1">
      <alignment vertical="center"/>
    </xf>
    <xf numFmtId="42" fontId="6" fillId="2" borderId="19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vertical="center"/>
    </xf>
    <xf numFmtId="42" fontId="6" fillId="2" borderId="22" xfId="0" applyNumberFormat="1" applyFont="1" applyFill="1" applyBorder="1" applyAlignment="1">
      <alignment vertical="center"/>
    </xf>
    <xf numFmtId="42" fontId="6" fillId="5" borderId="22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2" fontId="3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2" fontId="0" fillId="2" borderId="1" xfId="0" applyNumberFormat="1" applyFill="1" applyBorder="1" applyAlignment="1">
      <alignment horizontal="center" vertical="center"/>
    </xf>
    <xf numFmtId="44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/>
    </xf>
    <xf numFmtId="42" fontId="3" fillId="2" borderId="1" xfId="0" applyNumberFormat="1" applyFont="1" applyFill="1" applyBorder="1" applyAlignment="1">
      <alignment vertical="center"/>
    </xf>
    <xf numFmtId="9" fontId="0" fillId="2" borderId="1" xfId="0" applyNumberFormat="1" applyFill="1" applyBorder="1" applyAlignment="1">
      <alignment vertical="center"/>
    </xf>
    <xf numFmtId="42" fontId="5" fillId="2" borderId="39" xfId="0" applyNumberFormat="1" applyFont="1" applyFill="1" applyBorder="1" applyAlignment="1">
      <alignment horizontal="centerContinuous" vertical="center"/>
    </xf>
    <xf numFmtId="14" fontId="5" fillId="2" borderId="32" xfId="0" applyNumberFormat="1" applyFont="1" applyFill="1" applyBorder="1" applyAlignment="1">
      <alignment horizontal="center" vertical="center" wrapText="1"/>
    </xf>
    <xf numFmtId="42" fontId="6" fillId="5" borderId="38" xfId="0" applyNumberFormat="1" applyFont="1" applyFill="1" applyBorder="1" applyAlignment="1">
      <alignment vertical="center"/>
    </xf>
    <xf numFmtId="42" fontId="6" fillId="2" borderId="38" xfId="0" applyNumberFormat="1" applyFont="1" applyFill="1" applyBorder="1" applyAlignment="1">
      <alignment vertical="center"/>
    </xf>
    <xf numFmtId="42" fontId="5" fillId="2" borderId="40" xfId="0" applyNumberFormat="1" applyFont="1" applyFill="1" applyBorder="1" applyAlignment="1">
      <alignment vertical="center"/>
    </xf>
    <xf numFmtId="42" fontId="6" fillId="2" borderId="37" xfId="0" applyNumberFormat="1" applyFont="1" applyFill="1" applyBorder="1" applyAlignment="1">
      <alignment vertical="center"/>
    </xf>
    <xf numFmtId="42" fontId="5" fillId="2" borderId="33" xfId="0" applyNumberFormat="1" applyFont="1" applyFill="1" applyBorder="1" applyAlignment="1">
      <alignment vertical="center"/>
    </xf>
    <xf numFmtId="42" fontId="6" fillId="2" borderId="20" xfId="0" applyNumberFormat="1" applyFont="1" applyFill="1" applyBorder="1" applyAlignment="1">
      <alignment vertical="center"/>
    </xf>
    <xf numFmtId="42" fontId="6" fillId="2" borderId="25" xfId="0" applyNumberFormat="1" applyFont="1" applyFill="1" applyBorder="1" applyAlignment="1">
      <alignment vertical="center"/>
    </xf>
    <xf numFmtId="42" fontId="5" fillId="2" borderId="41" xfId="0" applyNumberFormat="1" applyFont="1" applyFill="1" applyBorder="1" applyAlignment="1">
      <alignment vertical="center"/>
    </xf>
    <xf numFmtId="42" fontId="2" fillId="2" borderId="21" xfId="0" quotePrefix="1" applyNumberFormat="1" applyFont="1" applyFill="1" applyBorder="1" applyAlignment="1">
      <alignment horizontal="center" vertical="center"/>
    </xf>
    <xf numFmtId="41" fontId="7" fillId="0" borderId="0" xfId="0" applyNumberFormat="1" applyFont="1"/>
    <xf numFmtId="41" fontId="8" fillId="0" borderId="0" xfId="0" applyNumberFormat="1" applyFont="1"/>
    <xf numFmtId="42" fontId="5" fillId="2" borderId="31" xfId="0" applyNumberFormat="1" applyFont="1" applyFill="1" applyBorder="1" applyAlignment="1">
      <alignment horizontal="center" vertical="center"/>
    </xf>
    <xf numFmtId="42" fontId="5" fillId="0" borderId="12" xfId="0" applyNumberFormat="1" applyFont="1" applyFill="1" applyBorder="1" applyAlignment="1">
      <alignment vertical="center"/>
    </xf>
    <xf numFmtId="42" fontId="5" fillId="0" borderId="13" xfId="0" applyNumberFormat="1" applyFont="1" applyFill="1" applyBorder="1" applyAlignment="1">
      <alignment vertical="center"/>
    </xf>
    <xf numFmtId="42" fontId="5" fillId="0" borderId="14" xfId="0" applyNumberFormat="1" applyFont="1" applyFill="1" applyBorder="1" applyAlignment="1">
      <alignment vertical="center"/>
    </xf>
    <xf numFmtId="42" fontId="5" fillId="0" borderId="34" xfId="0" applyNumberFormat="1" applyFont="1" applyFill="1" applyBorder="1" applyAlignment="1">
      <alignment vertical="center"/>
    </xf>
    <xf numFmtId="42" fontId="2" fillId="0" borderId="14" xfId="0" applyNumberFormat="1" applyFont="1" applyFill="1" applyBorder="1" applyAlignment="1">
      <alignment vertical="center"/>
    </xf>
    <xf numFmtId="42" fontId="6" fillId="0" borderId="12" xfId="0" applyNumberFormat="1" applyFont="1" applyFill="1" applyBorder="1" applyAlignment="1">
      <alignment vertical="center"/>
    </xf>
    <xf numFmtId="42" fontId="6" fillId="0" borderId="13" xfId="0" applyNumberFormat="1" applyFont="1" applyFill="1" applyBorder="1" applyAlignment="1">
      <alignment vertical="center"/>
    </xf>
    <xf numFmtId="42" fontId="6" fillId="0" borderId="14" xfId="0" applyNumberFormat="1" applyFont="1" applyFill="1" applyBorder="1" applyAlignment="1">
      <alignment vertical="center"/>
    </xf>
    <xf numFmtId="42" fontId="6" fillId="0" borderId="34" xfId="0" applyNumberFormat="1" applyFont="1" applyFill="1" applyBorder="1" applyAlignment="1">
      <alignment vertical="center"/>
    </xf>
    <xf numFmtId="42" fontId="3" fillId="0" borderId="42" xfId="0" applyNumberFormat="1" applyFont="1" applyFill="1" applyBorder="1" applyAlignment="1">
      <alignment vertical="center"/>
    </xf>
    <xf numFmtId="42" fontId="3" fillId="0" borderId="34" xfId="0" applyNumberFormat="1" applyFont="1" applyFill="1" applyBorder="1" applyAlignment="1">
      <alignment vertical="center"/>
    </xf>
    <xf numFmtId="42" fontId="3" fillId="0" borderId="14" xfId="0" applyNumberFormat="1" applyFont="1" applyFill="1" applyBorder="1" applyAlignment="1">
      <alignment vertical="center"/>
    </xf>
    <xf numFmtId="42" fontId="5" fillId="0" borderId="28" xfId="0" applyNumberFormat="1" applyFont="1" applyFill="1" applyBorder="1" applyAlignment="1">
      <alignment horizontal="center" vertical="center"/>
    </xf>
    <xf numFmtId="42" fontId="5" fillId="0" borderId="28" xfId="0" applyNumberFormat="1" applyFont="1" applyFill="1" applyBorder="1" applyAlignment="1">
      <alignment vertical="center"/>
    </xf>
    <xf numFmtId="42" fontId="3" fillId="0" borderId="12" xfId="0" applyNumberFormat="1" applyFont="1" applyFill="1" applyBorder="1" applyAlignment="1">
      <alignment vertical="center"/>
    </xf>
    <xf numFmtId="42" fontId="3" fillId="0" borderId="28" xfId="0" applyNumberFormat="1" applyFont="1" applyFill="1" applyBorder="1" applyAlignment="1">
      <alignment vertical="center"/>
    </xf>
    <xf numFmtId="42" fontId="3" fillId="0" borderId="29" xfId="0" applyNumberFormat="1" applyFont="1" applyFill="1" applyBorder="1" applyAlignment="1">
      <alignment vertical="center"/>
    </xf>
    <xf numFmtId="42" fontId="3" fillId="0" borderId="11" xfId="0" applyNumberFormat="1" applyFont="1" applyFill="1" applyBorder="1" applyAlignment="1">
      <alignment vertical="center"/>
    </xf>
    <xf numFmtId="42" fontId="5" fillId="5" borderId="32" xfId="0" applyNumberFormat="1" applyFont="1" applyFill="1" applyBorder="1" applyAlignment="1">
      <alignment vertical="center"/>
    </xf>
    <xf numFmtId="42" fontId="2" fillId="5" borderId="32" xfId="0" applyNumberFormat="1" applyFont="1" applyFill="1" applyBorder="1" applyAlignment="1">
      <alignment vertical="center"/>
    </xf>
    <xf numFmtId="14" fontId="5" fillId="2" borderId="28" xfId="0" applyNumberFormat="1" applyFont="1" applyFill="1" applyBorder="1" applyAlignment="1">
      <alignment horizontal="center" vertical="center" wrapText="1"/>
    </xf>
    <xf numFmtId="42" fontId="5" fillId="2" borderId="32" xfId="0" applyNumberFormat="1" applyFont="1" applyFill="1" applyBorder="1" applyAlignment="1">
      <alignment horizontal="center" vertical="center" wrapText="1"/>
    </xf>
    <xf numFmtId="42" fontId="6" fillId="3" borderId="44" xfId="0" applyNumberFormat="1" applyFont="1" applyFill="1" applyBorder="1" applyAlignment="1">
      <alignment vertical="center"/>
    </xf>
    <xf numFmtId="42" fontId="3" fillId="3" borderId="45" xfId="0" applyNumberFormat="1" applyFont="1" applyFill="1" applyBorder="1" applyAlignment="1">
      <alignment vertical="center"/>
    </xf>
    <xf numFmtId="42" fontId="6" fillId="3" borderId="0" xfId="0" applyNumberFormat="1" applyFont="1" applyFill="1" applyBorder="1" applyAlignment="1">
      <alignment vertical="center"/>
    </xf>
    <xf numFmtId="42" fontId="6" fillId="3" borderId="45" xfId="0" applyNumberFormat="1" applyFont="1" applyFill="1" applyBorder="1" applyAlignment="1">
      <alignment vertical="center"/>
    </xf>
    <xf numFmtId="42" fontId="3" fillId="3" borderId="46" xfId="0" applyNumberFormat="1" applyFont="1" applyFill="1" applyBorder="1" applyAlignment="1">
      <alignment vertical="center"/>
    </xf>
    <xf numFmtId="42" fontId="6" fillId="3" borderId="3" xfId="0" applyNumberFormat="1" applyFont="1" applyFill="1" applyBorder="1" applyAlignment="1">
      <alignment vertical="center"/>
    </xf>
    <xf numFmtId="42" fontId="6" fillId="3" borderId="47" xfId="0" applyNumberFormat="1" applyFont="1" applyFill="1" applyBorder="1" applyAlignment="1">
      <alignment vertical="center"/>
    </xf>
    <xf numFmtId="42" fontId="6" fillId="3" borderId="48" xfId="0" applyNumberFormat="1" applyFont="1" applyFill="1" applyBorder="1" applyAlignment="1">
      <alignment vertical="center"/>
    </xf>
    <xf numFmtId="42" fontId="6" fillId="3" borderId="46" xfId="0" applyNumberFormat="1" applyFont="1" applyFill="1" applyBorder="1" applyAlignment="1">
      <alignment vertical="center"/>
    </xf>
    <xf numFmtId="42" fontId="2" fillId="3" borderId="5" xfId="0" applyNumberFormat="1" applyFont="1" applyFill="1" applyBorder="1" applyAlignment="1">
      <alignment vertical="center"/>
    </xf>
    <xf numFmtId="42" fontId="2" fillId="3" borderId="49" xfId="0" applyNumberFormat="1" applyFont="1" applyFill="1" applyBorder="1" applyAlignment="1">
      <alignment vertical="center"/>
    </xf>
    <xf numFmtId="42" fontId="2" fillId="0" borderId="50" xfId="0" applyNumberFormat="1" applyFont="1" applyFill="1" applyBorder="1" applyAlignment="1">
      <alignment vertical="center"/>
    </xf>
    <xf numFmtId="42" fontId="2" fillId="2" borderId="28" xfId="0" applyNumberFormat="1" applyFont="1" applyFill="1" applyBorder="1" applyAlignment="1">
      <alignment vertical="center"/>
    </xf>
    <xf numFmtId="42" fontId="2" fillId="0" borderId="28" xfId="0" applyNumberFormat="1" applyFont="1" applyFill="1" applyBorder="1" applyAlignment="1">
      <alignment vertical="center"/>
    </xf>
    <xf numFmtId="42" fontId="6" fillId="0" borderId="32" xfId="0" applyNumberFormat="1" applyFont="1" applyFill="1" applyBorder="1" applyAlignment="1">
      <alignment vertical="center"/>
    </xf>
    <xf numFmtId="42" fontId="6" fillId="0" borderId="28" xfId="0" applyNumberFormat="1" applyFont="1" applyFill="1" applyBorder="1" applyAlignment="1">
      <alignment vertical="center"/>
    </xf>
    <xf numFmtId="42" fontId="2" fillId="0" borderId="12" xfId="0" applyNumberFormat="1" applyFont="1" applyFill="1" applyBorder="1" applyAlignment="1">
      <alignment vertical="center"/>
    </xf>
    <xf numFmtId="42" fontId="2" fillId="0" borderId="33" xfId="0" applyNumberFormat="1" applyFont="1" applyFill="1" applyBorder="1" applyAlignment="1">
      <alignment vertical="center"/>
    </xf>
    <xf numFmtId="42" fontId="2" fillId="2" borderId="45" xfId="0" applyNumberFormat="1" applyFont="1" applyFill="1" applyBorder="1" applyAlignment="1">
      <alignment vertical="center"/>
    </xf>
    <xf numFmtId="42" fontId="2" fillId="0" borderId="45" xfId="0" applyNumberFormat="1" applyFont="1" applyFill="1" applyBorder="1" applyAlignment="1">
      <alignment vertical="center"/>
    </xf>
    <xf numFmtId="42" fontId="6" fillId="0" borderId="0" xfId="0" applyNumberFormat="1" applyFont="1" applyFill="1" applyBorder="1" applyAlignment="1">
      <alignment vertical="center"/>
    </xf>
    <xf numFmtId="42" fontId="6" fillId="0" borderId="45" xfId="0" applyNumberFormat="1" applyFont="1" applyFill="1" applyBorder="1" applyAlignment="1">
      <alignment vertical="center"/>
    </xf>
    <xf numFmtId="42" fontId="2" fillId="0" borderId="46" xfId="0" applyNumberFormat="1" applyFont="1" applyFill="1" applyBorder="1" applyAlignment="1">
      <alignment vertical="center"/>
    </xf>
    <xf numFmtId="42" fontId="6" fillId="0" borderId="3" xfId="0" applyNumberFormat="1" applyFont="1" applyFill="1" applyBorder="1" applyAlignment="1">
      <alignment vertical="center"/>
    </xf>
    <xf numFmtId="42" fontId="6" fillId="0" borderId="47" xfId="0" applyNumberFormat="1" applyFont="1" applyFill="1" applyBorder="1" applyAlignment="1">
      <alignment vertical="center"/>
    </xf>
    <xf numFmtId="42" fontId="6" fillId="0" borderId="48" xfId="0" applyNumberFormat="1" applyFont="1" applyFill="1" applyBorder="1" applyAlignment="1">
      <alignment vertical="center"/>
    </xf>
    <xf numFmtId="42" fontId="6" fillId="0" borderId="46" xfId="0" applyNumberFormat="1" applyFont="1" applyFill="1" applyBorder="1" applyAlignment="1">
      <alignment vertical="center"/>
    </xf>
    <xf numFmtId="42" fontId="2" fillId="0" borderId="51" xfId="0" applyNumberFormat="1" applyFont="1" applyFill="1" applyBorder="1" applyAlignment="1">
      <alignment vertical="center"/>
    </xf>
    <xf numFmtId="42" fontId="2" fillId="2" borderId="45" xfId="0" applyNumberFormat="1" applyFont="1" applyFill="1" applyBorder="1" applyAlignment="1">
      <alignment vertical="center" wrapText="1"/>
    </xf>
    <xf numFmtId="42" fontId="6" fillId="3" borderId="11" xfId="0" applyNumberFormat="1" applyFont="1" applyFill="1" applyBorder="1" applyAlignment="1">
      <alignment vertical="center"/>
    </xf>
    <xf numFmtId="42" fontId="2" fillId="0" borderId="32" xfId="0" applyNumberFormat="1" applyFont="1" applyFill="1" applyBorder="1" applyAlignment="1">
      <alignment vertical="center"/>
    </xf>
    <xf numFmtId="42" fontId="2" fillId="3" borderId="46" xfId="0" applyNumberFormat="1" applyFont="1" applyFill="1" applyBorder="1" applyAlignment="1">
      <alignment vertical="center"/>
    </xf>
    <xf numFmtId="42" fontId="2" fillId="3" borderId="45" xfId="0" applyNumberFormat="1" applyFont="1" applyFill="1" applyBorder="1" applyAlignment="1">
      <alignment vertical="center"/>
    </xf>
    <xf numFmtId="42" fontId="6" fillId="3" borderId="51" xfId="0" applyNumberFormat="1" applyFont="1" applyFill="1" applyBorder="1" applyAlignment="1">
      <alignment vertical="center"/>
    </xf>
    <xf numFmtId="42" fontId="2" fillId="0" borderId="13" xfId="0" applyNumberFormat="1" applyFont="1" applyFill="1" applyBorder="1" applyAlignment="1">
      <alignment vertical="center"/>
    </xf>
    <xf numFmtId="42" fontId="2" fillId="3" borderId="52" xfId="0" applyNumberFormat="1" applyFont="1" applyFill="1" applyBorder="1" applyAlignment="1">
      <alignment vertical="center"/>
    </xf>
    <xf numFmtId="42" fontId="2" fillId="0" borderId="31" xfId="0" applyNumberFormat="1" applyFont="1" applyFill="1" applyBorder="1" applyAlignment="1">
      <alignment vertical="center"/>
    </xf>
    <xf numFmtId="42" fontId="5" fillId="0" borderId="31" xfId="0" applyNumberFormat="1" applyFont="1" applyFill="1" applyBorder="1" applyAlignment="1">
      <alignment vertical="center"/>
    </xf>
    <xf numFmtId="42" fontId="5" fillId="0" borderId="33" xfId="0" applyNumberFormat="1" applyFont="1" applyFill="1" applyBorder="1" applyAlignment="1">
      <alignment vertical="center"/>
    </xf>
    <xf numFmtId="42" fontId="6" fillId="3" borderId="5" xfId="0" applyNumberFormat="1" applyFont="1" applyFill="1" applyBorder="1" applyAlignment="1">
      <alignment vertical="center"/>
    </xf>
    <xf numFmtId="42" fontId="2" fillId="0" borderId="52" xfId="0" applyNumberFormat="1" applyFont="1" applyFill="1" applyBorder="1" applyAlignment="1">
      <alignment vertical="center"/>
    </xf>
    <xf numFmtId="42" fontId="6" fillId="0" borderId="51" xfId="0" applyNumberFormat="1" applyFont="1" applyFill="1" applyBorder="1" applyAlignment="1">
      <alignment vertical="center"/>
    </xf>
    <xf numFmtId="42" fontId="6" fillId="0" borderId="33" xfId="0" applyNumberFormat="1" applyFont="1" applyFill="1" applyBorder="1" applyAlignment="1">
      <alignment vertical="center"/>
    </xf>
    <xf numFmtId="42" fontId="3" fillId="3" borderId="28" xfId="0" applyNumberFormat="1" applyFont="1" applyFill="1" applyBorder="1" applyAlignment="1">
      <alignment vertical="center"/>
    </xf>
    <xf numFmtId="42" fontId="2" fillId="3" borderId="31" xfId="0" applyNumberFormat="1" applyFont="1" applyFill="1" applyBorder="1" applyAlignment="1">
      <alignment vertical="center"/>
    </xf>
    <xf numFmtId="42" fontId="6" fillId="3" borderId="28" xfId="0" applyNumberFormat="1" applyFont="1" applyFill="1" applyBorder="1" applyAlignment="1">
      <alignment vertical="center"/>
    </xf>
    <xf numFmtId="42" fontId="6" fillId="3" borderId="33" xfId="0" applyNumberFormat="1" applyFont="1" applyFill="1" applyBorder="1" applyAlignment="1">
      <alignment vertical="center"/>
    </xf>
    <xf numFmtId="42" fontId="2" fillId="3" borderId="12" xfId="0" applyNumberFormat="1" applyFont="1" applyFill="1" applyBorder="1" applyAlignment="1">
      <alignment vertical="center"/>
    </xf>
    <xf numFmtId="42" fontId="6" fillId="3" borderId="13" xfId="0" applyNumberFormat="1" applyFont="1" applyFill="1" applyBorder="1" applyAlignment="1">
      <alignment vertical="center"/>
    </xf>
    <xf numFmtId="42" fontId="6" fillId="3" borderId="14" xfId="0" applyNumberFormat="1" applyFont="1" applyFill="1" applyBorder="1" applyAlignment="1">
      <alignment vertical="center"/>
    </xf>
    <xf numFmtId="42" fontId="6" fillId="3" borderId="34" xfId="0" applyNumberFormat="1" applyFont="1" applyFill="1" applyBorder="1" applyAlignment="1">
      <alignment vertical="center"/>
    </xf>
    <xf numFmtId="42" fontId="6" fillId="3" borderId="12" xfId="0" applyNumberFormat="1" applyFont="1" applyFill="1" applyBorder="1" applyAlignment="1">
      <alignment vertical="center"/>
    </xf>
    <xf numFmtId="42" fontId="6" fillId="3" borderId="32" xfId="0" applyNumberFormat="1" applyFont="1" applyFill="1" applyBorder="1" applyAlignment="1">
      <alignment vertical="center"/>
    </xf>
    <xf numFmtId="42" fontId="2" fillId="0" borderId="53" xfId="0" applyNumberFormat="1" applyFont="1" applyFill="1" applyBorder="1" applyAlignment="1">
      <alignment vertical="center"/>
    </xf>
    <xf numFmtId="42" fontId="6" fillId="3" borderId="36" xfId="0" applyNumberFormat="1" applyFont="1" applyFill="1" applyBorder="1" applyAlignment="1">
      <alignment vertical="center"/>
    </xf>
    <xf numFmtId="42" fontId="6" fillId="3" borderId="29" xfId="0" applyNumberFormat="1" applyFont="1" applyFill="1" applyBorder="1" applyAlignment="1">
      <alignment vertical="center"/>
    </xf>
    <xf numFmtId="42" fontId="6" fillId="3" borderId="35" xfId="0" applyNumberFormat="1" applyFont="1" applyFill="1" applyBorder="1" applyAlignment="1">
      <alignment vertical="center"/>
    </xf>
    <xf numFmtId="42" fontId="6" fillId="3" borderId="54" xfId="0" applyNumberFormat="1" applyFont="1" applyFill="1" applyBorder="1" applyAlignment="1">
      <alignment vertical="center"/>
    </xf>
    <xf numFmtId="42" fontId="2" fillId="3" borderId="42" xfId="0" applyNumberFormat="1" applyFont="1" applyFill="1" applyBorder="1" applyAlignment="1">
      <alignment vertical="center"/>
    </xf>
    <xf numFmtId="42" fontId="6" fillId="3" borderId="43" xfId="0" applyNumberFormat="1" applyFont="1" applyFill="1" applyBorder="1" applyAlignment="1">
      <alignment horizontal="center" vertical="center"/>
    </xf>
    <xf numFmtId="42" fontId="5" fillId="2" borderId="31" xfId="0" applyNumberFormat="1" applyFont="1" applyFill="1" applyBorder="1" applyAlignment="1">
      <alignment horizontal="centerContinuous" vertical="center"/>
    </xf>
    <xf numFmtId="42" fontId="5" fillId="2" borderId="32" xfId="0" applyNumberFormat="1" applyFont="1" applyFill="1" applyBorder="1" applyAlignment="1">
      <alignment horizontal="centerContinuous" vertical="center"/>
    </xf>
    <xf numFmtId="42" fontId="5" fillId="2" borderId="12" xfId="0" applyNumberFormat="1" applyFont="1" applyFill="1" applyBorder="1" applyAlignment="1">
      <alignment horizontal="centerContinuous" vertical="center"/>
    </xf>
    <xf numFmtId="42" fontId="5" fillId="2" borderId="13" xfId="0" applyNumberFormat="1" applyFont="1" applyFill="1" applyBorder="1" applyAlignment="1">
      <alignment horizontal="centerContinuous" vertical="center"/>
    </xf>
    <xf numFmtId="42" fontId="5" fillId="2" borderId="14" xfId="0" applyNumberFormat="1" applyFont="1" applyFill="1" applyBorder="1" applyAlignment="1">
      <alignment horizontal="centerContinuous" vertical="center"/>
    </xf>
    <xf numFmtId="42" fontId="3" fillId="3" borderId="45" xfId="0" applyNumberFormat="1" applyFont="1" applyFill="1" applyBorder="1" applyAlignment="1">
      <alignment horizontal="left" vertical="center"/>
    </xf>
    <xf numFmtId="42" fontId="2" fillId="3" borderId="5" xfId="0" applyNumberFormat="1" applyFont="1" applyFill="1" applyBorder="1" applyAlignment="1">
      <alignment horizontal="left" vertical="center"/>
    </xf>
    <xf numFmtId="42" fontId="6" fillId="3" borderId="55" xfId="0" applyNumberFormat="1" applyFont="1" applyFill="1" applyBorder="1" applyAlignment="1">
      <alignment vertical="center"/>
    </xf>
    <xf numFmtId="42" fontId="2" fillId="3" borderId="46" xfId="0" applyNumberFormat="1" applyFont="1" applyFill="1" applyBorder="1" applyAlignment="1">
      <alignment horizontal="left" vertical="center"/>
    </xf>
    <xf numFmtId="42" fontId="6" fillId="3" borderId="8" xfId="0" applyNumberFormat="1" applyFont="1" applyFill="1" applyBorder="1" applyAlignment="1">
      <alignment vertical="center"/>
    </xf>
    <xf numFmtId="42" fontId="6" fillId="3" borderId="6" xfId="0" applyNumberFormat="1" applyFont="1" applyFill="1" applyBorder="1" applyAlignment="1">
      <alignment vertical="center"/>
    </xf>
    <xf numFmtId="42" fontId="6" fillId="3" borderId="7" xfId="0" applyNumberFormat="1" applyFont="1" applyFill="1" applyBorder="1" applyAlignment="1">
      <alignment vertical="center"/>
    </xf>
    <xf numFmtId="42" fontId="2" fillId="2" borderId="28" xfId="0" applyNumberFormat="1" applyFont="1" applyFill="1" applyBorder="1" applyAlignment="1">
      <alignment horizontal="left" vertical="center"/>
    </xf>
    <xf numFmtId="42" fontId="2" fillId="0" borderId="28" xfId="0" applyNumberFormat="1" applyFont="1" applyFill="1" applyBorder="1" applyAlignment="1">
      <alignment horizontal="left" vertical="center"/>
    </xf>
    <xf numFmtId="42" fontId="6" fillId="0" borderId="30" xfId="0" applyNumberFormat="1" applyFont="1" applyFill="1" applyBorder="1" applyAlignment="1">
      <alignment vertical="center"/>
    </xf>
    <xf numFmtId="42" fontId="2" fillId="0" borderId="12" xfId="0" applyNumberFormat="1" applyFont="1" applyFill="1" applyBorder="1" applyAlignment="1">
      <alignment horizontal="left" vertical="center"/>
    </xf>
    <xf numFmtId="42" fontId="2" fillId="3" borderId="45" xfId="0" applyNumberFormat="1" applyFont="1" applyFill="1" applyBorder="1" applyAlignment="1">
      <alignment horizontal="left" vertical="center"/>
    </xf>
    <xf numFmtId="42" fontId="2" fillId="2" borderId="45" xfId="0" applyNumberFormat="1" applyFont="1" applyFill="1" applyBorder="1" applyAlignment="1">
      <alignment horizontal="left" vertical="center"/>
    </xf>
    <xf numFmtId="42" fontId="2" fillId="0" borderId="46" xfId="0" applyNumberFormat="1" applyFont="1" applyFill="1" applyBorder="1" applyAlignment="1">
      <alignment horizontal="left" vertical="center"/>
    </xf>
    <xf numFmtId="42" fontId="6" fillId="0" borderId="55" xfId="0" applyNumberFormat="1" applyFont="1" applyFill="1" applyBorder="1" applyAlignment="1">
      <alignment vertical="center"/>
    </xf>
    <xf numFmtId="42" fontId="2" fillId="0" borderId="52" xfId="0" applyNumberFormat="1" applyFont="1" applyFill="1" applyBorder="1" applyAlignment="1">
      <alignment horizontal="left" vertical="center"/>
    </xf>
    <xf numFmtId="42" fontId="2" fillId="0" borderId="31" xfId="0" applyNumberFormat="1" applyFont="1" applyFill="1" applyBorder="1" applyAlignment="1">
      <alignment horizontal="left" vertical="center"/>
    </xf>
    <xf numFmtId="42" fontId="6" fillId="0" borderId="49" xfId="0" applyNumberFormat="1" applyFont="1" applyFill="1" applyBorder="1" applyAlignment="1">
      <alignment vertical="center"/>
    </xf>
    <xf numFmtId="42" fontId="2" fillId="3" borderId="52" xfId="0" applyNumberFormat="1" applyFont="1" applyFill="1" applyBorder="1" applyAlignment="1">
      <alignment horizontal="left" vertical="center"/>
    </xf>
    <xf numFmtId="42" fontId="6" fillId="3" borderId="52" xfId="0" applyNumberFormat="1" applyFont="1" applyFill="1" applyBorder="1" applyAlignment="1">
      <alignment vertical="center"/>
    </xf>
    <xf numFmtId="42" fontId="2" fillId="2" borderId="5" xfId="0" applyNumberFormat="1" applyFont="1" applyFill="1" applyBorder="1" applyAlignment="1">
      <alignment horizontal="left" vertical="center"/>
    </xf>
    <xf numFmtId="42" fontId="2" fillId="0" borderId="5" xfId="0" applyNumberFormat="1" applyFont="1" applyFill="1" applyBorder="1" applyAlignment="1">
      <alignment horizontal="left" vertical="center"/>
    </xf>
    <xf numFmtId="42" fontId="2" fillId="0" borderId="6" xfId="0" applyNumberFormat="1" applyFont="1" applyFill="1" applyBorder="1" applyAlignment="1">
      <alignment horizontal="left" vertical="center"/>
    </xf>
    <xf numFmtId="42" fontId="6" fillId="0" borderId="7" xfId="0" applyNumberFormat="1" applyFont="1" applyFill="1" applyBorder="1" applyAlignment="1">
      <alignment vertical="center"/>
    </xf>
    <xf numFmtId="42" fontId="6" fillId="0" borderId="8" xfId="0" applyNumberFormat="1" applyFont="1" applyFill="1" applyBorder="1" applyAlignment="1">
      <alignment vertical="center"/>
    </xf>
    <xf numFmtId="42" fontId="6" fillId="0" borderId="56" xfId="0" applyNumberFormat="1" applyFont="1" applyFill="1" applyBorder="1" applyAlignment="1">
      <alignment vertical="center"/>
    </xf>
    <xf numFmtId="42" fontId="6" fillId="0" borderId="6" xfId="0" applyNumberFormat="1" applyFont="1" applyFill="1" applyBorder="1" applyAlignment="1">
      <alignment vertical="center"/>
    </xf>
    <xf numFmtId="42" fontId="6" fillId="0" borderId="57" xfId="0" applyNumberFormat="1" applyFont="1" applyFill="1" applyBorder="1" applyAlignment="1">
      <alignment vertical="center"/>
    </xf>
    <xf numFmtId="42" fontId="6" fillId="0" borderId="39" xfId="0" applyNumberFormat="1" applyFont="1" applyFill="1" applyBorder="1" applyAlignment="1">
      <alignment vertical="center"/>
    </xf>
    <xf numFmtId="42" fontId="2" fillId="0" borderId="58" xfId="0" applyNumberFormat="1" applyFont="1" applyFill="1" applyBorder="1" applyAlignment="1">
      <alignment vertical="center"/>
    </xf>
    <xf numFmtId="42" fontId="2" fillId="0" borderId="5" xfId="0" applyNumberFormat="1" applyFont="1" applyFill="1" applyBorder="1" applyAlignment="1">
      <alignment vertical="center"/>
    </xf>
    <xf numFmtId="42" fontId="2" fillId="0" borderId="49" xfId="0" applyNumberFormat="1" applyFont="1" applyFill="1" applyBorder="1" applyAlignment="1">
      <alignment vertical="center"/>
    </xf>
    <xf numFmtId="42" fontId="2" fillId="3" borderId="29" xfId="0" applyNumberFormat="1" applyFont="1" applyFill="1" applyBorder="1" applyAlignment="1">
      <alignment vertical="center"/>
    </xf>
    <xf numFmtId="42" fontId="6" fillId="3" borderId="41" xfId="0" applyNumberFormat="1" applyFont="1" applyFill="1" applyBorder="1" applyAlignment="1">
      <alignment vertical="center"/>
    </xf>
    <xf numFmtId="42" fontId="6" fillId="3" borderId="42" xfId="0" applyNumberFormat="1" applyFont="1" applyFill="1" applyBorder="1" applyAlignment="1">
      <alignment vertical="center"/>
    </xf>
    <xf numFmtId="42" fontId="5" fillId="5" borderId="31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42" fontId="2" fillId="5" borderId="33" xfId="0" applyNumberFormat="1" applyFont="1" applyFill="1" applyBorder="1" applyAlignment="1">
      <alignment vertical="center"/>
    </xf>
    <xf numFmtId="41" fontId="10" fillId="4" borderId="0" xfId="0" applyNumberFormat="1" applyFont="1" applyFill="1"/>
    <xf numFmtId="41" fontId="7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/>
    <xf numFmtId="41" fontId="0" fillId="3" borderId="0" xfId="0" applyNumberFormat="1" applyFill="1"/>
    <xf numFmtId="42" fontId="7" fillId="2" borderId="1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44" fontId="0" fillId="0" borderId="1" xfId="0" applyNumberForma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4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42" fontId="6" fillId="0" borderId="32" xfId="0" applyNumberFormat="1" applyFont="1" applyBorder="1" applyAlignment="1">
      <alignment vertical="center"/>
    </xf>
    <xf numFmtId="42" fontId="6" fillId="0" borderId="14" xfId="0" applyNumberFormat="1" applyFont="1" applyBorder="1" applyAlignment="1">
      <alignment vertical="center"/>
    </xf>
    <xf numFmtId="41" fontId="16" fillId="0" borderId="0" xfId="0" applyNumberFormat="1" applyFont="1"/>
    <xf numFmtId="42" fontId="5" fillId="2" borderId="5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2" fontId="5" fillId="2" borderId="31" xfId="0" applyNumberFormat="1" applyFont="1" applyFill="1" applyBorder="1" applyAlignment="1">
      <alignment horizontal="center" vertical="center"/>
    </xf>
    <xf numFmtId="42" fontId="5" fillId="2" borderId="32" xfId="0" applyNumberFormat="1" applyFont="1" applyFill="1" applyBorder="1" applyAlignment="1">
      <alignment horizontal="center" vertical="center"/>
    </xf>
    <xf numFmtId="42" fontId="5" fillId="2" borderId="3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ncent%20Woudenberg.DESKTOP-RPU3G16/Dropbox/Penningmeester/Financien/2019%20-%202020/Voetbal/Begroting%20Voetbal%202019-2020%20-%20definiti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ncent%20Woudenberg.DESKTOP-RPU3G16/Dropbox/Penningmeester/Financien/2019%20-%202020/Jaarcijfers%202018%20-%202019%20&amp;%20Begroting%20Vereniging%202019%20-%202020%20%20(04-09-201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groting%202017-2018%20(Inclusief%20Verdeelsleutel%20Omze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oitatierekening"/>
      <sheetName val="Balans"/>
      <sheetName val="Leden &amp; Contributie"/>
      <sheetName val="Sponsoring 2019 - 2020"/>
    </sheetNames>
    <sheetDataSet>
      <sheetData sheetId="0"/>
      <sheetData sheetId="1"/>
      <sheetData sheetId="2">
        <row r="16">
          <cell r="D16">
            <v>145</v>
          </cell>
        </row>
        <row r="17">
          <cell r="D17">
            <v>88</v>
          </cell>
        </row>
        <row r="18">
          <cell r="D18">
            <v>73</v>
          </cell>
        </row>
        <row r="19">
          <cell r="D19">
            <v>19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fers - Begroting"/>
      <sheetName val="Afschrijvingen"/>
    </sheetNames>
    <sheetDataSet>
      <sheetData sheetId="0" refreshError="1"/>
      <sheetData sheetId="1">
        <row r="8">
          <cell r="H8">
            <v>8635.9606666666659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 + contributie"/>
      <sheetName val="Investering"/>
      <sheetName val="Sponsoring"/>
      <sheetName val="Energie en water"/>
      <sheetName val="Exploitatierekening"/>
      <sheetName val="Balans"/>
      <sheetName val="tegoeden-tebetalen"/>
      <sheetName val="afrekening onderling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30">
          <cell r="B30">
            <v>0</v>
          </cell>
        </row>
        <row r="34">
          <cell r="B34">
            <v>0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8"/>
  <sheetViews>
    <sheetView tabSelected="1" zoomScale="85" zoomScaleNormal="85" workbookViewId="0">
      <pane xSplit="2" topLeftCell="AA1" activePane="topRight" state="frozen"/>
      <selection pane="topRight" activeCell="J9" sqref="J9"/>
    </sheetView>
  </sheetViews>
  <sheetFormatPr defaultRowHeight="15" x14ac:dyDescent="0.25"/>
  <cols>
    <col min="2" max="2" width="76.42578125" bestFit="1" customWidth="1"/>
    <col min="3" max="3" width="13" customWidth="1"/>
    <col min="4" max="4" width="10.42578125" customWidth="1"/>
    <col min="5" max="5" width="10.7109375" customWidth="1"/>
    <col min="6" max="6" width="11" customWidth="1"/>
    <col min="7" max="7" width="11.42578125" style="8" customWidth="1"/>
    <col min="8" max="8" width="11.5703125" style="8" customWidth="1"/>
    <col min="9" max="9" width="9.85546875" style="8" customWidth="1"/>
    <col min="10" max="10" width="10.85546875" style="8" customWidth="1"/>
    <col min="11" max="11" width="11.140625" style="8" customWidth="1"/>
    <col min="12" max="12" width="11.5703125" style="8" customWidth="1"/>
    <col min="13" max="13" width="11.42578125" style="8" customWidth="1"/>
    <col min="14" max="14" width="11" style="8" customWidth="1"/>
    <col min="15" max="16" width="10.85546875" style="8" customWidth="1"/>
    <col min="17" max="17" width="10.5703125" style="8" customWidth="1"/>
    <col min="18" max="18" width="11.140625" style="8" customWidth="1"/>
    <col min="19" max="19" width="11.42578125" style="8" customWidth="1"/>
    <col min="20" max="21" width="11.28515625" style="8" customWidth="1"/>
    <col min="22" max="22" width="11.140625" style="8" customWidth="1"/>
    <col min="23" max="23" width="10.7109375" style="8" customWidth="1"/>
    <col min="24" max="24" width="11.140625" style="8" customWidth="1"/>
    <col min="25" max="25" width="10.42578125" style="8" customWidth="1"/>
    <col min="26" max="27" width="10.7109375" style="8" customWidth="1"/>
    <col min="28" max="28" width="10.28515625" style="8" customWidth="1"/>
    <col min="29" max="29" width="10.7109375" style="8" customWidth="1"/>
    <col min="30" max="30" width="10.42578125" style="8" customWidth="1"/>
    <col min="31" max="31" width="10.140625" style="8" customWidth="1"/>
    <col min="32" max="32" width="11" style="8" customWidth="1"/>
    <col min="33" max="33" width="10.85546875" style="8" customWidth="1"/>
    <col min="34" max="34" width="10.7109375" style="8" customWidth="1"/>
    <col min="35" max="36" width="10.42578125" style="8" customWidth="1"/>
    <col min="37" max="37" width="11" style="8" customWidth="1"/>
    <col min="38" max="38" width="10.7109375" style="8" customWidth="1"/>
  </cols>
  <sheetData>
    <row r="1" spans="1:38" ht="14.25" customHeight="1" x14ac:dyDescent="0.25">
      <c r="A1" s="257" t="s">
        <v>78</v>
      </c>
      <c r="B1" s="257"/>
      <c r="C1" s="2" t="s">
        <v>80</v>
      </c>
      <c r="G1" s="236" t="s">
        <v>83</v>
      </c>
      <c r="K1" s="238" t="s">
        <v>87</v>
      </c>
      <c r="O1" s="238" t="s">
        <v>88</v>
      </c>
      <c r="S1" s="238" t="s">
        <v>89</v>
      </c>
      <c r="W1" s="238" t="s">
        <v>90</v>
      </c>
      <c r="AA1" s="238" t="s">
        <v>91</v>
      </c>
      <c r="AE1" s="238" t="s">
        <v>92</v>
      </c>
      <c r="AI1" s="238" t="s">
        <v>23</v>
      </c>
    </row>
    <row r="2" spans="1:38" ht="30" customHeight="1" x14ac:dyDescent="0.25">
      <c r="A2" s="257"/>
      <c r="B2" s="257"/>
      <c r="C2" s="3" t="s">
        <v>86</v>
      </c>
      <c r="D2" s="7" t="s">
        <v>205</v>
      </c>
      <c r="E2" s="7" t="s">
        <v>206</v>
      </c>
      <c r="F2" s="7" t="s">
        <v>207</v>
      </c>
      <c r="G2" s="237" t="s">
        <v>86</v>
      </c>
      <c r="H2" s="237" t="s">
        <v>205</v>
      </c>
      <c r="I2" s="237" t="s">
        <v>206</v>
      </c>
      <c r="J2" s="237" t="s">
        <v>207</v>
      </c>
      <c r="K2" s="237" t="s">
        <v>86</v>
      </c>
      <c r="L2" s="237" t="s">
        <v>205</v>
      </c>
      <c r="M2" s="237" t="s">
        <v>206</v>
      </c>
      <c r="N2" s="237" t="s">
        <v>207</v>
      </c>
      <c r="O2" s="237" t="s">
        <v>86</v>
      </c>
      <c r="P2" s="237" t="s">
        <v>205</v>
      </c>
      <c r="Q2" s="237" t="s">
        <v>206</v>
      </c>
      <c r="R2" s="237" t="s">
        <v>207</v>
      </c>
      <c r="S2" s="237" t="s">
        <v>86</v>
      </c>
      <c r="T2" s="237" t="s">
        <v>205</v>
      </c>
      <c r="U2" s="237" t="s">
        <v>206</v>
      </c>
      <c r="V2" s="237" t="s">
        <v>207</v>
      </c>
      <c r="W2" s="237" t="s">
        <v>86</v>
      </c>
      <c r="X2" s="237" t="s">
        <v>205</v>
      </c>
      <c r="Y2" s="237" t="s">
        <v>206</v>
      </c>
      <c r="Z2" s="237" t="s">
        <v>207</v>
      </c>
      <c r="AA2" s="237" t="s">
        <v>86</v>
      </c>
      <c r="AB2" s="237" t="s">
        <v>205</v>
      </c>
      <c r="AC2" s="237" t="s">
        <v>206</v>
      </c>
      <c r="AD2" s="237" t="s">
        <v>207</v>
      </c>
      <c r="AE2" s="237" t="s">
        <v>86</v>
      </c>
      <c r="AF2" s="237" t="s">
        <v>205</v>
      </c>
      <c r="AG2" s="237" t="s">
        <v>206</v>
      </c>
      <c r="AH2" s="237" t="s">
        <v>207</v>
      </c>
      <c r="AI2" s="237" t="s">
        <v>79</v>
      </c>
      <c r="AJ2" s="237" t="s">
        <v>84</v>
      </c>
      <c r="AK2" s="237" t="s">
        <v>85</v>
      </c>
      <c r="AL2" s="237" t="s">
        <v>207</v>
      </c>
    </row>
    <row r="3" spans="1:38" x14ac:dyDescent="0.25">
      <c r="A3" s="4">
        <v>8000</v>
      </c>
      <c r="B3" s="4" t="s">
        <v>0</v>
      </c>
      <c r="C3" s="5">
        <f>SUM(C4:C5)</f>
        <v>1500</v>
      </c>
      <c r="D3" s="5">
        <f t="shared" ref="D3" si="0">SUM(D4:D5)</f>
        <v>1437.6</v>
      </c>
      <c r="E3" s="5">
        <f t="shared" ref="E3:F3" si="1">SUM(E4:E5)</f>
        <v>-62.400000000000091</v>
      </c>
      <c r="F3" s="5">
        <f t="shared" si="1"/>
        <v>1450</v>
      </c>
      <c r="G3" s="5">
        <f t="shared" ref="G3" si="2">SUM(G4:G5)</f>
        <v>66109</v>
      </c>
      <c r="H3" s="5">
        <f t="shared" ref="H3" si="3">SUM(H4:H5)</f>
        <v>68113.429999999993</v>
      </c>
      <c r="I3" s="5">
        <f t="shared" ref="I3" si="4">SUM(I4:I5)</f>
        <v>2004.429999999993</v>
      </c>
      <c r="J3" s="5">
        <f t="shared" ref="J3" si="5">SUM(J4:J5)</f>
        <v>66535</v>
      </c>
      <c r="K3" s="5">
        <f t="shared" ref="K3" si="6">SUM(K4:K5)</f>
        <v>17170</v>
      </c>
      <c r="L3" s="5">
        <f t="shared" ref="L3" si="7">SUM(L4:L5)</f>
        <v>17291.02</v>
      </c>
      <c r="M3" s="5">
        <f t="shared" ref="M3" si="8">SUM(M4:M5)</f>
        <v>121.02000000000044</v>
      </c>
      <c r="N3" s="5">
        <f t="shared" ref="N3" si="9">SUM(N4:N5)</f>
        <v>17314</v>
      </c>
      <c r="O3" s="5">
        <f t="shared" ref="O3" si="10">SUM(O4:O5)</f>
        <v>24086</v>
      </c>
      <c r="P3" s="5">
        <f t="shared" ref="P3" si="11">SUM(P4:P5)</f>
        <v>24283.38</v>
      </c>
      <c r="Q3" s="5">
        <f t="shared" ref="Q3" si="12">SUM(Q4:Q5)</f>
        <v>197.38000000000102</v>
      </c>
      <c r="R3" s="5">
        <f t="shared" ref="R3" si="13">SUM(R4:R5)</f>
        <v>22085</v>
      </c>
      <c r="S3" s="5">
        <f t="shared" ref="S3" si="14">SUM(S4:S5)</f>
        <v>12958</v>
      </c>
      <c r="T3" s="5">
        <f t="shared" ref="T3" si="15">SUM(T4:T5)</f>
        <v>12941.08</v>
      </c>
      <c r="U3" s="5">
        <f t="shared" ref="U3" si="16">SUM(U4:U5)</f>
        <v>-16.920000000000073</v>
      </c>
      <c r="V3" s="5">
        <f t="shared" ref="V3" si="17">SUM(V4:V5)</f>
        <v>10201</v>
      </c>
      <c r="W3" s="5">
        <f t="shared" ref="W3" si="18">SUM(W4:W5)</f>
        <v>5875</v>
      </c>
      <c r="X3" s="5">
        <f t="shared" ref="X3" si="19">SUM(X4:X5)</f>
        <v>5875.2000000000007</v>
      </c>
      <c r="Y3" s="5">
        <f t="shared" ref="Y3" si="20">SUM(Y4:Y5)</f>
        <v>0.2000000000007276</v>
      </c>
      <c r="Z3" s="5">
        <f t="shared" ref="Z3" si="21">SUM(Z4:Z5)</f>
        <v>6518</v>
      </c>
      <c r="AA3" s="5">
        <f t="shared" ref="AA3" si="22">SUM(AA4:AA5)</f>
        <v>4800</v>
      </c>
      <c r="AB3" s="5">
        <f t="shared" ref="AB3" si="23">SUM(AB4:AB5)</f>
        <v>5066</v>
      </c>
      <c r="AC3" s="5">
        <f t="shared" ref="AC3" si="24">SUM(AC4:AC5)</f>
        <v>266</v>
      </c>
      <c r="AD3" s="5">
        <f t="shared" ref="AD3" si="25">SUM(AD4:AD5)</f>
        <v>4911</v>
      </c>
      <c r="AE3" s="5">
        <f t="shared" ref="AE3:AF3" si="26">SUM(AE4:AE5)</f>
        <v>2600</v>
      </c>
      <c r="AF3" s="5">
        <f t="shared" si="26"/>
        <v>2137.5</v>
      </c>
      <c r="AG3" s="5">
        <f t="shared" ref="AG3" si="27">SUM(AG4:AG5)</f>
        <v>-462.5</v>
      </c>
      <c r="AH3" s="5">
        <f t="shared" ref="AH3" si="28">SUM(AH4:AH5)</f>
        <v>1210</v>
      </c>
      <c r="AI3" s="5">
        <f>SUM(AI4:AI5)</f>
        <v>135098</v>
      </c>
      <c r="AJ3" s="5">
        <f>SUM(AJ4:AJ5)</f>
        <v>137145.21</v>
      </c>
      <c r="AK3" s="5">
        <f>SUM(AK4:AK5)</f>
        <v>2047.2099999999859</v>
      </c>
      <c r="AL3" s="5">
        <f>SUM(AL4:AL5)</f>
        <v>130224</v>
      </c>
    </row>
    <row r="4" spans="1:38" x14ac:dyDescent="0.25">
      <c r="A4">
        <v>8010</v>
      </c>
      <c r="B4" t="s">
        <v>1</v>
      </c>
      <c r="C4" s="1">
        <v>0</v>
      </c>
      <c r="D4" s="105">
        <v>0</v>
      </c>
      <c r="E4" s="1">
        <f>D4-C4</f>
        <v>0</v>
      </c>
      <c r="F4" s="1">
        <v>0</v>
      </c>
      <c r="G4" s="1">
        <v>66109</v>
      </c>
      <c r="H4" s="1">
        <v>68113.429999999993</v>
      </c>
      <c r="I4" s="1">
        <f>H4-G4</f>
        <v>2004.429999999993</v>
      </c>
      <c r="J4" s="1">
        <v>66535</v>
      </c>
      <c r="K4" s="1">
        <v>17170</v>
      </c>
      <c r="L4" s="1">
        <v>17291.02</v>
      </c>
      <c r="M4" s="1">
        <f>L4-K4</f>
        <v>121.02000000000044</v>
      </c>
      <c r="N4" s="105">
        <v>17314</v>
      </c>
      <c r="O4" s="1">
        <v>24086</v>
      </c>
      <c r="P4" s="1">
        <v>24283.38</v>
      </c>
      <c r="Q4" s="1">
        <f>P4-O4</f>
        <v>197.38000000000102</v>
      </c>
      <c r="R4" s="1">
        <v>22085</v>
      </c>
      <c r="S4" s="1">
        <v>12958</v>
      </c>
      <c r="T4" s="1">
        <v>12941.08</v>
      </c>
      <c r="U4" s="1">
        <f>T4-S4</f>
        <v>-16.920000000000073</v>
      </c>
      <c r="V4" s="1">
        <v>10201</v>
      </c>
      <c r="W4" s="1">
        <v>5875</v>
      </c>
      <c r="X4" s="1">
        <f>1377+1422.9+1537.65+1537.65</f>
        <v>5875.2000000000007</v>
      </c>
      <c r="Y4" s="1">
        <f>X4-W4</f>
        <v>0.2000000000007276</v>
      </c>
      <c r="Z4" s="1">
        <v>6518</v>
      </c>
      <c r="AA4" s="1">
        <v>4800</v>
      </c>
      <c r="AB4">
        <v>5066</v>
      </c>
      <c r="AC4" s="1">
        <f>AB4-AA4</f>
        <v>266</v>
      </c>
      <c r="AD4" s="1">
        <v>4911</v>
      </c>
      <c r="AE4" s="1">
        <v>2600</v>
      </c>
      <c r="AF4" s="1">
        <v>2137.5</v>
      </c>
      <c r="AG4" s="1">
        <f>AF4-AE4</f>
        <v>-462.5</v>
      </c>
      <c r="AH4" s="1">
        <v>1210</v>
      </c>
      <c r="AI4" s="1">
        <f>C4+G4+K4+O4+S4+W4+AA4+AE4</f>
        <v>133598</v>
      </c>
      <c r="AJ4" s="1">
        <f>D4+H4+L4+P4+T4+X4+AB4+AF4</f>
        <v>135707.60999999999</v>
      </c>
      <c r="AK4" s="1">
        <f>AJ4-AI4</f>
        <v>2109.609999999986</v>
      </c>
      <c r="AL4" s="1">
        <f>F4+J4+N4+R4+V4+Z4+AD4+AH4</f>
        <v>128774</v>
      </c>
    </row>
    <row r="5" spans="1:38" x14ac:dyDescent="0.25">
      <c r="A5">
        <v>8050</v>
      </c>
      <c r="B5" t="s">
        <v>2</v>
      </c>
      <c r="C5" s="1">
        <v>1500</v>
      </c>
      <c r="D5" s="1">
        <v>1437.6</v>
      </c>
      <c r="E5" s="1">
        <f>D5-C5</f>
        <v>-62.400000000000091</v>
      </c>
      <c r="F5" s="105">
        <v>1450</v>
      </c>
      <c r="G5" s="1">
        <v>0</v>
      </c>
      <c r="H5" s="1">
        <v>0</v>
      </c>
      <c r="I5" s="1">
        <f>H5-G5</f>
        <v>0</v>
      </c>
      <c r="J5" s="1">
        <v>0</v>
      </c>
      <c r="K5" s="1">
        <v>0</v>
      </c>
      <c r="L5" s="1">
        <v>0</v>
      </c>
      <c r="M5" s="1">
        <f>L5-K5</f>
        <v>0</v>
      </c>
      <c r="N5" s="1">
        <v>0</v>
      </c>
      <c r="O5" s="1">
        <v>0</v>
      </c>
      <c r="P5" s="1">
        <v>0</v>
      </c>
      <c r="Q5" s="1">
        <f>P5-O5</f>
        <v>0</v>
      </c>
      <c r="R5" s="1">
        <v>0</v>
      </c>
      <c r="S5" s="1">
        <v>0</v>
      </c>
      <c r="T5" s="1">
        <v>0</v>
      </c>
      <c r="U5" s="1">
        <f>T5-S5</f>
        <v>0</v>
      </c>
      <c r="V5" s="1">
        <v>0</v>
      </c>
      <c r="W5" s="1">
        <v>0</v>
      </c>
      <c r="X5" s="1">
        <v>0</v>
      </c>
      <c r="Y5" s="1">
        <f>X5-W5</f>
        <v>0</v>
      </c>
      <c r="Z5" s="1">
        <v>0</v>
      </c>
      <c r="AA5" s="1">
        <v>0</v>
      </c>
      <c r="AB5" s="1">
        <v>0</v>
      </c>
      <c r="AC5" s="1">
        <f>AB5-AA5</f>
        <v>0</v>
      </c>
      <c r="AD5" s="1">
        <v>0</v>
      </c>
      <c r="AE5" s="1">
        <v>0</v>
      </c>
      <c r="AF5" s="1">
        <v>0</v>
      </c>
      <c r="AG5" s="1">
        <f>AF5-AE5</f>
        <v>0</v>
      </c>
      <c r="AH5" s="1">
        <v>0</v>
      </c>
      <c r="AI5" s="1">
        <f>C5+G5+K5+O5+S5+W5+AA5+AE5</f>
        <v>1500</v>
      </c>
      <c r="AJ5" s="1">
        <f>D5+H5+L5+P5+T5+X5+AB5+AF5</f>
        <v>1437.6</v>
      </c>
      <c r="AK5" s="1">
        <f>AJ5-AI5</f>
        <v>-62.400000000000091</v>
      </c>
      <c r="AL5" s="1">
        <f>F5+J5+N5+R5+V5+Z5+AD5+AH5</f>
        <v>1450</v>
      </c>
    </row>
    <row r="6" spans="1:38" x14ac:dyDescent="0.25">
      <c r="A6" s="4">
        <v>8100</v>
      </c>
      <c r="B6" s="4" t="s">
        <v>3</v>
      </c>
      <c r="C6" s="5">
        <f>SUM(C7:C8)</f>
        <v>16745</v>
      </c>
      <c r="D6" s="5">
        <f t="shared" ref="D6:G6" si="29">SUM(D7:D8)</f>
        <v>17608.96</v>
      </c>
      <c r="E6" s="5">
        <f t="shared" si="29"/>
        <v>863.95999999999913</v>
      </c>
      <c r="F6" s="5">
        <f t="shared" si="29"/>
        <v>17095</v>
      </c>
      <c r="G6" s="5">
        <f t="shared" si="29"/>
        <v>30922</v>
      </c>
      <c r="H6" s="5">
        <f>SUM(H7:H8)</f>
        <v>30357.95</v>
      </c>
      <c r="I6" s="5">
        <f t="shared" ref="I6:AL6" si="30">SUM(I7:I8)</f>
        <v>-564.04999999999995</v>
      </c>
      <c r="J6" s="5">
        <f t="shared" si="30"/>
        <v>21187.5</v>
      </c>
      <c r="K6" s="5">
        <f t="shared" si="30"/>
        <v>3863</v>
      </c>
      <c r="L6" s="5">
        <f t="shared" si="30"/>
        <v>4358.74</v>
      </c>
      <c r="M6" s="5">
        <f t="shared" si="30"/>
        <v>495.73999999999978</v>
      </c>
      <c r="N6" s="5">
        <f t="shared" si="30"/>
        <v>3288</v>
      </c>
      <c r="O6" s="5">
        <f t="shared" si="30"/>
        <v>4163</v>
      </c>
      <c r="P6" s="5">
        <f t="shared" si="30"/>
        <v>4135.25</v>
      </c>
      <c r="Q6" s="5">
        <f t="shared" si="30"/>
        <v>-27.75</v>
      </c>
      <c r="R6" s="5">
        <f t="shared" si="30"/>
        <v>3937.5</v>
      </c>
      <c r="S6" s="5">
        <f t="shared" si="30"/>
        <v>1313</v>
      </c>
      <c r="T6" s="5">
        <f t="shared" si="30"/>
        <v>1281.25</v>
      </c>
      <c r="U6" s="5">
        <f t="shared" si="30"/>
        <v>-31.75</v>
      </c>
      <c r="V6" s="5">
        <f t="shared" si="30"/>
        <v>1337.5</v>
      </c>
      <c r="W6" s="5">
        <f t="shared" si="30"/>
        <v>0</v>
      </c>
      <c r="X6" s="5">
        <f t="shared" si="30"/>
        <v>0</v>
      </c>
      <c r="Y6" s="5">
        <f t="shared" si="30"/>
        <v>0</v>
      </c>
      <c r="Z6" s="5">
        <f t="shared" si="30"/>
        <v>0</v>
      </c>
      <c r="AA6" s="5">
        <f t="shared" si="30"/>
        <v>500</v>
      </c>
      <c r="AB6" s="5">
        <f t="shared" si="30"/>
        <v>637</v>
      </c>
      <c r="AC6" s="5">
        <f t="shared" si="30"/>
        <v>137</v>
      </c>
      <c r="AD6" s="5">
        <f t="shared" si="30"/>
        <v>500</v>
      </c>
      <c r="AE6" s="5">
        <f t="shared" si="30"/>
        <v>0</v>
      </c>
      <c r="AF6" s="5">
        <f t="shared" si="30"/>
        <v>0</v>
      </c>
      <c r="AG6" s="5">
        <f t="shared" si="30"/>
        <v>0</v>
      </c>
      <c r="AH6" s="5">
        <f t="shared" si="30"/>
        <v>500</v>
      </c>
      <c r="AI6" s="5">
        <f t="shared" si="30"/>
        <v>57506</v>
      </c>
      <c r="AJ6" s="5">
        <f t="shared" si="30"/>
        <v>58379.149999999994</v>
      </c>
      <c r="AK6" s="5">
        <f t="shared" si="30"/>
        <v>873.14999999999714</v>
      </c>
      <c r="AL6" s="5">
        <f t="shared" si="30"/>
        <v>47845.5</v>
      </c>
    </row>
    <row r="7" spans="1:38" x14ac:dyDescent="0.25">
      <c r="A7">
        <v>8110</v>
      </c>
      <c r="B7" t="s">
        <v>4</v>
      </c>
      <c r="C7" s="1">
        <v>16745</v>
      </c>
      <c r="D7" s="1">
        <v>17608.96</v>
      </c>
      <c r="E7" s="1">
        <f>D7-C7</f>
        <v>863.95999999999913</v>
      </c>
      <c r="F7" s="1">
        <v>17095</v>
      </c>
      <c r="G7" s="105">
        <v>29763</v>
      </c>
      <c r="H7" s="1">
        <v>29613</v>
      </c>
      <c r="I7" s="1">
        <f>H7-G7</f>
        <v>-150</v>
      </c>
      <c r="J7" s="105">
        <v>20187.5</v>
      </c>
      <c r="K7" s="1">
        <v>3863</v>
      </c>
      <c r="L7" s="1">
        <v>4358.74</v>
      </c>
      <c r="M7" s="1">
        <f>L7-K7</f>
        <v>495.73999999999978</v>
      </c>
      <c r="N7" s="1">
        <v>3288</v>
      </c>
      <c r="O7" s="1">
        <v>4163</v>
      </c>
      <c r="P7" s="1">
        <v>4135.25</v>
      </c>
      <c r="Q7" s="1">
        <f>P7-O7</f>
        <v>-27.75</v>
      </c>
      <c r="R7" s="1">
        <v>3937.5</v>
      </c>
      <c r="S7" s="1">
        <v>1313</v>
      </c>
      <c r="T7" s="1">
        <v>1281.25</v>
      </c>
      <c r="U7" s="1">
        <f>T7-S7</f>
        <v>-31.75</v>
      </c>
      <c r="V7" s="1">
        <v>1337.5</v>
      </c>
      <c r="W7" s="1">
        <v>0</v>
      </c>
      <c r="X7" s="1">
        <v>0</v>
      </c>
      <c r="Y7" s="1">
        <f>X7-W7</f>
        <v>0</v>
      </c>
      <c r="Z7" s="1">
        <v>0</v>
      </c>
      <c r="AA7" s="1">
        <v>500</v>
      </c>
      <c r="AB7" s="1">
        <v>637</v>
      </c>
      <c r="AC7" s="1">
        <f>AB7-AA7</f>
        <v>137</v>
      </c>
      <c r="AD7" s="1">
        <v>500</v>
      </c>
      <c r="AE7" s="1">
        <v>0</v>
      </c>
      <c r="AF7" s="1">
        <v>0</v>
      </c>
      <c r="AG7" s="1">
        <f>AF7-AE7</f>
        <v>0</v>
      </c>
      <c r="AH7" s="1">
        <v>500</v>
      </c>
      <c r="AI7" s="1">
        <f>C7+G7+K7+O7+S7+W7+AA7+AE7</f>
        <v>56347</v>
      </c>
      <c r="AJ7" s="1">
        <f>D7+H7+L7+P7+T7+X7+AB7+AF7</f>
        <v>57634.2</v>
      </c>
      <c r="AK7" s="1">
        <f>AJ7-AI7</f>
        <v>1287.1999999999971</v>
      </c>
      <c r="AL7" s="1">
        <f>F7+J7+N7+R7+V7+Z7+AD7+AH7</f>
        <v>46845.5</v>
      </c>
    </row>
    <row r="8" spans="1:38" x14ac:dyDescent="0.25">
      <c r="A8">
        <v>8150</v>
      </c>
      <c r="B8" t="s">
        <v>5</v>
      </c>
      <c r="C8" s="1">
        <v>0</v>
      </c>
      <c r="D8" s="1">
        <v>0</v>
      </c>
      <c r="E8" s="1">
        <f>D8-C8</f>
        <v>0</v>
      </c>
      <c r="F8" s="1">
        <v>0</v>
      </c>
      <c r="G8" s="1">
        <v>1159</v>
      </c>
      <c r="H8" s="1">
        <v>744.95</v>
      </c>
      <c r="I8" s="1">
        <f>H8-G8</f>
        <v>-414.04999999999995</v>
      </c>
      <c r="J8" s="1">
        <v>1000</v>
      </c>
      <c r="K8" s="1">
        <v>0</v>
      </c>
      <c r="L8" s="1">
        <v>0</v>
      </c>
      <c r="M8" s="1">
        <f>L8-K8</f>
        <v>0</v>
      </c>
      <c r="N8" s="1">
        <v>0</v>
      </c>
      <c r="O8" s="1">
        <v>0</v>
      </c>
      <c r="P8" s="1">
        <v>0</v>
      </c>
      <c r="Q8" s="1">
        <f>P8-O8</f>
        <v>0</v>
      </c>
      <c r="R8" s="1">
        <v>0</v>
      </c>
      <c r="S8" s="1">
        <v>0</v>
      </c>
      <c r="T8" s="1">
        <v>0</v>
      </c>
      <c r="U8" s="1">
        <f>T8-S8</f>
        <v>0</v>
      </c>
      <c r="V8" s="1">
        <v>0</v>
      </c>
      <c r="W8" s="1">
        <v>0</v>
      </c>
      <c r="X8" s="1">
        <v>0</v>
      </c>
      <c r="Y8" s="1">
        <f>X8-W8</f>
        <v>0</v>
      </c>
      <c r="Z8" s="1">
        <v>0</v>
      </c>
      <c r="AA8" s="1">
        <v>0</v>
      </c>
      <c r="AB8" s="1"/>
      <c r="AC8" s="1">
        <f>AB8-AA8</f>
        <v>0</v>
      </c>
      <c r="AD8" s="1">
        <v>0</v>
      </c>
      <c r="AE8" s="1">
        <v>0</v>
      </c>
      <c r="AF8" s="1">
        <v>0</v>
      </c>
      <c r="AG8" s="1">
        <f>AF8-AE8</f>
        <v>0</v>
      </c>
      <c r="AH8" s="1">
        <v>0</v>
      </c>
      <c r="AI8" s="1">
        <f>C8+G8+K8+O8+S8+W8+AA8+AE8</f>
        <v>1159</v>
      </c>
      <c r="AJ8" s="1">
        <f>D8+H8+L8+P8+T8+X8+AB8+AF8</f>
        <v>744.95</v>
      </c>
      <c r="AK8" s="1">
        <f>AJ8-AI8</f>
        <v>-414.04999999999995</v>
      </c>
      <c r="AL8" s="1">
        <f>F8+J8+N8+R8+V8+Z8+AD8+AH8</f>
        <v>1000</v>
      </c>
    </row>
    <row r="9" spans="1:38" x14ac:dyDescent="0.25">
      <c r="A9" s="4">
        <v>8200</v>
      </c>
      <c r="B9" s="4" t="s">
        <v>6</v>
      </c>
      <c r="C9" s="5">
        <f>SUM(C10:C13)</f>
        <v>850</v>
      </c>
      <c r="D9" s="5">
        <f t="shared" ref="D9" si="31">SUM(D10:D13)</f>
        <v>260</v>
      </c>
      <c r="E9" s="5">
        <f t="shared" ref="E9:F9" si="32">SUM(E10:E13)</f>
        <v>-590</v>
      </c>
      <c r="F9" s="5">
        <f t="shared" si="32"/>
        <v>1350</v>
      </c>
      <c r="G9" s="5">
        <f t="shared" ref="G9:H9" si="33">SUM(G10:G13)</f>
        <v>7500</v>
      </c>
      <c r="H9" s="5">
        <f t="shared" si="33"/>
        <v>5111.67</v>
      </c>
      <c r="I9" s="5">
        <f t="shared" ref="I9:J9" si="34">SUM(I10:I13)</f>
        <v>-2388.33</v>
      </c>
      <c r="J9" s="5">
        <f t="shared" si="34"/>
        <v>5500</v>
      </c>
      <c r="K9" s="5">
        <f t="shared" ref="K9:L9" si="35">SUM(K10:K13)</f>
        <v>3700</v>
      </c>
      <c r="L9" s="5">
        <f t="shared" si="35"/>
        <v>3536.92</v>
      </c>
      <c r="M9" s="5">
        <f t="shared" ref="M9:N9" si="36">SUM(M10:M13)</f>
        <v>-163.07999999999993</v>
      </c>
      <c r="N9" s="5">
        <f t="shared" si="36"/>
        <v>3000</v>
      </c>
      <c r="O9" s="5">
        <f t="shared" ref="O9:P9" si="37">SUM(O10:O13)</f>
        <v>1350</v>
      </c>
      <c r="P9" s="5">
        <f t="shared" si="37"/>
        <v>2712.17</v>
      </c>
      <c r="Q9" s="5">
        <f t="shared" ref="Q9" si="38">SUM(Q10:Q13)</f>
        <v>1362.17</v>
      </c>
      <c r="R9" s="5">
        <f t="shared" ref="R9" si="39">SUM(R10:R13)</f>
        <v>1350</v>
      </c>
      <c r="S9" s="5">
        <f t="shared" ref="S9" si="40">SUM(S10:S13)</f>
        <v>3000</v>
      </c>
      <c r="T9" s="5">
        <f t="shared" ref="T9" si="41">SUM(T10:T13)</f>
        <v>3931.5</v>
      </c>
      <c r="U9" s="5">
        <f t="shared" ref="U9" si="42">SUM(U10:U13)</f>
        <v>931.5</v>
      </c>
      <c r="V9" s="5">
        <f t="shared" ref="V9" si="43">SUM(V10:V13)</f>
        <v>3500</v>
      </c>
      <c r="W9" s="5">
        <f t="shared" ref="W9" si="44">SUM(W10:W13)</f>
        <v>0</v>
      </c>
      <c r="X9" s="5">
        <f t="shared" ref="X9" si="45">SUM(X10:X13)</f>
        <v>0</v>
      </c>
      <c r="Y9" s="5">
        <f t="shared" ref="Y9" si="46">SUM(Y10:Y13)</f>
        <v>0</v>
      </c>
      <c r="Z9" s="5">
        <f t="shared" ref="Z9" si="47">SUM(Z10:Z13)</f>
        <v>0</v>
      </c>
      <c r="AA9" s="5">
        <f t="shared" ref="AA9:AB9" si="48">SUM(AA10:AA13)</f>
        <v>6500</v>
      </c>
      <c r="AB9" s="5">
        <f t="shared" si="48"/>
        <v>1565</v>
      </c>
      <c r="AC9" s="5">
        <f t="shared" ref="AC9" si="49">SUM(AC10:AC13)</f>
        <v>-4935</v>
      </c>
      <c r="AD9" s="5">
        <f t="shared" ref="AD9:AF9" si="50">SUM(AD10:AD13)</f>
        <v>2200</v>
      </c>
      <c r="AE9" s="5">
        <f t="shared" si="50"/>
        <v>0</v>
      </c>
      <c r="AF9" s="5">
        <f t="shared" si="50"/>
        <v>0</v>
      </c>
      <c r="AG9" s="5">
        <f t="shared" ref="AG9:AH9" si="51">SUM(AG10:AG13)</f>
        <v>0</v>
      </c>
      <c r="AH9" s="5">
        <f t="shared" si="51"/>
        <v>0</v>
      </c>
      <c r="AI9" s="5">
        <f t="shared" ref="AI9" si="52">SUM(AI10:AI13)</f>
        <v>22900</v>
      </c>
      <c r="AJ9" s="5">
        <f t="shared" ref="AJ9" si="53">SUM(AJ10:AJ13)</f>
        <v>17117.260000000002</v>
      </c>
      <c r="AK9" s="5">
        <f t="shared" ref="AK9" si="54">SUM(AK10:AK13)</f>
        <v>-5782.739999999998</v>
      </c>
      <c r="AL9" s="5">
        <f t="shared" ref="AL9" si="55">SUM(AL10:AL13)</f>
        <v>16900</v>
      </c>
    </row>
    <row r="10" spans="1:38" x14ac:dyDescent="0.25">
      <c r="A10">
        <v>8210</v>
      </c>
      <c r="B10" t="s">
        <v>7</v>
      </c>
      <c r="C10" s="1">
        <v>300</v>
      </c>
      <c r="D10" s="1">
        <v>260</v>
      </c>
      <c r="E10" s="1">
        <f>D10-C10</f>
        <v>-40</v>
      </c>
      <c r="F10" s="105">
        <v>250</v>
      </c>
      <c r="G10" s="25">
        <v>0</v>
      </c>
      <c r="H10" s="1">
        <v>0</v>
      </c>
      <c r="I10" s="25">
        <f>H10-G10</f>
        <v>0</v>
      </c>
      <c r="J10" s="1">
        <v>0</v>
      </c>
      <c r="K10" s="25">
        <v>0</v>
      </c>
      <c r="L10" s="1">
        <v>0</v>
      </c>
      <c r="M10" s="25">
        <f>L10-K10</f>
        <v>0</v>
      </c>
      <c r="N10" s="1">
        <v>0</v>
      </c>
      <c r="O10" s="25">
        <v>0</v>
      </c>
      <c r="P10" s="1">
        <v>0</v>
      </c>
      <c r="Q10" s="25">
        <f>P10-O10</f>
        <v>0</v>
      </c>
      <c r="R10" s="25">
        <v>0</v>
      </c>
      <c r="S10" s="25">
        <v>0</v>
      </c>
      <c r="T10" s="25">
        <v>0</v>
      </c>
      <c r="U10" s="25">
        <f>T10-S10</f>
        <v>0</v>
      </c>
      <c r="V10" s="25">
        <v>0</v>
      </c>
      <c r="W10" s="25">
        <v>0</v>
      </c>
      <c r="X10" s="25">
        <v>0</v>
      </c>
      <c r="Y10" s="25">
        <f>X10-W10</f>
        <v>0</v>
      </c>
      <c r="Z10" s="25">
        <v>0</v>
      </c>
      <c r="AA10" s="25">
        <v>0</v>
      </c>
      <c r="AB10" s="1">
        <v>0</v>
      </c>
      <c r="AC10" s="25">
        <f>AB10-AA10</f>
        <v>0</v>
      </c>
      <c r="AD10" s="25">
        <v>0</v>
      </c>
      <c r="AE10" s="25">
        <v>0</v>
      </c>
      <c r="AF10" s="25"/>
      <c r="AG10" s="25">
        <f>AF10-AE10</f>
        <v>0</v>
      </c>
      <c r="AH10" s="25">
        <v>0</v>
      </c>
      <c r="AI10" s="25">
        <f>C10+G10+K10+O10+S10+W10+AA10+AE10</f>
        <v>300</v>
      </c>
      <c r="AJ10" s="25">
        <f>D10+H10+L10+P10+T10+X10+AB10+AF10</f>
        <v>260</v>
      </c>
      <c r="AK10" s="25">
        <f>AJ10-AI10</f>
        <v>-40</v>
      </c>
      <c r="AL10" s="25">
        <f>F10+J10+N10+R10+V10+Z10+AD10+AH10</f>
        <v>250</v>
      </c>
    </row>
    <row r="11" spans="1:38" x14ac:dyDescent="0.25">
      <c r="A11">
        <v>8220</v>
      </c>
      <c r="B11" t="s">
        <v>8</v>
      </c>
      <c r="C11" s="1">
        <v>550</v>
      </c>
      <c r="D11" s="1">
        <v>0</v>
      </c>
      <c r="E11" s="1">
        <f t="shared" ref="E11:E13" si="56">D11-C11</f>
        <v>-550</v>
      </c>
      <c r="F11" s="1">
        <f>550+550</f>
        <v>1100</v>
      </c>
      <c r="G11" s="25">
        <v>0</v>
      </c>
      <c r="H11" s="1">
        <v>0</v>
      </c>
      <c r="I11" s="25">
        <f t="shared" ref="I11:I13" si="57">H11-G11</f>
        <v>0</v>
      </c>
      <c r="J11" s="1">
        <v>0</v>
      </c>
      <c r="K11" s="25">
        <v>0</v>
      </c>
      <c r="L11" s="1">
        <v>0</v>
      </c>
      <c r="M11" s="25">
        <f t="shared" ref="M11:M13" si="58">L11-K11</f>
        <v>0</v>
      </c>
      <c r="N11" s="1">
        <v>0</v>
      </c>
      <c r="O11" s="25">
        <v>0</v>
      </c>
      <c r="P11" s="1">
        <v>0</v>
      </c>
      <c r="Q11" s="25">
        <f t="shared" ref="Q11:Q13" si="59">P11-O11</f>
        <v>0</v>
      </c>
      <c r="R11" s="25">
        <v>0</v>
      </c>
      <c r="S11" s="25">
        <v>0</v>
      </c>
      <c r="T11" s="25">
        <v>0</v>
      </c>
      <c r="U11" s="25">
        <f t="shared" ref="U11:U13" si="60">T11-S11</f>
        <v>0</v>
      </c>
      <c r="V11" s="25">
        <v>0</v>
      </c>
      <c r="W11" s="25">
        <v>0</v>
      </c>
      <c r="X11" s="25">
        <v>0</v>
      </c>
      <c r="Y11" s="25">
        <f t="shared" ref="Y11:Y13" si="61">X11-W11</f>
        <v>0</v>
      </c>
      <c r="Z11" s="25">
        <v>0</v>
      </c>
      <c r="AA11" s="25">
        <v>0</v>
      </c>
      <c r="AB11" s="1">
        <v>0</v>
      </c>
      <c r="AC11" s="25">
        <f t="shared" ref="AC11:AC13" si="62">AB11-AA11</f>
        <v>0</v>
      </c>
      <c r="AD11" s="25">
        <v>0</v>
      </c>
      <c r="AE11" s="25">
        <v>0</v>
      </c>
      <c r="AF11" s="25">
        <v>0</v>
      </c>
      <c r="AG11" s="25">
        <f t="shared" ref="AG11:AG13" si="63">AF11-AE11</f>
        <v>0</v>
      </c>
      <c r="AH11" s="25">
        <v>0</v>
      </c>
      <c r="AI11" s="25">
        <f>C11+G11+K11+O11+S11+W11+AA11+AE11</f>
        <v>550</v>
      </c>
      <c r="AJ11" s="25">
        <f t="shared" ref="AJ11:AJ13" si="64">D11+H11+L11+P11+T11+X11+AB11+AF11</f>
        <v>0</v>
      </c>
      <c r="AK11" s="25">
        <f t="shared" ref="AK11:AK13" si="65">AJ11-AI11</f>
        <v>-550</v>
      </c>
      <c r="AL11" s="25">
        <f t="shared" ref="AL11:AL29" si="66">F11+J11+N11+R11+V11+Z11+AD11+AH11</f>
        <v>1100</v>
      </c>
    </row>
    <row r="12" spans="1:38" x14ac:dyDescent="0.25">
      <c r="A12">
        <v>8230</v>
      </c>
      <c r="B12" t="s">
        <v>9</v>
      </c>
      <c r="C12" s="1">
        <v>0</v>
      </c>
      <c r="D12" s="1">
        <v>0</v>
      </c>
      <c r="E12" s="1">
        <f t="shared" si="56"/>
        <v>0</v>
      </c>
      <c r="F12" s="106">
        <v>0</v>
      </c>
      <c r="G12" s="25">
        <v>0</v>
      </c>
      <c r="H12" s="1">
        <v>0</v>
      </c>
      <c r="I12" s="25">
        <f t="shared" si="57"/>
        <v>0</v>
      </c>
      <c r="J12" s="1">
        <v>0</v>
      </c>
      <c r="K12" s="25">
        <v>0</v>
      </c>
      <c r="L12" s="1">
        <v>0</v>
      </c>
      <c r="M12" s="25">
        <f t="shared" si="58"/>
        <v>0</v>
      </c>
      <c r="N12" s="1">
        <v>0</v>
      </c>
      <c r="O12" s="25">
        <v>0</v>
      </c>
      <c r="P12" s="1">
        <v>0</v>
      </c>
      <c r="Q12" s="25">
        <f t="shared" si="59"/>
        <v>0</v>
      </c>
      <c r="R12" s="25">
        <v>0</v>
      </c>
      <c r="S12" s="25">
        <v>0</v>
      </c>
      <c r="T12" s="25">
        <v>0</v>
      </c>
      <c r="U12" s="25">
        <f t="shared" si="60"/>
        <v>0</v>
      </c>
      <c r="V12" s="25">
        <v>0</v>
      </c>
      <c r="W12" s="25">
        <v>0</v>
      </c>
      <c r="X12" s="25">
        <v>0</v>
      </c>
      <c r="Y12" s="25">
        <f t="shared" si="61"/>
        <v>0</v>
      </c>
      <c r="Z12" s="25">
        <v>0</v>
      </c>
      <c r="AA12" s="25">
        <v>0</v>
      </c>
      <c r="AB12" s="1">
        <v>0</v>
      </c>
      <c r="AC12" s="25">
        <f t="shared" si="62"/>
        <v>0</v>
      </c>
      <c r="AD12" s="25">
        <v>0</v>
      </c>
      <c r="AE12" s="25">
        <v>0</v>
      </c>
      <c r="AF12" s="25">
        <v>0</v>
      </c>
      <c r="AG12" s="25">
        <f t="shared" si="63"/>
        <v>0</v>
      </c>
      <c r="AH12" s="25">
        <v>0</v>
      </c>
      <c r="AI12" s="25">
        <f t="shared" ref="AI12:AI13" si="67">C12+G12+K12+O12+S12+W12+AA12+AE12</f>
        <v>0</v>
      </c>
      <c r="AJ12" s="25">
        <f t="shared" si="64"/>
        <v>0</v>
      </c>
      <c r="AK12" s="25">
        <f t="shared" si="65"/>
        <v>0</v>
      </c>
      <c r="AL12" s="25">
        <f t="shared" si="66"/>
        <v>0</v>
      </c>
    </row>
    <row r="13" spans="1:38" x14ac:dyDescent="0.25">
      <c r="A13">
        <v>8290</v>
      </c>
      <c r="B13" t="s">
        <v>10</v>
      </c>
      <c r="C13" s="1">
        <v>0</v>
      </c>
      <c r="D13" s="105">
        <v>0</v>
      </c>
      <c r="E13" s="1">
        <f t="shared" si="56"/>
        <v>0</v>
      </c>
      <c r="F13" s="106">
        <v>0</v>
      </c>
      <c r="G13" s="25">
        <v>7500</v>
      </c>
      <c r="H13" s="1">
        <v>5111.67</v>
      </c>
      <c r="I13" s="25">
        <f t="shared" si="57"/>
        <v>-2388.33</v>
      </c>
      <c r="J13" s="105">
        <v>5500</v>
      </c>
      <c r="K13" s="25">
        <v>3700</v>
      </c>
      <c r="L13" s="1">
        <v>3536.92</v>
      </c>
      <c r="M13" s="25">
        <f t="shared" si="58"/>
        <v>-163.07999999999993</v>
      </c>
      <c r="N13" s="1">
        <v>3000</v>
      </c>
      <c r="O13" s="25">
        <v>1350</v>
      </c>
      <c r="P13" s="1">
        <v>2712.17</v>
      </c>
      <c r="Q13" s="25">
        <f t="shared" si="59"/>
        <v>1362.17</v>
      </c>
      <c r="R13" s="25">
        <v>1350</v>
      </c>
      <c r="S13" s="25">
        <v>3000</v>
      </c>
      <c r="T13" s="25">
        <v>3931.5</v>
      </c>
      <c r="U13" s="25">
        <f t="shared" si="60"/>
        <v>931.5</v>
      </c>
      <c r="V13" s="25">
        <v>3500</v>
      </c>
      <c r="W13" s="25">
        <v>0</v>
      </c>
      <c r="X13" s="25">
        <v>0</v>
      </c>
      <c r="Y13" s="25">
        <f t="shared" si="61"/>
        <v>0</v>
      </c>
      <c r="Z13" s="25">
        <v>0</v>
      </c>
      <c r="AA13" s="25">
        <v>6500</v>
      </c>
      <c r="AB13" s="1">
        <v>1565</v>
      </c>
      <c r="AC13" s="25">
        <f t="shared" si="62"/>
        <v>-4935</v>
      </c>
      <c r="AD13" s="25">
        <v>2200</v>
      </c>
      <c r="AE13" s="25">
        <v>0</v>
      </c>
      <c r="AF13" s="25">
        <v>0</v>
      </c>
      <c r="AG13" s="25">
        <f t="shared" si="63"/>
        <v>0</v>
      </c>
      <c r="AH13" s="25">
        <v>0</v>
      </c>
      <c r="AI13" s="25">
        <f t="shared" si="67"/>
        <v>22050</v>
      </c>
      <c r="AJ13" s="25">
        <f t="shared" si="64"/>
        <v>16857.260000000002</v>
      </c>
      <c r="AK13" s="25">
        <f t="shared" si="65"/>
        <v>-5192.739999999998</v>
      </c>
      <c r="AL13" s="25">
        <f t="shared" si="66"/>
        <v>15550</v>
      </c>
    </row>
    <row r="14" spans="1:38" x14ac:dyDescent="0.25">
      <c r="A14" s="4">
        <v>8300</v>
      </c>
      <c r="B14" s="4" t="s">
        <v>11</v>
      </c>
      <c r="C14" s="5">
        <f>SUM(C15)</f>
        <v>650</v>
      </c>
      <c r="D14" s="5">
        <f t="shared" ref="D14" si="68">SUM(D15)</f>
        <v>1478.15</v>
      </c>
      <c r="E14" s="5">
        <f t="shared" ref="E14:F14" si="69">SUM(E15)</f>
        <v>828.15000000000009</v>
      </c>
      <c r="F14" s="5">
        <f t="shared" si="69"/>
        <v>1450</v>
      </c>
      <c r="G14" s="5">
        <f t="shared" ref="G14:H14" si="70">SUM(G15)</f>
        <v>8863.9599999999991</v>
      </c>
      <c r="H14" s="5">
        <f t="shared" si="70"/>
        <v>8863.9599999999991</v>
      </c>
      <c r="I14" s="5">
        <f t="shared" ref="I14:J14" si="71">SUM(I15)</f>
        <v>0</v>
      </c>
      <c r="J14" s="5">
        <f t="shared" si="71"/>
        <v>8864</v>
      </c>
      <c r="K14" s="5">
        <f t="shared" ref="K14:L14" si="72">SUM(K15)</f>
        <v>0</v>
      </c>
      <c r="L14" s="5">
        <f t="shared" si="72"/>
        <v>490</v>
      </c>
      <c r="M14" s="5">
        <f t="shared" ref="M14:N14" si="73">SUM(M15)</f>
        <v>490</v>
      </c>
      <c r="N14" s="5">
        <f t="shared" si="73"/>
        <v>0</v>
      </c>
      <c r="O14" s="5">
        <f t="shared" ref="O14:P14" si="74">SUM(O15)</f>
        <v>0</v>
      </c>
      <c r="P14" s="5">
        <f t="shared" si="74"/>
        <v>0</v>
      </c>
      <c r="Q14" s="5">
        <f t="shared" ref="Q14" si="75">SUM(Q15)</f>
        <v>0</v>
      </c>
      <c r="R14" s="5">
        <f t="shared" ref="R14" si="76">SUM(R15)</f>
        <v>0</v>
      </c>
      <c r="S14" s="5">
        <f t="shared" ref="S14" si="77">SUM(S15)</f>
        <v>0</v>
      </c>
      <c r="T14" s="5">
        <f t="shared" ref="T14" si="78">SUM(T15)</f>
        <v>0</v>
      </c>
      <c r="U14" s="5">
        <f t="shared" ref="U14" si="79">SUM(U15)</f>
        <v>0</v>
      </c>
      <c r="V14" s="5">
        <f t="shared" ref="V14" si="80">SUM(V15)</f>
        <v>0</v>
      </c>
      <c r="W14" s="5">
        <f t="shared" ref="W14" si="81">SUM(W15)</f>
        <v>0</v>
      </c>
      <c r="X14" s="5">
        <f t="shared" ref="X14" si="82">SUM(X15)</f>
        <v>0</v>
      </c>
      <c r="Y14" s="5">
        <f t="shared" ref="Y14" si="83">SUM(Y15)</f>
        <v>0</v>
      </c>
      <c r="Z14" s="5">
        <f t="shared" ref="Z14" si="84">SUM(Z15)</f>
        <v>0</v>
      </c>
      <c r="AA14" s="5">
        <f t="shared" ref="AA14:AB14" si="85">SUM(AA15)</f>
        <v>0</v>
      </c>
      <c r="AB14" s="5">
        <f t="shared" si="85"/>
        <v>0</v>
      </c>
      <c r="AC14" s="5">
        <f t="shared" ref="AC14" si="86">SUM(AC15)</f>
        <v>0</v>
      </c>
      <c r="AD14" s="5">
        <f t="shared" ref="AD14" si="87">SUM(AD15)</f>
        <v>0</v>
      </c>
      <c r="AE14" s="5">
        <f t="shared" ref="AE14:AF14" si="88">SUM(AE15)</f>
        <v>0</v>
      </c>
      <c r="AF14" s="5">
        <f t="shared" si="88"/>
        <v>0</v>
      </c>
      <c r="AG14" s="5">
        <f t="shared" ref="AG14" si="89">SUM(AG15)</f>
        <v>0</v>
      </c>
      <c r="AH14" s="5">
        <f t="shared" ref="AH14" si="90">SUM(AH15)</f>
        <v>0</v>
      </c>
      <c r="AI14" s="5">
        <f t="shared" ref="AI14" si="91">SUM(AI15)</f>
        <v>9513.9599999999991</v>
      </c>
      <c r="AJ14" s="5">
        <f t="shared" ref="AJ14" si="92">SUM(AJ15)</f>
        <v>10832.109999999999</v>
      </c>
      <c r="AK14" s="5">
        <f t="shared" ref="AK14" si="93">SUM(AK15)</f>
        <v>1318.1499999999996</v>
      </c>
      <c r="AL14" s="5">
        <f t="shared" ref="AL14" si="94">SUM(AL15)</f>
        <v>10314</v>
      </c>
    </row>
    <row r="15" spans="1:38" x14ac:dyDescent="0.25">
      <c r="A15">
        <v>8310</v>
      </c>
      <c r="B15" t="s">
        <v>11</v>
      </c>
      <c r="C15" s="1">
        <v>650</v>
      </c>
      <c r="D15" s="105">
        <v>1478.15</v>
      </c>
      <c r="E15" s="1">
        <f>D15-C15</f>
        <v>828.15000000000009</v>
      </c>
      <c r="F15" s="105">
        <v>1450</v>
      </c>
      <c r="G15" s="235">
        <v>8863.9599999999991</v>
      </c>
      <c r="H15" s="1">
        <v>8863.9599999999991</v>
      </c>
      <c r="I15" s="25">
        <f>H15-G15</f>
        <v>0</v>
      </c>
      <c r="J15" s="105">
        <v>8864</v>
      </c>
      <c r="K15" s="25">
        <v>0</v>
      </c>
      <c r="L15" s="1">
        <v>490</v>
      </c>
      <c r="M15" s="25">
        <f>L15-K15</f>
        <v>490</v>
      </c>
      <c r="N15" s="1">
        <v>0</v>
      </c>
      <c r="O15" s="25">
        <v>0</v>
      </c>
      <c r="P15" s="1">
        <v>0</v>
      </c>
      <c r="Q15" s="25">
        <f>P15-O15</f>
        <v>0</v>
      </c>
      <c r="R15" s="25">
        <v>0</v>
      </c>
      <c r="S15" s="25">
        <v>0</v>
      </c>
      <c r="T15" s="25">
        <v>0</v>
      </c>
      <c r="U15" s="25">
        <f>T15-S15</f>
        <v>0</v>
      </c>
      <c r="V15" s="25">
        <v>0</v>
      </c>
      <c r="W15" s="25">
        <v>0</v>
      </c>
      <c r="X15" s="25">
        <v>0</v>
      </c>
      <c r="Y15" s="25">
        <f>X15-W15</f>
        <v>0</v>
      </c>
      <c r="Z15" s="25">
        <v>0</v>
      </c>
      <c r="AA15" s="25">
        <v>0</v>
      </c>
      <c r="AB15" s="1">
        <v>0</v>
      </c>
      <c r="AC15" s="25">
        <f>AB15-AA15</f>
        <v>0</v>
      </c>
      <c r="AD15" s="25">
        <v>0</v>
      </c>
      <c r="AE15" s="25">
        <v>0</v>
      </c>
      <c r="AF15" s="25">
        <v>0</v>
      </c>
      <c r="AG15" s="25">
        <f>AF15-AE15</f>
        <v>0</v>
      </c>
      <c r="AH15" s="25">
        <v>0</v>
      </c>
      <c r="AI15" s="25">
        <f>C15+G15+K15+O15+S15+W15+AA15+AE15</f>
        <v>9513.9599999999991</v>
      </c>
      <c r="AJ15" s="25">
        <f>D15+H15+L15+P15+T15+X15+AB15+AF15</f>
        <v>10832.109999999999</v>
      </c>
      <c r="AK15" s="25">
        <f>AJ15-AI15</f>
        <v>1318.1499999999996</v>
      </c>
      <c r="AL15" s="25">
        <f>F15+J15+N15+R15+V15+Z15+AD15+AH15</f>
        <v>10314</v>
      </c>
    </row>
    <row r="16" spans="1:38" x14ac:dyDescent="0.25">
      <c r="A16" s="4">
        <v>8500</v>
      </c>
      <c r="B16" s="4" t="s">
        <v>12</v>
      </c>
      <c r="C16" s="5">
        <f t="shared" ref="C16:E16" si="95">SUM(C17:C24)</f>
        <v>3500</v>
      </c>
      <c r="D16" s="5">
        <f t="shared" ref="D16" si="96">SUM(D17:D24)</f>
        <v>4907.09</v>
      </c>
      <c r="E16" s="5">
        <f t="shared" si="95"/>
        <v>1407.0900000000001</v>
      </c>
      <c r="F16" s="5">
        <f t="shared" ref="F16" si="97">SUM(F17:F24)</f>
        <v>14012.4</v>
      </c>
      <c r="G16" s="5">
        <f t="shared" ref="G16:AL16" si="98">SUM(G17:G24)</f>
        <v>27209.599999999999</v>
      </c>
      <c r="H16" s="5">
        <f t="shared" si="98"/>
        <v>32115.43</v>
      </c>
      <c r="I16" s="5">
        <f t="shared" si="98"/>
        <v>4905.8300000000036</v>
      </c>
      <c r="J16" s="5">
        <f t="shared" si="98"/>
        <v>28635</v>
      </c>
      <c r="K16" s="5">
        <f t="shared" si="98"/>
        <v>3340</v>
      </c>
      <c r="L16" s="5">
        <f t="shared" si="98"/>
        <v>3700.24</v>
      </c>
      <c r="M16" s="5">
        <f t="shared" si="98"/>
        <v>360.2399999999999</v>
      </c>
      <c r="N16" s="5">
        <f t="shared" si="98"/>
        <v>3240</v>
      </c>
      <c r="O16" s="5">
        <f t="shared" si="98"/>
        <v>2891</v>
      </c>
      <c r="P16" s="5">
        <f t="shared" si="98"/>
        <v>2749.2200000000003</v>
      </c>
      <c r="Q16" s="5">
        <f t="shared" si="98"/>
        <v>-141.78000000000003</v>
      </c>
      <c r="R16" s="5">
        <f t="shared" si="98"/>
        <v>2350</v>
      </c>
      <c r="S16" s="5">
        <f t="shared" si="98"/>
        <v>750</v>
      </c>
      <c r="T16" s="5">
        <f t="shared" si="98"/>
        <v>120</v>
      </c>
      <c r="U16" s="5">
        <f t="shared" si="98"/>
        <v>-630</v>
      </c>
      <c r="V16" s="5">
        <f t="shared" si="98"/>
        <v>682</v>
      </c>
      <c r="W16" s="5">
        <f t="shared" si="98"/>
        <v>2500</v>
      </c>
      <c r="X16" s="5">
        <f t="shared" si="98"/>
        <v>5846.04</v>
      </c>
      <c r="Y16" s="5">
        <f t="shared" si="98"/>
        <v>3346.04</v>
      </c>
      <c r="Z16" s="5">
        <f t="shared" si="98"/>
        <v>3300</v>
      </c>
      <c r="AA16" s="5">
        <f t="shared" si="98"/>
        <v>500</v>
      </c>
      <c r="AB16" s="5">
        <f t="shared" si="98"/>
        <v>529</v>
      </c>
      <c r="AC16" s="5">
        <f t="shared" si="98"/>
        <v>29</v>
      </c>
      <c r="AD16" s="5">
        <f t="shared" si="98"/>
        <v>400</v>
      </c>
      <c r="AE16" s="5">
        <f t="shared" si="98"/>
        <v>50</v>
      </c>
      <c r="AF16" s="5">
        <f t="shared" si="98"/>
        <v>0</v>
      </c>
      <c r="AG16" s="5">
        <f t="shared" si="98"/>
        <v>-50</v>
      </c>
      <c r="AH16" s="5">
        <f t="shared" si="98"/>
        <v>40</v>
      </c>
      <c r="AI16" s="5">
        <f t="shared" si="98"/>
        <v>40740.6</v>
      </c>
      <c r="AJ16" s="5">
        <f t="shared" si="98"/>
        <v>49967.020000000004</v>
      </c>
      <c r="AK16" s="5">
        <f t="shared" si="98"/>
        <v>9226.42</v>
      </c>
      <c r="AL16" s="5">
        <f t="shared" si="98"/>
        <v>52659.4</v>
      </c>
    </row>
    <row r="17" spans="1:38" x14ac:dyDescent="0.25">
      <c r="A17">
        <v>8520</v>
      </c>
      <c r="B17" t="s">
        <v>13</v>
      </c>
      <c r="C17" s="1">
        <v>0</v>
      </c>
      <c r="D17" s="1">
        <v>249.83</v>
      </c>
      <c r="E17" s="1">
        <f t="shared" ref="E17:E23" si="99">D17-C17</f>
        <v>249.83</v>
      </c>
      <c r="F17" s="1">
        <f>57.13+54.45+51.76+49.06</f>
        <v>212.4</v>
      </c>
      <c r="G17" s="25">
        <v>0</v>
      </c>
      <c r="H17" s="1">
        <v>0</v>
      </c>
      <c r="I17" s="25">
        <f>H17-G17</f>
        <v>0</v>
      </c>
      <c r="J17" s="1">
        <v>0</v>
      </c>
      <c r="K17" s="25">
        <v>0</v>
      </c>
      <c r="L17" s="1">
        <v>0</v>
      </c>
      <c r="M17" s="25">
        <f>L17-K17</f>
        <v>0</v>
      </c>
      <c r="N17" s="1">
        <v>0</v>
      </c>
      <c r="O17" s="25">
        <v>0</v>
      </c>
      <c r="P17" s="1">
        <v>0</v>
      </c>
      <c r="Q17" s="25">
        <f>P17-O17</f>
        <v>0</v>
      </c>
      <c r="R17" s="25">
        <v>0</v>
      </c>
      <c r="S17" s="25">
        <v>0</v>
      </c>
      <c r="T17" s="25">
        <v>0</v>
      </c>
      <c r="U17" s="25">
        <f>T17-S17</f>
        <v>0</v>
      </c>
      <c r="V17" s="25">
        <v>0</v>
      </c>
      <c r="W17" s="25">
        <v>0</v>
      </c>
      <c r="X17" s="25">
        <v>0</v>
      </c>
      <c r="Y17" s="25">
        <f>X17-W17</f>
        <v>0</v>
      </c>
      <c r="Z17" s="25">
        <v>0</v>
      </c>
      <c r="AA17" s="25">
        <v>0</v>
      </c>
      <c r="AB17" s="1">
        <v>0</v>
      </c>
      <c r="AC17" s="25">
        <f>AB17-AA17</f>
        <v>0</v>
      </c>
      <c r="AD17" s="25">
        <v>0</v>
      </c>
      <c r="AE17" s="25">
        <v>0</v>
      </c>
      <c r="AF17" s="25">
        <v>0</v>
      </c>
      <c r="AG17" s="25">
        <f>AF17-AE17</f>
        <v>0</v>
      </c>
      <c r="AH17" s="25">
        <v>0</v>
      </c>
      <c r="AI17" s="25">
        <f>C17+G17+K17+O17+S17+W17+AA17+AE17</f>
        <v>0</v>
      </c>
      <c r="AJ17" s="25">
        <f>D17+H17+L17+P17+T17+X17+AB17+AF17</f>
        <v>249.83</v>
      </c>
      <c r="AK17" s="25">
        <f>AJ17-AI17</f>
        <v>249.83</v>
      </c>
      <c r="AL17" s="25">
        <f t="shared" si="66"/>
        <v>212.4</v>
      </c>
    </row>
    <row r="18" spans="1:38" x14ac:dyDescent="0.25">
      <c r="A18">
        <v>8530</v>
      </c>
      <c r="B18" t="s">
        <v>14</v>
      </c>
      <c r="C18" s="1">
        <v>0</v>
      </c>
      <c r="D18" s="1">
        <v>0</v>
      </c>
      <c r="E18" s="1">
        <f t="shared" si="99"/>
        <v>0</v>
      </c>
      <c r="F18" s="1">
        <v>0</v>
      </c>
      <c r="G18" s="25">
        <v>600</v>
      </c>
      <c r="H18" s="1">
        <v>364.6</v>
      </c>
      <c r="I18" s="25">
        <f t="shared" ref="I18:I24" si="100">H18-G18</f>
        <v>-235.39999999999998</v>
      </c>
      <c r="J18" s="1">
        <v>500</v>
      </c>
      <c r="K18" s="25">
        <v>0</v>
      </c>
      <c r="L18" s="1">
        <v>0</v>
      </c>
      <c r="M18" s="25">
        <f t="shared" ref="M18:M24" si="101">L18-K18</f>
        <v>0</v>
      </c>
      <c r="N18" s="1">
        <v>0</v>
      </c>
      <c r="O18" s="25">
        <v>0</v>
      </c>
      <c r="P18" s="1">
        <v>0</v>
      </c>
      <c r="Q18" s="25">
        <f t="shared" ref="Q18:Q24" si="102">P18-O18</f>
        <v>0</v>
      </c>
      <c r="R18" s="25">
        <v>0</v>
      </c>
      <c r="S18" s="25">
        <v>0</v>
      </c>
      <c r="T18" s="25">
        <v>0</v>
      </c>
      <c r="U18" s="25">
        <f t="shared" ref="U18:U24" si="103">T18-S18</f>
        <v>0</v>
      </c>
      <c r="V18" s="25">
        <v>0</v>
      </c>
      <c r="W18" s="25">
        <v>0</v>
      </c>
      <c r="X18" s="25">
        <v>0</v>
      </c>
      <c r="Y18" s="25">
        <f t="shared" ref="Y18:Y24" si="104">X18-W18</f>
        <v>0</v>
      </c>
      <c r="Z18" s="25">
        <v>0</v>
      </c>
      <c r="AA18" s="25">
        <v>0</v>
      </c>
      <c r="AB18" s="1">
        <v>0</v>
      </c>
      <c r="AC18" s="25">
        <f>AB18-AA18</f>
        <v>0</v>
      </c>
      <c r="AD18" s="25">
        <v>0</v>
      </c>
      <c r="AE18" s="25">
        <v>0</v>
      </c>
      <c r="AF18" s="25">
        <v>0</v>
      </c>
      <c r="AG18" s="25">
        <f t="shared" ref="AG18:AG24" si="105">AF18-AE18</f>
        <v>0</v>
      </c>
      <c r="AH18" s="25">
        <v>0</v>
      </c>
      <c r="AI18" s="25">
        <f t="shared" ref="AI18:AI24" si="106">C18+G18+K18+O18+S18+W18+AA18+AE18</f>
        <v>600</v>
      </c>
      <c r="AJ18" s="25">
        <f t="shared" ref="AJ18:AJ24" si="107">D18+H18+L18+P18+T18+X18+AB18+AF18</f>
        <v>364.6</v>
      </c>
      <c r="AK18" s="25">
        <f t="shared" ref="AK18:AK23" si="108">AJ18-AI18</f>
        <v>-235.39999999999998</v>
      </c>
      <c r="AL18" s="25">
        <f t="shared" si="66"/>
        <v>500</v>
      </c>
    </row>
    <row r="19" spans="1:38" x14ac:dyDescent="0.25">
      <c r="A19">
        <v>8570</v>
      </c>
      <c r="B19" t="s">
        <v>15</v>
      </c>
      <c r="C19" s="1">
        <v>0</v>
      </c>
      <c r="D19" s="1">
        <v>0</v>
      </c>
      <c r="E19" s="1">
        <f t="shared" si="99"/>
        <v>0</v>
      </c>
      <c r="F19" s="1">
        <v>0</v>
      </c>
      <c r="G19" s="25">
        <v>0</v>
      </c>
      <c r="H19" s="1">
        <v>0</v>
      </c>
      <c r="I19" s="25">
        <f t="shared" si="100"/>
        <v>0</v>
      </c>
      <c r="J19" s="1">
        <v>0</v>
      </c>
      <c r="K19" s="25">
        <v>0</v>
      </c>
      <c r="L19" s="1">
        <v>0</v>
      </c>
      <c r="M19" s="25">
        <f t="shared" si="101"/>
        <v>0</v>
      </c>
      <c r="N19" s="1">
        <v>0</v>
      </c>
      <c r="O19" s="25">
        <v>0</v>
      </c>
      <c r="P19" s="1">
        <v>0</v>
      </c>
      <c r="Q19" s="25">
        <f t="shared" si="102"/>
        <v>0</v>
      </c>
      <c r="R19" s="25">
        <v>0</v>
      </c>
      <c r="S19" s="25">
        <v>0</v>
      </c>
      <c r="T19" s="25">
        <v>0</v>
      </c>
      <c r="U19" s="25">
        <f t="shared" si="103"/>
        <v>0</v>
      </c>
      <c r="V19" s="25">
        <v>0</v>
      </c>
      <c r="W19" s="25">
        <v>0</v>
      </c>
      <c r="X19" s="25">
        <v>0</v>
      </c>
      <c r="Y19" s="25">
        <f t="shared" si="104"/>
        <v>0</v>
      </c>
      <c r="Z19" s="25">
        <v>0</v>
      </c>
      <c r="AA19" s="25">
        <v>0</v>
      </c>
      <c r="AB19" s="1">
        <v>0</v>
      </c>
      <c r="AC19" s="25">
        <f t="shared" ref="AC19:AC24" si="109">AB19-AA19</f>
        <v>0</v>
      </c>
      <c r="AD19" s="25">
        <v>0</v>
      </c>
      <c r="AE19" s="25">
        <v>0</v>
      </c>
      <c r="AF19" s="25">
        <v>0</v>
      </c>
      <c r="AG19" s="25">
        <f t="shared" si="105"/>
        <v>0</v>
      </c>
      <c r="AH19" s="25">
        <v>0</v>
      </c>
      <c r="AI19" s="25">
        <f t="shared" si="106"/>
        <v>0</v>
      </c>
      <c r="AJ19" s="25">
        <f t="shared" si="107"/>
        <v>0</v>
      </c>
      <c r="AK19" s="25">
        <f t="shared" si="108"/>
        <v>0</v>
      </c>
      <c r="AL19" s="25">
        <f t="shared" si="66"/>
        <v>0</v>
      </c>
    </row>
    <row r="20" spans="1:38" s="8" customFormat="1" x14ac:dyDescent="0.25">
      <c r="A20" s="8">
        <v>8571</v>
      </c>
      <c r="B20" s="8" t="s">
        <v>16</v>
      </c>
      <c r="C20" s="1">
        <v>0</v>
      </c>
      <c r="D20" s="1">
        <v>0</v>
      </c>
      <c r="E20" s="1">
        <f t="shared" si="99"/>
        <v>0</v>
      </c>
      <c r="F20" s="1">
        <v>0</v>
      </c>
      <c r="G20" s="25">
        <v>0</v>
      </c>
      <c r="H20" s="1">
        <v>0</v>
      </c>
      <c r="I20" s="25">
        <f t="shared" si="100"/>
        <v>0</v>
      </c>
      <c r="J20" s="1">
        <v>0</v>
      </c>
      <c r="K20" s="25">
        <v>0</v>
      </c>
      <c r="L20" s="1">
        <v>0</v>
      </c>
      <c r="M20" s="25">
        <f t="shared" si="101"/>
        <v>0</v>
      </c>
      <c r="N20" s="1">
        <v>0</v>
      </c>
      <c r="O20" s="25">
        <v>0</v>
      </c>
      <c r="P20" s="1">
        <v>0</v>
      </c>
      <c r="Q20" s="25">
        <f t="shared" si="102"/>
        <v>0</v>
      </c>
      <c r="R20" s="25">
        <v>0</v>
      </c>
      <c r="S20" s="25">
        <v>0</v>
      </c>
      <c r="T20" s="25">
        <v>0</v>
      </c>
      <c r="U20" s="25">
        <f t="shared" si="103"/>
        <v>0</v>
      </c>
      <c r="V20" s="25">
        <v>0</v>
      </c>
      <c r="W20" s="25">
        <v>0</v>
      </c>
      <c r="X20" s="25">
        <v>0</v>
      </c>
      <c r="Y20" s="25">
        <f t="shared" si="104"/>
        <v>0</v>
      </c>
      <c r="Z20" s="25">
        <v>0</v>
      </c>
      <c r="AA20" s="25">
        <v>0</v>
      </c>
      <c r="AB20" s="1">
        <v>0</v>
      </c>
      <c r="AC20" s="25">
        <f t="shared" si="109"/>
        <v>0</v>
      </c>
      <c r="AD20" s="25">
        <v>0</v>
      </c>
      <c r="AE20" s="25">
        <v>0</v>
      </c>
      <c r="AF20" s="25">
        <v>0</v>
      </c>
      <c r="AG20" s="25">
        <f t="shared" si="105"/>
        <v>0</v>
      </c>
      <c r="AH20" s="25">
        <v>0</v>
      </c>
      <c r="AI20" s="25">
        <f t="shared" si="106"/>
        <v>0</v>
      </c>
      <c r="AJ20" s="25">
        <f t="shared" si="107"/>
        <v>0</v>
      </c>
      <c r="AK20" s="25">
        <f t="shared" si="108"/>
        <v>0</v>
      </c>
      <c r="AL20" s="25">
        <f t="shared" si="66"/>
        <v>0</v>
      </c>
    </row>
    <row r="21" spans="1:38" s="8" customFormat="1" x14ac:dyDescent="0.25">
      <c r="A21" s="8">
        <v>8590</v>
      </c>
      <c r="B21" s="8" t="s">
        <v>17</v>
      </c>
      <c r="C21" s="1">
        <v>3500</v>
      </c>
      <c r="D21" s="105">
        <v>4657.26</v>
      </c>
      <c r="E21" s="105">
        <f t="shared" si="99"/>
        <v>1157.2600000000002</v>
      </c>
      <c r="F21" s="1">
        <f>3750+10050</f>
        <v>13800</v>
      </c>
      <c r="G21" s="25">
        <f>44*69</f>
        <v>3036</v>
      </c>
      <c r="H21" s="1">
        <v>3377.25</v>
      </c>
      <c r="I21" s="25">
        <f t="shared" si="100"/>
        <v>341.25</v>
      </c>
      <c r="J21" s="1">
        <f>75*69-40</f>
        <v>5135</v>
      </c>
      <c r="K21" s="25">
        <v>0</v>
      </c>
      <c r="L21" s="1">
        <v>89.12</v>
      </c>
      <c r="M21" s="25">
        <f t="shared" si="101"/>
        <v>89.12</v>
      </c>
      <c r="N21" s="1">
        <v>0</v>
      </c>
      <c r="O21" s="25">
        <v>0</v>
      </c>
      <c r="P21" s="1">
        <f>280.42-240</f>
        <v>40.420000000000016</v>
      </c>
      <c r="Q21" s="25">
        <f t="shared" si="102"/>
        <v>40.420000000000016</v>
      </c>
      <c r="R21" s="25">
        <v>0</v>
      </c>
      <c r="S21" s="25">
        <v>750</v>
      </c>
      <c r="T21" s="25">
        <v>120</v>
      </c>
      <c r="U21" s="25">
        <f t="shared" si="103"/>
        <v>-630</v>
      </c>
      <c r="V21" s="25">
        <v>500</v>
      </c>
      <c r="W21" s="25">
        <v>0</v>
      </c>
      <c r="X21" s="25">
        <f>1010+208.4+2125.16</f>
        <v>3343.56</v>
      </c>
      <c r="Y21" s="25">
        <f t="shared" si="104"/>
        <v>3343.56</v>
      </c>
      <c r="Z21" s="25">
        <v>0</v>
      </c>
      <c r="AA21" s="25">
        <v>0</v>
      </c>
      <c r="AB21" s="1">
        <v>0</v>
      </c>
      <c r="AC21" s="25">
        <f t="shared" si="109"/>
        <v>0</v>
      </c>
      <c r="AD21" s="25">
        <v>0</v>
      </c>
      <c r="AE21" s="25">
        <v>0</v>
      </c>
      <c r="AF21" s="25">
        <v>0</v>
      </c>
      <c r="AG21" s="25">
        <f t="shared" si="105"/>
        <v>0</v>
      </c>
      <c r="AH21" s="25">
        <v>0</v>
      </c>
      <c r="AI21" s="25">
        <f t="shared" si="106"/>
        <v>7286</v>
      </c>
      <c r="AJ21" s="25">
        <f t="shared" si="107"/>
        <v>11627.609999999999</v>
      </c>
      <c r="AK21" s="25">
        <f t="shared" si="108"/>
        <v>4341.6099999999988</v>
      </c>
      <c r="AL21" s="25">
        <f t="shared" si="66"/>
        <v>19435</v>
      </c>
    </row>
    <row r="22" spans="1:38" x14ac:dyDescent="0.25">
      <c r="A22">
        <v>8591</v>
      </c>
      <c r="B22" t="s">
        <v>18</v>
      </c>
      <c r="C22" s="1">
        <v>0</v>
      </c>
      <c r="D22" s="1">
        <v>0</v>
      </c>
      <c r="E22" s="1">
        <f t="shared" si="99"/>
        <v>0</v>
      </c>
      <c r="F22" s="1">
        <v>0</v>
      </c>
      <c r="G22" s="25">
        <v>6600</v>
      </c>
      <c r="H22" s="1">
        <v>6800</v>
      </c>
      <c r="I22" s="25">
        <f t="shared" si="100"/>
        <v>200</v>
      </c>
      <c r="J22" s="1">
        <f>SUM('[1]Leden &amp; Contributie'!D16:D19)*5*4</f>
        <v>6500</v>
      </c>
      <c r="K22" s="25">
        <v>2040</v>
      </c>
      <c r="L22" s="1">
        <v>2065</v>
      </c>
      <c r="M22" s="25">
        <f t="shared" si="101"/>
        <v>25</v>
      </c>
      <c r="N22" s="1">
        <v>1940</v>
      </c>
      <c r="O22" s="25">
        <v>2420</v>
      </c>
      <c r="P22" s="1">
        <v>2440</v>
      </c>
      <c r="Q22" s="25">
        <f t="shared" si="102"/>
        <v>20</v>
      </c>
      <c r="R22" s="25">
        <v>2100</v>
      </c>
      <c r="S22" s="25">
        <v>0</v>
      </c>
      <c r="T22" s="25">
        <v>0</v>
      </c>
      <c r="U22" s="25">
        <f t="shared" si="103"/>
        <v>0</v>
      </c>
      <c r="V22" s="25">
        <v>0</v>
      </c>
      <c r="W22" s="25">
        <v>0</v>
      </c>
      <c r="X22" s="25">
        <v>0</v>
      </c>
      <c r="Y22" s="25">
        <f t="shared" si="104"/>
        <v>0</v>
      </c>
      <c r="Z22" s="25">
        <v>0</v>
      </c>
      <c r="AA22" s="25">
        <v>0</v>
      </c>
      <c r="AB22" s="1">
        <v>0</v>
      </c>
      <c r="AC22" s="25">
        <f t="shared" si="109"/>
        <v>0</v>
      </c>
      <c r="AD22" s="25">
        <v>0</v>
      </c>
      <c r="AE22" s="25">
        <v>0</v>
      </c>
      <c r="AF22" s="25">
        <v>0</v>
      </c>
      <c r="AG22" s="25">
        <f t="shared" si="105"/>
        <v>0</v>
      </c>
      <c r="AH22" s="25">
        <v>0</v>
      </c>
      <c r="AI22" s="25">
        <f t="shared" si="106"/>
        <v>11060</v>
      </c>
      <c r="AJ22" s="25">
        <f t="shared" si="107"/>
        <v>11305</v>
      </c>
      <c r="AK22" s="25">
        <f t="shared" si="108"/>
        <v>245</v>
      </c>
      <c r="AL22" s="25">
        <f t="shared" si="66"/>
        <v>10540</v>
      </c>
    </row>
    <row r="23" spans="1:38" s="8" customFormat="1" x14ac:dyDescent="0.25">
      <c r="A23" s="8">
        <v>8595</v>
      </c>
      <c r="B23" s="8" t="s">
        <v>19</v>
      </c>
      <c r="C23" s="1">
        <v>0</v>
      </c>
      <c r="D23" s="1">
        <v>0</v>
      </c>
      <c r="E23" s="1">
        <f t="shared" si="99"/>
        <v>0</v>
      </c>
      <c r="F23" s="1">
        <v>0</v>
      </c>
      <c r="G23" s="25">
        <v>0</v>
      </c>
      <c r="H23" s="1">
        <v>0</v>
      </c>
      <c r="I23" s="25">
        <f t="shared" si="100"/>
        <v>0</v>
      </c>
      <c r="J23" s="1">
        <v>0</v>
      </c>
      <c r="K23" s="25">
        <v>0</v>
      </c>
      <c r="L23" s="1"/>
      <c r="M23" s="25">
        <f t="shared" si="101"/>
        <v>0</v>
      </c>
      <c r="N23" s="1">
        <v>0</v>
      </c>
      <c r="O23" s="25">
        <v>0</v>
      </c>
      <c r="P23" s="1">
        <v>0</v>
      </c>
      <c r="Q23" s="25">
        <f t="shared" si="102"/>
        <v>0</v>
      </c>
      <c r="R23" s="25">
        <v>0</v>
      </c>
      <c r="S23" s="25">
        <v>0</v>
      </c>
      <c r="T23" s="25">
        <v>0</v>
      </c>
      <c r="U23" s="25">
        <f t="shared" si="103"/>
        <v>0</v>
      </c>
      <c r="V23" s="25">
        <v>0</v>
      </c>
      <c r="W23" s="25">
        <v>0</v>
      </c>
      <c r="X23" s="25">
        <v>0</v>
      </c>
      <c r="Y23" s="25">
        <f t="shared" si="104"/>
        <v>0</v>
      </c>
      <c r="Z23" s="25">
        <v>0</v>
      </c>
      <c r="AA23" s="25">
        <v>0</v>
      </c>
      <c r="AB23" s="1">
        <v>0</v>
      </c>
      <c r="AC23" s="25">
        <f t="shared" si="109"/>
        <v>0</v>
      </c>
      <c r="AD23" s="25">
        <v>0</v>
      </c>
      <c r="AE23" s="25">
        <v>0</v>
      </c>
      <c r="AF23" s="25">
        <v>0</v>
      </c>
      <c r="AG23" s="25">
        <f t="shared" si="105"/>
        <v>0</v>
      </c>
      <c r="AH23" s="25">
        <v>0</v>
      </c>
      <c r="AI23" s="25">
        <f t="shared" si="106"/>
        <v>0</v>
      </c>
      <c r="AJ23" s="25">
        <f t="shared" si="107"/>
        <v>0</v>
      </c>
      <c r="AK23" s="25">
        <f t="shared" si="108"/>
        <v>0</v>
      </c>
      <c r="AL23" s="25">
        <f t="shared" si="66"/>
        <v>0</v>
      </c>
    </row>
    <row r="24" spans="1:38" s="8" customFormat="1" x14ac:dyDescent="0.25">
      <c r="A24" s="8">
        <v>8596</v>
      </c>
      <c r="B24" s="8" t="s">
        <v>212</v>
      </c>
      <c r="C24" s="1">
        <v>0</v>
      </c>
      <c r="D24" s="1">
        <v>0</v>
      </c>
      <c r="E24" s="1">
        <f>D24-C24</f>
        <v>0</v>
      </c>
      <c r="F24" s="1">
        <v>0</v>
      </c>
      <c r="G24" s="25">
        <f>(18684*0.4)+(12000*0.75)+1250*0.4</f>
        <v>16973.599999999999</v>
      </c>
      <c r="H24" s="1">
        <f>24950.83-H21</f>
        <v>21573.58</v>
      </c>
      <c r="I24" s="25">
        <f t="shared" si="100"/>
        <v>4599.9800000000032</v>
      </c>
      <c r="J24" s="1">
        <f>10000+6500</f>
        <v>16500</v>
      </c>
      <c r="K24" s="25">
        <v>1300</v>
      </c>
      <c r="L24" s="25">
        <f>43.32+1502.8</f>
        <v>1546.12</v>
      </c>
      <c r="M24" s="25">
        <f t="shared" si="101"/>
        <v>246.11999999999989</v>
      </c>
      <c r="N24" s="1">
        <v>1300</v>
      </c>
      <c r="O24" s="25">
        <v>471</v>
      </c>
      <c r="P24" s="239">
        <f>125.6+143.2</f>
        <v>268.79999999999995</v>
      </c>
      <c r="Q24" s="25">
        <f t="shared" si="102"/>
        <v>-202.20000000000005</v>
      </c>
      <c r="R24" s="25">
        <v>250</v>
      </c>
      <c r="S24" s="25">
        <v>0</v>
      </c>
      <c r="T24" s="25">
        <v>0</v>
      </c>
      <c r="U24" s="25">
        <f t="shared" si="103"/>
        <v>0</v>
      </c>
      <c r="V24" s="25">
        <v>182</v>
      </c>
      <c r="W24" s="25">
        <v>2500</v>
      </c>
      <c r="X24" s="25">
        <f>2502.48</f>
        <v>2502.48</v>
      </c>
      <c r="Y24" s="25">
        <f t="shared" si="104"/>
        <v>2.4800000000000182</v>
      </c>
      <c r="Z24" s="235">
        <v>3300</v>
      </c>
      <c r="AA24" s="25">
        <v>500</v>
      </c>
      <c r="AB24" s="239">
        <v>529</v>
      </c>
      <c r="AC24" s="25">
        <f t="shared" si="109"/>
        <v>29</v>
      </c>
      <c r="AD24" s="25">
        <v>400</v>
      </c>
      <c r="AE24" s="25">
        <v>50</v>
      </c>
      <c r="AF24" s="239">
        <v>0</v>
      </c>
      <c r="AG24" s="25">
        <f t="shared" si="105"/>
        <v>-50</v>
      </c>
      <c r="AH24" s="8">
        <v>40</v>
      </c>
      <c r="AI24" s="25">
        <f t="shared" si="106"/>
        <v>21794.6</v>
      </c>
      <c r="AJ24" s="25">
        <f t="shared" si="107"/>
        <v>26419.98</v>
      </c>
      <c r="AK24" s="25">
        <f>AJ24-AI24</f>
        <v>4625.380000000001</v>
      </c>
      <c r="AL24" s="25">
        <f t="shared" si="66"/>
        <v>21972</v>
      </c>
    </row>
    <row r="25" spans="1:38" x14ac:dyDescent="0.25">
      <c r="A25" s="4">
        <v>8900</v>
      </c>
      <c r="B25" s="4" t="s">
        <v>20</v>
      </c>
      <c r="C25" s="5">
        <f>SUM(C26:C29)</f>
        <v>214400</v>
      </c>
      <c r="D25" s="5">
        <f>SUM(D26:D29)</f>
        <v>221177.72000000003</v>
      </c>
      <c r="E25" s="5">
        <f>SUM(E26:E29)</f>
        <v>6777.7200000000093</v>
      </c>
      <c r="F25" s="5">
        <f>SUM(F26:F29)</f>
        <v>218650</v>
      </c>
      <c r="G25" s="5">
        <f t="shared" ref="G25:AL25" si="110">SUM(G26:G29)</f>
        <v>0</v>
      </c>
      <c r="H25" s="5">
        <f t="shared" si="110"/>
        <v>0</v>
      </c>
      <c r="I25" s="5">
        <f t="shared" si="110"/>
        <v>0</v>
      </c>
      <c r="J25" s="5">
        <f t="shared" si="110"/>
        <v>0</v>
      </c>
      <c r="K25" s="5">
        <f t="shared" si="110"/>
        <v>0</v>
      </c>
      <c r="L25" s="5">
        <f t="shared" si="110"/>
        <v>0</v>
      </c>
      <c r="M25" s="5">
        <f t="shared" si="110"/>
        <v>0</v>
      </c>
      <c r="N25" s="5">
        <f t="shared" si="110"/>
        <v>0</v>
      </c>
      <c r="O25" s="5">
        <f t="shared" si="110"/>
        <v>0</v>
      </c>
      <c r="P25" s="5">
        <f t="shared" si="110"/>
        <v>0</v>
      </c>
      <c r="Q25" s="5">
        <f t="shared" si="110"/>
        <v>0</v>
      </c>
      <c r="R25" s="5">
        <f t="shared" si="110"/>
        <v>0</v>
      </c>
      <c r="S25" s="5">
        <f t="shared" si="110"/>
        <v>0</v>
      </c>
      <c r="T25" s="5">
        <f t="shared" si="110"/>
        <v>0</v>
      </c>
      <c r="U25" s="5">
        <f t="shared" si="110"/>
        <v>0</v>
      </c>
      <c r="V25" s="5">
        <f t="shared" si="110"/>
        <v>0</v>
      </c>
      <c r="W25" s="5">
        <f t="shared" si="110"/>
        <v>0</v>
      </c>
      <c r="X25" s="5">
        <f t="shared" si="110"/>
        <v>0</v>
      </c>
      <c r="Y25" s="5">
        <f t="shared" si="110"/>
        <v>0</v>
      </c>
      <c r="Z25" s="5">
        <f t="shared" si="110"/>
        <v>0</v>
      </c>
      <c r="AA25" s="5">
        <f t="shared" si="110"/>
        <v>0</v>
      </c>
      <c r="AB25" s="5">
        <f t="shared" si="110"/>
        <v>0</v>
      </c>
      <c r="AC25" s="5">
        <f t="shared" si="110"/>
        <v>0</v>
      </c>
      <c r="AD25" s="5">
        <f t="shared" si="110"/>
        <v>0</v>
      </c>
      <c r="AE25" s="5">
        <f t="shared" ref="AE25:AF25" si="111">SUM(AE26:AE29)</f>
        <v>0</v>
      </c>
      <c r="AF25" s="5">
        <f t="shared" si="111"/>
        <v>0</v>
      </c>
      <c r="AG25" s="5">
        <f t="shared" si="110"/>
        <v>0</v>
      </c>
      <c r="AH25" s="5">
        <f t="shared" ref="AH25" si="112">SUM(AH26:AH29)</f>
        <v>0</v>
      </c>
      <c r="AI25" s="5">
        <f>SUM(AI26:AI29)</f>
        <v>214400</v>
      </c>
      <c r="AJ25" s="5">
        <f t="shared" si="110"/>
        <v>221177.72000000003</v>
      </c>
      <c r="AK25" s="5">
        <f t="shared" si="110"/>
        <v>6777.7200000000093</v>
      </c>
      <c r="AL25" s="5">
        <f t="shared" si="110"/>
        <v>218650</v>
      </c>
    </row>
    <row r="26" spans="1:38" x14ac:dyDescent="0.25">
      <c r="A26">
        <v>8910</v>
      </c>
      <c r="B26" t="s">
        <v>21</v>
      </c>
      <c r="C26" s="1">
        <f>225000</f>
        <v>225000</v>
      </c>
      <c r="D26" s="1">
        <v>229474.51</v>
      </c>
      <c r="E26" s="1">
        <f>D26-C26</f>
        <v>4474.5100000000093</v>
      </c>
      <c r="F26" s="1">
        <v>227000</v>
      </c>
      <c r="G26" s="25">
        <v>0</v>
      </c>
      <c r="H26" s="1">
        <v>0</v>
      </c>
      <c r="I26" s="25">
        <f>H26-G26</f>
        <v>0</v>
      </c>
      <c r="J26" s="1">
        <v>0</v>
      </c>
      <c r="K26" s="25">
        <v>0</v>
      </c>
      <c r="L26" s="1"/>
      <c r="M26" s="25">
        <f>L26-K26</f>
        <v>0</v>
      </c>
      <c r="N26" s="1">
        <v>0</v>
      </c>
      <c r="O26" s="25">
        <v>0</v>
      </c>
      <c r="P26" s="1">
        <v>0</v>
      </c>
      <c r="Q26" s="25">
        <f>P26-O26</f>
        <v>0</v>
      </c>
      <c r="R26" s="25">
        <v>0</v>
      </c>
      <c r="S26" s="25">
        <v>0</v>
      </c>
      <c r="T26" s="25">
        <v>0</v>
      </c>
      <c r="U26" s="25">
        <f>T26-S26</f>
        <v>0</v>
      </c>
      <c r="V26" s="25">
        <v>0</v>
      </c>
      <c r="W26" s="25">
        <v>0</v>
      </c>
      <c r="X26" s="25">
        <v>0</v>
      </c>
      <c r="Y26" s="25">
        <f>X26-W26</f>
        <v>0</v>
      </c>
      <c r="Z26" s="25">
        <v>0</v>
      </c>
      <c r="AA26" s="25">
        <v>0</v>
      </c>
      <c r="AB26" s="1">
        <v>0</v>
      </c>
      <c r="AC26" s="25">
        <f>AB26-AA26</f>
        <v>0</v>
      </c>
      <c r="AD26" s="25">
        <v>0</v>
      </c>
      <c r="AE26" s="25">
        <v>0</v>
      </c>
      <c r="AF26" s="25">
        <v>0</v>
      </c>
      <c r="AG26" s="25">
        <f>AF26-AE26</f>
        <v>0</v>
      </c>
      <c r="AH26" s="25">
        <v>0</v>
      </c>
      <c r="AI26" s="25">
        <f>C26+G26+K26+O26+S26+W26+AA26+AE26</f>
        <v>225000</v>
      </c>
      <c r="AJ26" s="25">
        <f t="shared" ref="AI26:AJ29" si="113">D26+H26+L26+P26+T26+X26+AB26+AF26</f>
        <v>229474.51</v>
      </c>
      <c r="AK26" s="25">
        <f>AJ26-AI26</f>
        <v>4474.5100000000093</v>
      </c>
      <c r="AL26" s="25">
        <f t="shared" si="66"/>
        <v>227000</v>
      </c>
    </row>
    <row r="27" spans="1:38" x14ac:dyDescent="0.25">
      <c r="A27">
        <v>8911</v>
      </c>
      <c r="B27" t="s">
        <v>218</v>
      </c>
      <c r="C27" s="1">
        <f>-12700-500</f>
        <v>-13200</v>
      </c>
      <c r="D27" s="1">
        <v>-10760.08</v>
      </c>
      <c r="E27" s="1">
        <f>D27-C27</f>
        <v>2439.92</v>
      </c>
      <c r="F27" s="1">
        <v>-11000</v>
      </c>
      <c r="G27" s="25">
        <v>0</v>
      </c>
      <c r="H27" s="1">
        <v>0</v>
      </c>
      <c r="I27" s="25">
        <f>H27-G27</f>
        <v>0</v>
      </c>
      <c r="J27" s="1">
        <v>0</v>
      </c>
      <c r="K27" s="25">
        <v>0</v>
      </c>
      <c r="L27" s="1">
        <v>0</v>
      </c>
      <c r="M27" s="25">
        <f>L27-K27</f>
        <v>0</v>
      </c>
      <c r="N27" s="1">
        <v>0</v>
      </c>
      <c r="O27" s="25">
        <v>0</v>
      </c>
      <c r="P27" s="1">
        <v>0</v>
      </c>
      <c r="Q27" s="25">
        <f>P27-O27</f>
        <v>0</v>
      </c>
      <c r="R27" s="25">
        <v>0</v>
      </c>
      <c r="S27" s="25">
        <v>0</v>
      </c>
      <c r="T27" s="25">
        <v>0</v>
      </c>
      <c r="U27" s="25">
        <f>T27-S27</f>
        <v>0</v>
      </c>
      <c r="V27" s="25">
        <v>0</v>
      </c>
      <c r="W27" s="25">
        <v>0</v>
      </c>
      <c r="X27" s="25">
        <v>0</v>
      </c>
      <c r="Y27" s="25">
        <f>X27-W27</f>
        <v>0</v>
      </c>
      <c r="Z27" s="25">
        <v>0</v>
      </c>
      <c r="AA27" s="25">
        <v>0</v>
      </c>
      <c r="AB27" s="1">
        <v>0</v>
      </c>
      <c r="AC27" s="25">
        <f>AB27-AA27</f>
        <v>0</v>
      </c>
      <c r="AD27" s="25">
        <v>0</v>
      </c>
      <c r="AE27" s="25">
        <v>0</v>
      </c>
      <c r="AF27" s="25">
        <v>0</v>
      </c>
      <c r="AG27" s="25">
        <f>AF27-AE27</f>
        <v>0</v>
      </c>
      <c r="AH27" s="25">
        <v>0</v>
      </c>
      <c r="AI27" s="25">
        <f>C27+G27+K27+O27+S27+W27+AA27+AE27</f>
        <v>-13200</v>
      </c>
      <c r="AJ27" s="25">
        <f t="shared" si="113"/>
        <v>-10760.08</v>
      </c>
      <c r="AK27" s="25">
        <f>AJ27-AI27</f>
        <v>2439.92</v>
      </c>
      <c r="AL27" s="25">
        <f t="shared" si="66"/>
        <v>-11000</v>
      </c>
    </row>
    <row r="28" spans="1:38" x14ac:dyDescent="0.25">
      <c r="A28">
        <v>8915</v>
      </c>
      <c r="B28" t="s">
        <v>22</v>
      </c>
      <c r="C28" s="1">
        <v>1000</v>
      </c>
      <c r="D28" s="1">
        <v>1000</v>
      </c>
      <c r="E28" s="1">
        <f>D28-C28</f>
        <v>0</v>
      </c>
      <c r="F28" s="1">
        <v>1000</v>
      </c>
      <c r="G28" s="25">
        <v>0</v>
      </c>
      <c r="H28" s="1">
        <v>0</v>
      </c>
      <c r="I28" s="25">
        <f>H28-G28</f>
        <v>0</v>
      </c>
      <c r="J28" s="1">
        <v>0</v>
      </c>
      <c r="K28" s="25">
        <v>0</v>
      </c>
      <c r="L28" s="1"/>
      <c r="M28" s="25">
        <f>L28-K28</f>
        <v>0</v>
      </c>
      <c r="N28" s="1">
        <v>0</v>
      </c>
      <c r="O28" s="25">
        <v>0</v>
      </c>
      <c r="P28" s="1">
        <v>0</v>
      </c>
      <c r="Q28" s="25">
        <f>P28-O28</f>
        <v>0</v>
      </c>
      <c r="R28" s="25">
        <v>0</v>
      </c>
      <c r="S28" s="25">
        <v>0</v>
      </c>
      <c r="T28" s="25">
        <v>0</v>
      </c>
      <c r="U28" s="25">
        <f>T28-S28</f>
        <v>0</v>
      </c>
      <c r="V28" s="25">
        <v>0</v>
      </c>
      <c r="W28" s="25">
        <v>0</v>
      </c>
      <c r="X28" s="25">
        <v>0</v>
      </c>
      <c r="Y28" s="25">
        <f>X28-W28</f>
        <v>0</v>
      </c>
      <c r="Z28" s="25">
        <v>0</v>
      </c>
      <c r="AA28" s="25">
        <v>0</v>
      </c>
      <c r="AB28" s="1">
        <v>0</v>
      </c>
      <c r="AC28" s="25">
        <f>AB28-AA28</f>
        <v>0</v>
      </c>
      <c r="AD28" s="25">
        <v>0</v>
      </c>
      <c r="AE28" s="25">
        <v>0</v>
      </c>
      <c r="AF28" s="25">
        <v>0</v>
      </c>
      <c r="AG28" s="25">
        <f>AF28-AE28</f>
        <v>0</v>
      </c>
      <c r="AH28" s="25">
        <v>0</v>
      </c>
      <c r="AI28" s="25">
        <f t="shared" si="113"/>
        <v>1000</v>
      </c>
      <c r="AJ28" s="25">
        <f t="shared" si="113"/>
        <v>1000</v>
      </c>
      <c r="AK28" s="25">
        <f t="shared" ref="AK28:AK29" si="114">AJ28-AI28</f>
        <v>0</v>
      </c>
      <c r="AL28" s="25">
        <f t="shared" si="66"/>
        <v>1000</v>
      </c>
    </row>
    <row r="29" spans="1:38" x14ac:dyDescent="0.25">
      <c r="A29">
        <v>8990</v>
      </c>
      <c r="B29" t="s">
        <v>146</v>
      </c>
      <c r="C29" s="1">
        <v>1600</v>
      </c>
      <c r="D29" s="1">
        <v>1463.29</v>
      </c>
      <c r="E29" s="1">
        <f>D29-C29</f>
        <v>-136.71000000000004</v>
      </c>
      <c r="F29" s="1">
        <v>1650</v>
      </c>
      <c r="G29" s="25">
        <v>0</v>
      </c>
      <c r="H29" s="1"/>
      <c r="I29" s="25">
        <f>H29-G29</f>
        <v>0</v>
      </c>
      <c r="J29" s="1"/>
      <c r="K29" s="25">
        <v>0</v>
      </c>
      <c r="L29" s="1"/>
      <c r="M29" s="25">
        <f>L29-K29</f>
        <v>0</v>
      </c>
      <c r="N29" s="1">
        <v>0</v>
      </c>
      <c r="O29" s="25">
        <v>0</v>
      </c>
      <c r="P29" s="1">
        <v>0</v>
      </c>
      <c r="Q29" s="25">
        <f>P29-O29</f>
        <v>0</v>
      </c>
      <c r="R29" s="25">
        <v>0</v>
      </c>
      <c r="S29" s="25">
        <v>0</v>
      </c>
      <c r="T29" s="25">
        <v>0</v>
      </c>
      <c r="U29" s="25">
        <f>T29-S29</f>
        <v>0</v>
      </c>
      <c r="V29" s="25">
        <v>0</v>
      </c>
      <c r="W29" s="25">
        <v>0</v>
      </c>
      <c r="X29" s="25">
        <v>0</v>
      </c>
      <c r="Y29" s="25">
        <f>X29-W29</f>
        <v>0</v>
      </c>
      <c r="Z29" s="25">
        <v>0</v>
      </c>
      <c r="AA29" s="25">
        <v>0</v>
      </c>
      <c r="AB29" s="1">
        <v>0</v>
      </c>
      <c r="AC29" s="25">
        <f>AB29-AA29</f>
        <v>0</v>
      </c>
      <c r="AD29" s="25">
        <v>0</v>
      </c>
      <c r="AE29" s="25">
        <v>0</v>
      </c>
      <c r="AF29" s="25">
        <v>0</v>
      </c>
      <c r="AG29" s="25">
        <f>AF29-AE29</f>
        <v>0</v>
      </c>
      <c r="AH29" s="25">
        <v>0</v>
      </c>
      <c r="AI29" s="25">
        <f t="shared" si="113"/>
        <v>1600</v>
      </c>
      <c r="AJ29" s="25">
        <f t="shared" si="113"/>
        <v>1463.29</v>
      </c>
      <c r="AK29" s="25">
        <f t="shared" si="114"/>
        <v>-136.71000000000004</v>
      </c>
      <c r="AL29" s="25">
        <f t="shared" si="66"/>
        <v>1650</v>
      </c>
    </row>
    <row r="30" spans="1:38" x14ac:dyDescent="0.25">
      <c r="A30" s="4" t="s">
        <v>81</v>
      </c>
      <c r="B30" s="6"/>
      <c r="C30" s="5">
        <f t="shared" ref="C30:F30" si="115">C3+C6+C9+C14+C16+C25</f>
        <v>237645</v>
      </c>
      <c r="D30" s="5">
        <f t="shared" si="115"/>
        <v>246869.52000000002</v>
      </c>
      <c r="E30" s="5">
        <f>E3+E6+E9+E14+E16+E25</f>
        <v>9224.5200000000077</v>
      </c>
      <c r="F30" s="5">
        <f t="shared" si="115"/>
        <v>254007.4</v>
      </c>
      <c r="G30" s="5">
        <f t="shared" ref="G30:AK30" si="116">G3+G6+G9+G14+G16+G25</f>
        <v>140604.56</v>
      </c>
      <c r="H30" s="5">
        <f>H3+H6+H9+H14+H16+H25</f>
        <v>144562.43999999997</v>
      </c>
      <c r="I30" s="5">
        <f t="shared" si="116"/>
        <v>3957.8799999999965</v>
      </c>
      <c r="J30" s="5">
        <f>J3+J6+J9+J14+J16+J25</f>
        <v>130721.5</v>
      </c>
      <c r="K30" s="5">
        <f t="shared" si="116"/>
        <v>28073</v>
      </c>
      <c r="L30" s="5">
        <f t="shared" si="116"/>
        <v>29376.92</v>
      </c>
      <c r="M30" s="5">
        <f t="shared" si="116"/>
        <v>1303.92</v>
      </c>
      <c r="N30" s="5">
        <f t="shared" si="116"/>
        <v>26842</v>
      </c>
      <c r="O30" s="5">
        <f t="shared" si="116"/>
        <v>32490</v>
      </c>
      <c r="P30" s="5">
        <f t="shared" si="116"/>
        <v>33880.020000000004</v>
      </c>
      <c r="Q30" s="5">
        <f t="shared" si="116"/>
        <v>1390.0200000000011</v>
      </c>
      <c r="R30" s="5">
        <f t="shared" si="116"/>
        <v>29722.5</v>
      </c>
      <c r="S30" s="5">
        <f t="shared" si="116"/>
        <v>18021</v>
      </c>
      <c r="T30" s="5">
        <f t="shared" si="116"/>
        <v>18273.830000000002</v>
      </c>
      <c r="U30" s="5">
        <f t="shared" si="116"/>
        <v>252.82999999999993</v>
      </c>
      <c r="V30" s="5">
        <f t="shared" si="116"/>
        <v>15720.5</v>
      </c>
      <c r="W30" s="5">
        <f t="shared" si="116"/>
        <v>8375</v>
      </c>
      <c r="X30" s="5">
        <f>X3+X6+X9+X14+X16+X25</f>
        <v>11721.240000000002</v>
      </c>
      <c r="Y30" s="5">
        <f t="shared" si="116"/>
        <v>3346.2400000000007</v>
      </c>
      <c r="Z30" s="5">
        <f t="shared" si="116"/>
        <v>9818</v>
      </c>
      <c r="AA30" s="5">
        <f t="shared" si="116"/>
        <v>12300</v>
      </c>
      <c r="AB30" s="5">
        <f t="shared" si="116"/>
        <v>7797</v>
      </c>
      <c r="AC30" s="5">
        <f t="shared" si="116"/>
        <v>-4503</v>
      </c>
      <c r="AD30" s="5">
        <f t="shared" si="116"/>
        <v>8011</v>
      </c>
      <c r="AE30" s="5">
        <f t="shared" si="116"/>
        <v>2650</v>
      </c>
      <c r="AF30" s="5">
        <f>AF3+AF6+AF9+AF14+AF16+AF25</f>
        <v>2137.5</v>
      </c>
      <c r="AG30" s="5">
        <f t="shared" si="116"/>
        <v>-512.5</v>
      </c>
      <c r="AH30" s="5">
        <f t="shared" si="116"/>
        <v>1750</v>
      </c>
      <c r="AI30" s="5">
        <f t="shared" si="116"/>
        <v>480158.56</v>
      </c>
      <c r="AJ30" s="5">
        <f t="shared" si="116"/>
        <v>494618.47000000003</v>
      </c>
      <c r="AK30" s="5">
        <f t="shared" si="116"/>
        <v>14459.909999999994</v>
      </c>
      <c r="AL30" s="5">
        <f>AL3+AL6+AL9+AL14+AL16+AL25</f>
        <v>476592.9</v>
      </c>
    </row>
    <row r="31" spans="1:38" x14ac:dyDescent="0.25">
      <c r="C31" s="1"/>
      <c r="D31" s="1"/>
      <c r="E31" s="1"/>
      <c r="F31" s="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8" ht="30" customHeight="1" x14ac:dyDescent="0.25">
      <c r="A32" s="257" t="s">
        <v>24</v>
      </c>
      <c r="B32" s="257"/>
      <c r="C32" s="3" t="s">
        <v>86</v>
      </c>
      <c r="D32" s="7" t="s">
        <v>205</v>
      </c>
      <c r="E32" s="7" t="s">
        <v>206</v>
      </c>
      <c r="F32" s="7" t="s">
        <v>207</v>
      </c>
      <c r="G32" s="3" t="s">
        <v>86</v>
      </c>
      <c r="H32" s="7" t="s">
        <v>205</v>
      </c>
      <c r="I32" s="7" t="s">
        <v>206</v>
      </c>
      <c r="J32" s="237" t="s">
        <v>207</v>
      </c>
      <c r="K32" s="3" t="s">
        <v>86</v>
      </c>
      <c r="L32" s="7" t="s">
        <v>205</v>
      </c>
      <c r="M32" s="7" t="s">
        <v>206</v>
      </c>
      <c r="N32" s="237" t="s">
        <v>207</v>
      </c>
      <c r="O32" s="3" t="s">
        <v>86</v>
      </c>
      <c r="P32" s="7" t="s">
        <v>205</v>
      </c>
      <c r="Q32" s="7" t="s">
        <v>206</v>
      </c>
      <c r="R32" s="237" t="s">
        <v>207</v>
      </c>
      <c r="S32" s="3" t="s">
        <v>86</v>
      </c>
      <c r="T32" s="7" t="s">
        <v>205</v>
      </c>
      <c r="U32" s="7" t="s">
        <v>206</v>
      </c>
      <c r="V32" s="237" t="s">
        <v>207</v>
      </c>
      <c r="W32" s="3" t="s">
        <v>86</v>
      </c>
      <c r="X32" s="7" t="s">
        <v>205</v>
      </c>
      <c r="Y32" s="7" t="s">
        <v>206</v>
      </c>
      <c r="Z32" s="237" t="s">
        <v>207</v>
      </c>
      <c r="AA32" s="3" t="s">
        <v>86</v>
      </c>
      <c r="AB32" s="7" t="s">
        <v>205</v>
      </c>
      <c r="AC32" s="7" t="s">
        <v>206</v>
      </c>
      <c r="AD32" s="237" t="s">
        <v>207</v>
      </c>
      <c r="AE32" s="3" t="s">
        <v>86</v>
      </c>
      <c r="AF32" s="7" t="s">
        <v>205</v>
      </c>
      <c r="AG32" s="7" t="s">
        <v>206</v>
      </c>
      <c r="AH32" s="237" t="s">
        <v>207</v>
      </c>
      <c r="AI32" s="3" t="s">
        <v>86</v>
      </c>
      <c r="AJ32" s="7" t="s">
        <v>205</v>
      </c>
      <c r="AK32" s="7" t="s">
        <v>206</v>
      </c>
      <c r="AL32" s="237" t="s">
        <v>207</v>
      </c>
    </row>
    <row r="33" spans="1:38" x14ac:dyDescent="0.25">
      <c r="A33" s="9" t="s">
        <v>25</v>
      </c>
      <c r="B33" s="4" t="s">
        <v>26</v>
      </c>
      <c r="C33" s="5">
        <f>SUM(C34)</f>
        <v>8369</v>
      </c>
      <c r="D33" s="5">
        <f t="shared" ref="D33" si="117">SUM(D34)</f>
        <v>8369</v>
      </c>
      <c r="E33" s="5">
        <f t="shared" ref="E33:F33" si="118">SUM(E34)</f>
        <v>0</v>
      </c>
      <c r="F33" s="5">
        <f t="shared" si="118"/>
        <v>8635.9606666666659</v>
      </c>
      <c r="G33" s="5">
        <f t="shared" ref="G33" si="119">SUM(G34)</f>
        <v>0</v>
      </c>
      <c r="H33" s="5">
        <f t="shared" ref="H33" si="120">SUM(H34)</f>
        <v>0</v>
      </c>
      <c r="I33" s="5">
        <f t="shared" ref="I33" si="121">SUM(I34)</f>
        <v>0</v>
      </c>
      <c r="J33" s="5">
        <f t="shared" ref="J33" si="122">SUM(J34)</f>
        <v>0</v>
      </c>
      <c r="K33" s="5">
        <f t="shared" ref="K33" si="123">SUM(K34)</f>
        <v>0</v>
      </c>
      <c r="L33" s="5">
        <f t="shared" ref="L33" si="124">SUM(L34)</f>
        <v>0</v>
      </c>
      <c r="M33" s="5">
        <f t="shared" ref="M33" si="125">SUM(M34)</f>
        <v>0</v>
      </c>
      <c r="N33" s="5">
        <f t="shared" ref="N33" si="126">SUM(N34)</f>
        <v>0</v>
      </c>
      <c r="O33" s="5">
        <f t="shared" ref="O33" si="127">SUM(O34)</f>
        <v>0</v>
      </c>
      <c r="P33" s="5">
        <f t="shared" ref="P33" si="128">SUM(P34)</f>
        <v>0</v>
      </c>
      <c r="Q33" s="5">
        <f t="shared" ref="Q33" si="129">SUM(Q34)</f>
        <v>0</v>
      </c>
      <c r="R33" s="5">
        <f t="shared" ref="R33" si="130">SUM(R34)</f>
        <v>0</v>
      </c>
      <c r="S33" s="5">
        <f t="shared" ref="S33" si="131">SUM(S34)</f>
        <v>0</v>
      </c>
      <c r="T33" s="5">
        <f t="shared" ref="T33" si="132">SUM(T34)</f>
        <v>0</v>
      </c>
      <c r="U33" s="5">
        <f t="shared" ref="U33" si="133">SUM(U34)</f>
        <v>0</v>
      </c>
      <c r="V33" s="5">
        <f t="shared" ref="V33" si="134">SUM(V34)</f>
        <v>0</v>
      </c>
      <c r="W33" s="5">
        <f t="shared" ref="W33" si="135">SUM(W34)</f>
        <v>0</v>
      </c>
      <c r="X33" s="5">
        <f t="shared" ref="X33" si="136">SUM(X34)</f>
        <v>0</v>
      </c>
      <c r="Y33" s="5">
        <f t="shared" ref="Y33" si="137">SUM(Y34)</f>
        <v>0</v>
      </c>
      <c r="Z33" s="5">
        <f t="shared" ref="Z33" si="138">SUM(Z34)</f>
        <v>0</v>
      </c>
      <c r="AA33" s="5">
        <f t="shared" ref="AA33" si="139">SUM(AA34)</f>
        <v>0</v>
      </c>
      <c r="AB33" s="5">
        <f t="shared" ref="AB33" si="140">SUM(AB34)</f>
        <v>0</v>
      </c>
      <c r="AC33" s="5">
        <f t="shared" ref="AC33" si="141">SUM(AC34)</f>
        <v>0</v>
      </c>
      <c r="AD33" s="5">
        <f t="shared" ref="AD33" si="142">SUM(AD34)</f>
        <v>0</v>
      </c>
      <c r="AE33" s="5">
        <f t="shared" ref="AE33:AF33" si="143">SUM(AE34)</f>
        <v>0</v>
      </c>
      <c r="AF33" s="5">
        <f t="shared" si="143"/>
        <v>0</v>
      </c>
      <c r="AG33" s="5">
        <f t="shared" ref="AG33" si="144">SUM(AG34)</f>
        <v>0</v>
      </c>
      <c r="AH33" s="5">
        <f t="shared" ref="AH33" si="145">SUM(AH34)</f>
        <v>0</v>
      </c>
      <c r="AI33" s="5">
        <f t="shared" ref="AI33" si="146">SUM(AI34)</f>
        <v>8369</v>
      </c>
      <c r="AJ33" s="5">
        <f t="shared" ref="AJ33" si="147">SUM(AJ34)</f>
        <v>8369</v>
      </c>
      <c r="AK33" s="5">
        <f t="shared" ref="AK33" si="148">SUM(AK34)</f>
        <v>0</v>
      </c>
      <c r="AL33" s="5">
        <f t="shared" ref="AL33" si="149">SUM(AL34)</f>
        <v>8635.9606666666659</v>
      </c>
    </row>
    <row r="34" spans="1:38" x14ac:dyDescent="0.25">
      <c r="B34" t="s">
        <v>27</v>
      </c>
      <c r="C34" s="1">
        <v>8369</v>
      </c>
      <c r="D34" s="1">
        <v>8369</v>
      </c>
      <c r="E34" s="1">
        <f>D34-C34</f>
        <v>0</v>
      </c>
      <c r="F34" s="105">
        <f>[2]Afschrijvingen!H8</f>
        <v>8635.9606666666659</v>
      </c>
      <c r="G34" s="25">
        <v>0</v>
      </c>
      <c r="H34" s="1">
        <v>0</v>
      </c>
      <c r="I34" s="25">
        <f>H34-G34</f>
        <v>0</v>
      </c>
      <c r="J34" s="1">
        <v>0</v>
      </c>
      <c r="K34" s="25">
        <v>0</v>
      </c>
      <c r="L34" s="1"/>
      <c r="M34" s="25">
        <f>L34-K34</f>
        <v>0</v>
      </c>
      <c r="N34" s="1"/>
      <c r="O34" s="25">
        <v>0</v>
      </c>
      <c r="P34" s="1">
        <v>0</v>
      </c>
      <c r="Q34" s="25">
        <f>P34-O34</f>
        <v>0</v>
      </c>
      <c r="R34" s="25">
        <v>0</v>
      </c>
      <c r="S34" s="25">
        <v>0</v>
      </c>
      <c r="T34" s="25">
        <v>0</v>
      </c>
      <c r="U34" s="25">
        <f>T34-S34</f>
        <v>0</v>
      </c>
      <c r="V34" s="25">
        <v>0</v>
      </c>
      <c r="W34" s="25">
        <v>0</v>
      </c>
      <c r="X34" s="25"/>
      <c r="Y34" s="25">
        <f>X34-W34</f>
        <v>0</v>
      </c>
      <c r="Z34" s="25"/>
      <c r="AA34" s="25">
        <v>0</v>
      </c>
      <c r="AB34" s="1">
        <v>0</v>
      </c>
      <c r="AC34" s="25">
        <f>AB34-AA34</f>
        <v>0</v>
      </c>
      <c r="AD34" s="25">
        <v>0</v>
      </c>
      <c r="AE34" s="25">
        <v>0</v>
      </c>
      <c r="AF34" s="25">
        <v>0</v>
      </c>
      <c r="AG34" s="25">
        <f>AF34-AE34</f>
        <v>0</v>
      </c>
      <c r="AH34" s="25">
        <v>0</v>
      </c>
      <c r="AI34" s="25">
        <f>C34+G34+K34+O34+S34+W34+AA34+AE34</f>
        <v>8369</v>
      </c>
      <c r="AJ34" s="25">
        <f>D34+H34+L34++P34+T34+X34+AB34+AF34</f>
        <v>8369</v>
      </c>
      <c r="AK34" s="25">
        <f>AJ34-AI34</f>
        <v>0</v>
      </c>
      <c r="AL34" s="25">
        <f t="shared" ref="AL34:AL42" si="150">F34+J34+N34+R34+V34+Z34+AD34+AH34</f>
        <v>8635.9606666666659</v>
      </c>
    </row>
    <row r="35" spans="1:38" x14ac:dyDescent="0.25">
      <c r="A35" s="4">
        <v>2200</v>
      </c>
      <c r="B35" s="4" t="s">
        <v>28</v>
      </c>
      <c r="C35" s="5">
        <f>SUM(C36)</f>
        <v>4500</v>
      </c>
      <c r="D35" s="5">
        <f t="shared" ref="D35" si="151">SUM(D36)</f>
        <v>0</v>
      </c>
      <c r="E35" s="5">
        <f t="shared" ref="E35:F35" si="152">SUM(E36)</f>
        <v>-4500</v>
      </c>
      <c r="F35" s="5">
        <f t="shared" si="152"/>
        <v>2000</v>
      </c>
      <c r="G35" s="5">
        <f t="shared" ref="G35:H35" si="153">SUM(G36)</f>
        <v>0</v>
      </c>
      <c r="H35" s="5">
        <f t="shared" si="153"/>
        <v>0</v>
      </c>
      <c r="I35" s="5">
        <f t="shared" ref="I35:J35" si="154">SUM(I36)</f>
        <v>0</v>
      </c>
      <c r="J35" s="5">
        <f t="shared" si="154"/>
        <v>0</v>
      </c>
      <c r="K35" s="5">
        <f t="shared" ref="K35:L35" si="155">SUM(K36)</f>
        <v>0</v>
      </c>
      <c r="L35" s="5">
        <f t="shared" si="155"/>
        <v>0</v>
      </c>
      <c r="M35" s="5">
        <f t="shared" ref="M35:N35" si="156">SUM(M36)</f>
        <v>0</v>
      </c>
      <c r="N35" s="5">
        <f t="shared" si="156"/>
        <v>0</v>
      </c>
      <c r="O35" s="5">
        <f t="shared" ref="O35:P35" si="157">SUM(O36)</f>
        <v>0</v>
      </c>
      <c r="P35" s="5">
        <f t="shared" si="157"/>
        <v>0</v>
      </c>
      <c r="Q35" s="5">
        <f t="shared" ref="Q35" si="158">SUM(Q36)</f>
        <v>0</v>
      </c>
      <c r="R35" s="5">
        <f t="shared" ref="R35" si="159">SUM(R36)</f>
        <v>0</v>
      </c>
      <c r="S35" s="5">
        <f t="shared" ref="S35" si="160">SUM(S36)</f>
        <v>0</v>
      </c>
      <c r="T35" s="5">
        <f t="shared" ref="T35" si="161">SUM(T36)</f>
        <v>0</v>
      </c>
      <c r="U35" s="5">
        <f t="shared" ref="U35" si="162">SUM(U36)</f>
        <v>0</v>
      </c>
      <c r="V35" s="5">
        <f t="shared" ref="V35" si="163">SUM(V36)</f>
        <v>0</v>
      </c>
      <c r="W35" s="5">
        <f t="shared" ref="W35" si="164">SUM(W36)</f>
        <v>0</v>
      </c>
      <c r="X35" s="5">
        <f t="shared" ref="X35" si="165">SUM(X36)</f>
        <v>0</v>
      </c>
      <c r="Y35" s="5">
        <f t="shared" ref="Y35" si="166">SUM(Y36)</f>
        <v>0</v>
      </c>
      <c r="Z35" s="5">
        <f t="shared" ref="Z35" si="167">SUM(Z36)</f>
        <v>0</v>
      </c>
      <c r="AA35" s="5">
        <f t="shared" ref="AA35:AB35" si="168">SUM(AA36)</f>
        <v>0</v>
      </c>
      <c r="AB35" s="5">
        <f t="shared" si="168"/>
        <v>0</v>
      </c>
      <c r="AC35" s="5">
        <f t="shared" ref="AC35" si="169">SUM(AC36)</f>
        <v>0</v>
      </c>
      <c r="AD35" s="5">
        <f t="shared" ref="AD35" si="170">SUM(AD36)</f>
        <v>0</v>
      </c>
      <c r="AE35" s="5">
        <f t="shared" ref="AE35:AF35" si="171">SUM(AE36)</f>
        <v>0</v>
      </c>
      <c r="AF35" s="5">
        <f t="shared" si="171"/>
        <v>0</v>
      </c>
      <c r="AG35" s="5">
        <f t="shared" ref="AG35" si="172">SUM(AG36)</f>
        <v>0</v>
      </c>
      <c r="AH35" s="5">
        <f t="shared" ref="AH35" si="173">SUM(AH36)</f>
        <v>0</v>
      </c>
      <c r="AI35" s="5">
        <f t="shared" ref="AI35" si="174">SUM(AI36)</f>
        <v>4500</v>
      </c>
      <c r="AJ35" s="5">
        <f t="shared" ref="AJ35" si="175">SUM(AJ36)</f>
        <v>0</v>
      </c>
      <c r="AK35" s="5">
        <f t="shared" ref="AK35" si="176">SUM(AK36)</f>
        <v>-4500</v>
      </c>
      <c r="AL35" s="5">
        <f t="shared" ref="AL35" si="177">SUM(AL36)</f>
        <v>2000</v>
      </c>
    </row>
    <row r="36" spans="1:38" x14ac:dyDescent="0.25">
      <c r="A36">
        <v>2200</v>
      </c>
      <c r="B36" t="s">
        <v>29</v>
      </c>
      <c r="C36" s="1">
        <v>4500</v>
      </c>
      <c r="D36" s="1">
        <v>0</v>
      </c>
      <c r="E36" s="1">
        <f>D36-C36</f>
        <v>-4500</v>
      </c>
      <c r="F36" s="1">
        <v>2000</v>
      </c>
      <c r="G36" s="25">
        <v>0</v>
      </c>
      <c r="H36" s="1">
        <v>0</v>
      </c>
      <c r="I36" s="25">
        <f>H36-G36</f>
        <v>0</v>
      </c>
      <c r="J36" s="1">
        <v>0</v>
      </c>
      <c r="K36" s="25">
        <v>0</v>
      </c>
      <c r="L36" s="1"/>
      <c r="M36" s="25">
        <f>L36-K36</f>
        <v>0</v>
      </c>
      <c r="N36" s="1"/>
      <c r="O36" s="25">
        <v>0</v>
      </c>
      <c r="P36" s="1">
        <v>0</v>
      </c>
      <c r="Q36" s="25">
        <f>P36-O36</f>
        <v>0</v>
      </c>
      <c r="R36" s="25">
        <v>0</v>
      </c>
      <c r="S36" s="25">
        <v>0</v>
      </c>
      <c r="T36" s="25">
        <v>0</v>
      </c>
      <c r="U36" s="25">
        <f>T36-S36</f>
        <v>0</v>
      </c>
      <c r="V36" s="25">
        <v>0</v>
      </c>
      <c r="W36" s="25">
        <v>0</v>
      </c>
      <c r="X36" s="25"/>
      <c r="Y36" s="25">
        <f>X36-W36</f>
        <v>0</v>
      </c>
      <c r="Z36" s="25"/>
      <c r="AA36" s="25">
        <v>0</v>
      </c>
      <c r="AB36" s="1">
        <v>0</v>
      </c>
      <c r="AC36" s="25">
        <f>AB36-AA36</f>
        <v>0</v>
      </c>
      <c r="AD36" s="25">
        <v>0</v>
      </c>
      <c r="AE36" s="25">
        <v>0</v>
      </c>
      <c r="AF36" s="25">
        <v>0</v>
      </c>
      <c r="AG36" s="25">
        <f>AF36-AE36</f>
        <v>0</v>
      </c>
      <c r="AH36" s="25">
        <v>0</v>
      </c>
      <c r="AI36" s="25">
        <f>C36+G36+K36+O36+S36+W36+AA36+AE36</f>
        <v>4500</v>
      </c>
      <c r="AJ36" s="25">
        <f>D36+H36+L36++P36+T36+X36+AB36+AF36</f>
        <v>0</v>
      </c>
      <c r="AK36" s="25">
        <f>AJ36-AI36</f>
        <v>-4500</v>
      </c>
      <c r="AL36" s="25">
        <f t="shared" si="150"/>
        <v>2000</v>
      </c>
    </row>
    <row r="37" spans="1:38" x14ac:dyDescent="0.25">
      <c r="A37" s="4">
        <v>4000</v>
      </c>
      <c r="B37" s="4" t="s">
        <v>30</v>
      </c>
      <c r="C37" s="5">
        <f>SUM(C38:C42)</f>
        <v>33224.399993999999</v>
      </c>
      <c r="D37" s="5">
        <f t="shared" ref="D37" si="178">SUM(D38:D42)</f>
        <v>34426.160000000003</v>
      </c>
      <c r="E37" s="5">
        <f t="shared" ref="E37" si="179">SUM(E38:E42)</f>
        <v>1201.7600060000013</v>
      </c>
      <c r="F37" s="5">
        <f t="shared" ref="F37" si="180">SUM(F38:F42)</f>
        <v>31719.919700999999</v>
      </c>
      <c r="G37" s="5">
        <f t="shared" ref="G37:H37" si="181">SUM(G38:G42)</f>
        <v>43044</v>
      </c>
      <c r="H37" s="5">
        <f t="shared" si="181"/>
        <v>41940.68</v>
      </c>
      <c r="I37" s="5">
        <f t="shared" ref="I37:J37" si="182">SUM(I38:I42)</f>
        <v>-1103.3199999999988</v>
      </c>
      <c r="J37" s="5">
        <f t="shared" si="182"/>
        <v>40499.486648000006</v>
      </c>
      <c r="K37" s="5">
        <f t="shared" ref="K37:L37" si="183">SUM(K38:K42)</f>
        <v>3330</v>
      </c>
      <c r="L37" s="5">
        <f t="shared" si="183"/>
        <v>3038.14</v>
      </c>
      <c r="M37" s="5">
        <f t="shared" ref="M37:N37" si="184">SUM(M38:M42)</f>
        <v>-291.86000000000013</v>
      </c>
      <c r="N37" s="5">
        <f t="shared" si="184"/>
        <v>3350</v>
      </c>
      <c r="O37" s="5">
        <f t="shared" ref="O37:P37" si="185">SUM(O38:O42)</f>
        <v>9000</v>
      </c>
      <c r="P37" s="5">
        <f t="shared" si="185"/>
        <v>7422.5</v>
      </c>
      <c r="Q37" s="5">
        <f t="shared" ref="Q37" si="186">SUM(Q38:Q42)</f>
        <v>-1577.5</v>
      </c>
      <c r="R37" s="5">
        <f t="shared" ref="R37" si="187">SUM(R38:R42)</f>
        <v>9000</v>
      </c>
      <c r="S37" s="5">
        <f t="shared" ref="S37" si="188">SUM(S38:S42)</f>
        <v>7200</v>
      </c>
      <c r="T37" s="5">
        <f t="shared" ref="T37" si="189">SUM(T38:T42)</f>
        <v>7209.14</v>
      </c>
      <c r="U37" s="5">
        <f t="shared" ref="U37" si="190">SUM(U38:U42)</f>
        <v>9.1400000000003274</v>
      </c>
      <c r="V37" s="5">
        <f t="shared" ref="V37" si="191">SUM(V38:V42)</f>
        <v>7150</v>
      </c>
      <c r="W37" s="5">
        <f t="shared" ref="W37" si="192">SUM(W38:W42)</f>
        <v>0</v>
      </c>
      <c r="X37" s="5">
        <f t="shared" ref="X37" si="193">SUM(X38:X42)</f>
        <v>0</v>
      </c>
      <c r="Y37" s="5">
        <f t="shared" ref="Y37" si="194">SUM(Y38:Y42)</f>
        <v>0</v>
      </c>
      <c r="Z37" s="5">
        <f t="shared" ref="Z37" si="195">SUM(Z38:Z42)</f>
        <v>0</v>
      </c>
      <c r="AA37" s="5">
        <f t="shared" ref="AA37:AB37" si="196">SUM(AA38:AA42)</f>
        <v>0</v>
      </c>
      <c r="AB37" s="5">
        <f t="shared" si="196"/>
        <v>0</v>
      </c>
      <c r="AC37" s="5">
        <f t="shared" ref="AC37" si="197">SUM(AC38:AC42)</f>
        <v>0</v>
      </c>
      <c r="AD37" s="5">
        <f t="shared" ref="AD37:AF37" si="198">SUM(AD38:AD42)</f>
        <v>0</v>
      </c>
      <c r="AE37" s="5">
        <f t="shared" si="198"/>
        <v>880</v>
      </c>
      <c r="AF37" s="5">
        <f t="shared" si="198"/>
        <v>677.91</v>
      </c>
      <c r="AG37" s="5">
        <f t="shared" ref="AG37:AH37" si="199">SUM(AG38:AG42)</f>
        <v>-202.09000000000003</v>
      </c>
      <c r="AH37" s="5">
        <f t="shared" si="199"/>
        <v>395</v>
      </c>
      <c r="AI37" s="5">
        <f t="shared" ref="AI37" si="200">SUM(AI38:AI42)</f>
        <v>96678.399994000007</v>
      </c>
      <c r="AJ37" s="5">
        <f t="shared" ref="AJ37" si="201">SUM(AJ38:AJ42)</f>
        <v>94714.53</v>
      </c>
      <c r="AK37" s="5">
        <f t="shared" ref="AK37" si="202">SUM(AK38:AK42)</f>
        <v>-1963.8699940000042</v>
      </c>
      <c r="AL37" s="5">
        <f t="shared" ref="AL37" si="203">SUM(AL38:AL42)</f>
        <v>92114.406348999997</v>
      </c>
    </row>
    <row r="38" spans="1:38" x14ac:dyDescent="0.25">
      <c r="A38" t="s">
        <v>204</v>
      </c>
      <c r="B38" t="s">
        <v>31</v>
      </c>
      <c r="C38" s="1">
        <f>((1099.81*24)+((10*11.75)*12)*1.025)</f>
        <v>27840.69</v>
      </c>
      <c r="D38" s="1">
        <v>28666.98</v>
      </c>
      <c r="E38" s="1">
        <f>D38-C38</f>
        <v>826.29000000000087</v>
      </c>
      <c r="F38" s="1">
        <f>(1018.34*12)+(1018.34*12)+(165*11.75)</f>
        <v>26378.91</v>
      </c>
      <c r="G38" s="25">
        <v>24748</v>
      </c>
      <c r="H38" s="1">
        <v>23294.880000000001</v>
      </c>
      <c r="I38" s="25">
        <f>H38-G38</f>
        <v>-1453.119999999999</v>
      </c>
      <c r="J38" s="1">
        <v>19897.68</v>
      </c>
      <c r="K38" s="25">
        <v>0</v>
      </c>
      <c r="L38" s="1">
        <v>0</v>
      </c>
      <c r="M38" s="25">
        <f>L38-K38</f>
        <v>0</v>
      </c>
      <c r="N38" s="1"/>
      <c r="O38" s="25">
        <v>0</v>
      </c>
      <c r="P38" s="1">
        <v>0</v>
      </c>
      <c r="Q38" s="25">
        <f>P38-O38</f>
        <v>0</v>
      </c>
      <c r="R38" s="25">
        <v>0</v>
      </c>
      <c r="S38" s="25">
        <v>0</v>
      </c>
      <c r="T38" s="25">
        <v>0</v>
      </c>
      <c r="U38" s="25">
        <f>T38-S38</f>
        <v>0</v>
      </c>
      <c r="V38" s="25">
        <v>0</v>
      </c>
      <c r="W38" s="25">
        <v>0</v>
      </c>
      <c r="X38" s="25"/>
      <c r="Y38" s="25">
        <f>X38-W38</f>
        <v>0</v>
      </c>
      <c r="Z38" s="25"/>
      <c r="AA38" s="25">
        <v>0</v>
      </c>
      <c r="AB38" s="1">
        <v>0</v>
      </c>
      <c r="AC38" s="25">
        <f>AB38-AA38</f>
        <v>0</v>
      </c>
      <c r="AD38" s="25">
        <v>0</v>
      </c>
      <c r="AE38" s="25">
        <v>0</v>
      </c>
      <c r="AF38" s="25">
        <v>0</v>
      </c>
      <c r="AG38" s="25">
        <f>AF38-AE38</f>
        <v>0</v>
      </c>
      <c r="AH38" s="25">
        <v>0</v>
      </c>
      <c r="AI38" s="25">
        <f>C38+G38+K38+O38+S38+W38+AA38+AE38</f>
        <v>52588.69</v>
      </c>
      <c r="AJ38" s="25">
        <f>D38+H38+L38++P38+T38+X38+AB38+AF38</f>
        <v>51961.86</v>
      </c>
      <c r="AK38" s="25">
        <f>AJ38-AI38</f>
        <v>-626.83000000000175</v>
      </c>
      <c r="AL38" s="25">
        <f t="shared" si="150"/>
        <v>46276.59</v>
      </c>
    </row>
    <row r="39" spans="1:38" x14ac:dyDescent="0.25">
      <c r="A39">
        <v>4050</v>
      </c>
      <c r="B39" t="s">
        <v>32</v>
      </c>
      <c r="C39" s="1">
        <f>C38*18.26%</f>
        <v>5083.7099939999998</v>
      </c>
      <c r="D39" s="1">
        <v>5359.18</v>
      </c>
      <c r="E39" s="1">
        <f t="shared" ref="E39:E42" si="204">D39-C39</f>
        <v>275.47000600000047</v>
      </c>
      <c r="F39" s="1">
        <f>F38*19.11%</f>
        <v>5041.0097009999999</v>
      </c>
      <c r="G39" s="25">
        <v>4519</v>
      </c>
      <c r="H39" s="1">
        <v>4352.6400000000003</v>
      </c>
      <c r="I39" s="25">
        <f t="shared" ref="I39:I42" si="205">H39-G39</f>
        <v>-166.35999999999967</v>
      </c>
      <c r="J39" s="1">
        <v>3802.4466479999996</v>
      </c>
      <c r="K39" s="25">
        <v>0</v>
      </c>
      <c r="L39" s="1">
        <v>0</v>
      </c>
      <c r="M39" s="25">
        <f t="shared" ref="M39:M42" si="206">L39-K39</f>
        <v>0</v>
      </c>
      <c r="N39" s="1">
        <v>0</v>
      </c>
      <c r="O39" s="25">
        <v>0</v>
      </c>
      <c r="P39" s="1">
        <v>0</v>
      </c>
      <c r="Q39" s="25">
        <f t="shared" ref="Q39:Q42" si="207">P39-O39</f>
        <v>0</v>
      </c>
      <c r="R39" s="25">
        <v>0</v>
      </c>
      <c r="S39" s="25">
        <v>0</v>
      </c>
      <c r="T39" s="25">
        <v>0</v>
      </c>
      <c r="U39" s="25">
        <f t="shared" ref="U39:U42" si="208">T39-S39</f>
        <v>0</v>
      </c>
      <c r="V39" s="25">
        <v>0</v>
      </c>
      <c r="W39" s="25">
        <v>0</v>
      </c>
      <c r="X39" s="25"/>
      <c r="Y39" s="25">
        <f t="shared" ref="Y39:Y42" si="209">X39-W39</f>
        <v>0</v>
      </c>
      <c r="Z39" s="25"/>
      <c r="AA39" s="25">
        <v>0</v>
      </c>
      <c r="AB39" s="1">
        <v>0</v>
      </c>
      <c r="AC39" s="25">
        <f t="shared" ref="AC39:AC42" si="210">AB39-AA39</f>
        <v>0</v>
      </c>
      <c r="AD39" s="25">
        <v>0</v>
      </c>
      <c r="AE39" s="25">
        <v>0</v>
      </c>
      <c r="AF39" s="25">
        <v>0</v>
      </c>
      <c r="AG39" s="25">
        <f t="shared" ref="AG39:AG42" si="211">AF39-AE39</f>
        <v>0</v>
      </c>
      <c r="AH39" s="25">
        <v>0</v>
      </c>
      <c r="AI39" s="25">
        <f t="shared" ref="AI39:AI86" si="212">C39+G39+K39+O39+S39+W39+AA39+AE39</f>
        <v>9602.7099940000007</v>
      </c>
      <c r="AJ39" s="25">
        <f t="shared" ref="AJ39:AJ42" si="213">D39+H39+L39++P39+T39+X39+AB39+AF39</f>
        <v>9711.82</v>
      </c>
      <c r="AK39" s="25">
        <f t="shared" ref="AK39:AK42" si="214">AJ39-AI39</f>
        <v>109.11000599999898</v>
      </c>
      <c r="AL39" s="25">
        <f t="shared" si="150"/>
        <v>8843.456349</v>
      </c>
    </row>
    <row r="40" spans="1:38" x14ac:dyDescent="0.25">
      <c r="A40">
        <v>4060</v>
      </c>
      <c r="B40" t="s">
        <v>33</v>
      </c>
      <c r="C40" s="1">
        <v>0</v>
      </c>
      <c r="D40" s="1">
        <v>0</v>
      </c>
      <c r="E40" s="1">
        <f t="shared" si="204"/>
        <v>0</v>
      </c>
      <c r="F40" s="1">
        <v>0</v>
      </c>
      <c r="G40" s="25">
        <v>7577</v>
      </c>
      <c r="H40" s="1">
        <v>7571.16</v>
      </c>
      <c r="I40" s="25">
        <f t="shared" si="205"/>
        <v>-5.8400000000001455</v>
      </c>
      <c r="J40" s="1">
        <v>4329.3600000000006</v>
      </c>
      <c r="K40" s="25">
        <v>0</v>
      </c>
      <c r="L40" s="1">
        <v>0</v>
      </c>
      <c r="M40" s="25">
        <f t="shared" si="206"/>
        <v>0</v>
      </c>
      <c r="N40" s="1">
        <v>0</v>
      </c>
      <c r="O40" s="25">
        <v>0</v>
      </c>
      <c r="P40" s="1">
        <v>0</v>
      </c>
      <c r="Q40" s="25">
        <f t="shared" si="207"/>
        <v>0</v>
      </c>
      <c r="R40" s="25">
        <v>0</v>
      </c>
      <c r="S40" s="25">
        <v>0</v>
      </c>
      <c r="T40" s="25">
        <v>0</v>
      </c>
      <c r="U40" s="25">
        <f t="shared" si="208"/>
        <v>0</v>
      </c>
      <c r="V40" s="25">
        <v>0</v>
      </c>
      <c r="W40" s="25">
        <v>0</v>
      </c>
      <c r="X40" s="25"/>
      <c r="Y40" s="25">
        <f t="shared" si="209"/>
        <v>0</v>
      </c>
      <c r="Z40" s="25"/>
      <c r="AA40" s="25">
        <v>0</v>
      </c>
      <c r="AB40" s="1">
        <v>0</v>
      </c>
      <c r="AC40" s="25">
        <f t="shared" si="210"/>
        <v>0</v>
      </c>
      <c r="AD40" s="25">
        <v>0</v>
      </c>
      <c r="AE40" s="25">
        <v>0</v>
      </c>
      <c r="AF40" s="25">
        <v>0</v>
      </c>
      <c r="AG40" s="25">
        <f t="shared" si="211"/>
        <v>0</v>
      </c>
      <c r="AH40" s="25">
        <v>0</v>
      </c>
      <c r="AI40" s="25">
        <f t="shared" si="212"/>
        <v>7577</v>
      </c>
      <c r="AJ40" s="25">
        <f t="shared" si="213"/>
        <v>7571.16</v>
      </c>
      <c r="AK40" s="25">
        <f t="shared" si="214"/>
        <v>-5.8400000000001455</v>
      </c>
      <c r="AL40" s="25">
        <f t="shared" si="150"/>
        <v>4329.3600000000006</v>
      </c>
    </row>
    <row r="41" spans="1:38" x14ac:dyDescent="0.25">
      <c r="A41">
        <v>4075</v>
      </c>
      <c r="B41" t="s">
        <v>34</v>
      </c>
      <c r="C41" s="1">
        <v>300</v>
      </c>
      <c r="D41" s="1">
        <v>400</v>
      </c>
      <c r="E41" s="1">
        <f t="shared" si="204"/>
        <v>100</v>
      </c>
      <c r="F41" s="1">
        <v>300</v>
      </c>
      <c r="G41" s="25">
        <v>500</v>
      </c>
      <c r="H41" s="1">
        <v>322</v>
      </c>
      <c r="I41" s="25">
        <f t="shared" si="205"/>
        <v>-178</v>
      </c>
      <c r="J41" s="1">
        <f>500+500+1380+250+140</f>
        <v>2770</v>
      </c>
      <c r="K41" s="25">
        <v>300</v>
      </c>
      <c r="L41" s="1">
        <v>200</v>
      </c>
      <c r="M41" s="25">
        <f t="shared" si="206"/>
        <v>-100</v>
      </c>
      <c r="N41" s="1">
        <v>300</v>
      </c>
      <c r="O41" s="25">
        <v>0</v>
      </c>
      <c r="P41" s="1">
        <v>0</v>
      </c>
      <c r="Q41" s="25">
        <f t="shared" si="207"/>
        <v>0</v>
      </c>
      <c r="R41" s="25">
        <v>0</v>
      </c>
      <c r="S41" s="25">
        <v>200</v>
      </c>
      <c r="T41" s="25">
        <v>0</v>
      </c>
      <c r="U41" s="25">
        <f t="shared" si="208"/>
        <v>-200</v>
      </c>
      <c r="V41" s="25">
        <v>150</v>
      </c>
      <c r="W41" s="25">
        <v>0</v>
      </c>
      <c r="X41" s="25"/>
      <c r="Y41" s="25">
        <f t="shared" si="209"/>
        <v>0</v>
      </c>
      <c r="Z41" s="25"/>
      <c r="AA41" s="25">
        <v>0</v>
      </c>
      <c r="AB41" s="1">
        <v>0</v>
      </c>
      <c r="AC41" s="25">
        <f t="shared" si="210"/>
        <v>0</v>
      </c>
      <c r="AD41" s="25">
        <v>0</v>
      </c>
      <c r="AE41" s="25">
        <v>80</v>
      </c>
      <c r="AF41" s="25">
        <v>80</v>
      </c>
      <c r="AG41" s="25">
        <f t="shared" si="211"/>
        <v>0</v>
      </c>
      <c r="AH41" s="25">
        <v>0</v>
      </c>
      <c r="AI41" s="25">
        <f t="shared" si="212"/>
        <v>1380</v>
      </c>
      <c r="AJ41" s="25">
        <f t="shared" si="213"/>
        <v>1002</v>
      </c>
      <c r="AK41" s="25">
        <f t="shared" si="214"/>
        <v>-378</v>
      </c>
      <c r="AL41" s="25">
        <f t="shared" si="150"/>
        <v>3520</v>
      </c>
    </row>
    <row r="42" spans="1:38" x14ac:dyDescent="0.25">
      <c r="A42">
        <v>4080</v>
      </c>
      <c r="B42" t="s">
        <v>35</v>
      </c>
      <c r="C42" s="1">
        <v>0</v>
      </c>
      <c r="D42" s="1">
        <v>0</v>
      </c>
      <c r="E42" s="1">
        <f t="shared" si="204"/>
        <v>0</v>
      </c>
      <c r="F42" s="1">
        <v>0</v>
      </c>
      <c r="G42" s="25">
        <v>5700</v>
      </c>
      <c r="H42" s="1">
        <v>6400</v>
      </c>
      <c r="I42" s="25">
        <f t="shared" si="205"/>
        <v>700</v>
      </c>
      <c r="J42" s="1">
        <v>9700</v>
      </c>
      <c r="K42" s="25">
        <v>3030</v>
      </c>
      <c r="L42" s="1">
        <v>2838.14</v>
      </c>
      <c r="M42" s="25">
        <f t="shared" si="206"/>
        <v>-191.86000000000013</v>
      </c>
      <c r="N42" s="1">
        <v>3050</v>
      </c>
      <c r="O42" s="25">
        <v>9000</v>
      </c>
      <c r="P42" s="1">
        <v>7422.5</v>
      </c>
      <c r="Q42" s="25">
        <f t="shared" si="207"/>
        <v>-1577.5</v>
      </c>
      <c r="R42" s="25">
        <v>9000</v>
      </c>
      <c r="S42" s="25">
        <v>7000</v>
      </c>
      <c r="T42" s="25">
        <v>7209.14</v>
      </c>
      <c r="U42" s="25">
        <f t="shared" si="208"/>
        <v>209.14000000000033</v>
      </c>
      <c r="V42" s="25">
        <v>7000</v>
      </c>
      <c r="W42" s="25">
        <v>0</v>
      </c>
      <c r="X42" s="25"/>
      <c r="Y42" s="25">
        <f t="shared" si="209"/>
        <v>0</v>
      </c>
      <c r="Z42" s="25"/>
      <c r="AA42" s="25">
        <v>0</v>
      </c>
      <c r="AB42" s="1">
        <v>0</v>
      </c>
      <c r="AC42" s="25">
        <f t="shared" si="210"/>
        <v>0</v>
      </c>
      <c r="AD42" s="25">
        <v>0</v>
      </c>
      <c r="AE42" s="25">
        <v>800</v>
      </c>
      <c r="AF42" s="25">
        <v>597.91</v>
      </c>
      <c r="AG42" s="25">
        <f t="shared" si="211"/>
        <v>-202.09000000000003</v>
      </c>
      <c r="AH42" s="25">
        <v>395</v>
      </c>
      <c r="AI42" s="25">
        <f t="shared" si="212"/>
        <v>25530</v>
      </c>
      <c r="AJ42" s="25">
        <f t="shared" si="213"/>
        <v>24467.69</v>
      </c>
      <c r="AK42" s="25">
        <f t="shared" si="214"/>
        <v>-1062.3100000000013</v>
      </c>
      <c r="AL42" s="25">
        <f t="shared" si="150"/>
        <v>29145</v>
      </c>
    </row>
    <row r="43" spans="1:38" x14ac:dyDescent="0.25">
      <c r="A43" s="4">
        <v>4100</v>
      </c>
      <c r="B43" s="4" t="s">
        <v>36</v>
      </c>
      <c r="C43" s="5">
        <f>SUM(C44:C50)</f>
        <v>69409</v>
      </c>
      <c r="D43" s="5">
        <f t="shared" ref="D43" si="215">SUM(D44:D50)</f>
        <v>75814.350000000006</v>
      </c>
      <c r="E43" s="5">
        <f t="shared" ref="E43" si="216">SUM(E44:E50)</f>
        <v>6405.3500000000022</v>
      </c>
      <c r="F43" s="5">
        <f t="shared" ref="F43" si="217">SUM(F44:F50)</f>
        <v>73174.114399999991</v>
      </c>
      <c r="G43" s="5">
        <f t="shared" ref="G43" si="218">SUM(G44:G50)</f>
        <v>5500</v>
      </c>
      <c r="H43" s="5">
        <f t="shared" ref="H43" si="219">SUM(H44:H50)</f>
        <v>4606.54</v>
      </c>
      <c r="I43" s="5">
        <f t="shared" ref="I43" si="220">SUM(I44:I50)</f>
        <v>-893.46</v>
      </c>
      <c r="J43" s="5">
        <f t="shared" ref="J43" si="221">SUM(J44:J50)</f>
        <v>4113</v>
      </c>
      <c r="K43" s="5">
        <f t="shared" ref="K43:L43" si="222">SUM(K44:K50)</f>
        <v>0</v>
      </c>
      <c r="L43" s="5">
        <f t="shared" si="222"/>
        <v>0</v>
      </c>
      <c r="M43" s="5">
        <f t="shared" ref="M43:N43" si="223">SUM(M44:M50)</f>
        <v>0</v>
      </c>
      <c r="N43" s="5">
        <f t="shared" si="223"/>
        <v>0</v>
      </c>
      <c r="O43" s="5">
        <f t="shared" ref="O43:P43" si="224">SUM(O44:O50)</f>
        <v>0</v>
      </c>
      <c r="P43" s="5">
        <f t="shared" si="224"/>
        <v>0</v>
      </c>
      <c r="Q43" s="5">
        <f t="shared" ref="Q43" si="225">SUM(Q44:Q50)</f>
        <v>0</v>
      </c>
      <c r="R43" s="5">
        <f t="shared" ref="R43" si="226">SUM(R44:R50)</f>
        <v>0</v>
      </c>
      <c r="S43" s="5">
        <f t="shared" ref="S43" si="227">SUM(S44:S50)</f>
        <v>250</v>
      </c>
      <c r="T43" s="5">
        <f t="shared" ref="T43" si="228">SUM(T44:T50)</f>
        <v>254.31</v>
      </c>
      <c r="U43" s="5">
        <f t="shared" ref="U43" si="229">SUM(U44:U50)</f>
        <v>4.3100000000000023</v>
      </c>
      <c r="V43" s="5">
        <f t="shared" ref="V43" si="230">SUM(V44:V50)</f>
        <v>255</v>
      </c>
      <c r="W43" s="5">
        <f t="shared" ref="W43" si="231">SUM(W44:W50)</f>
        <v>1000</v>
      </c>
      <c r="X43" s="5">
        <f t="shared" ref="X43" si="232">SUM(X44:X50)</f>
        <v>1000</v>
      </c>
      <c r="Y43" s="5">
        <f t="shared" ref="Y43" si="233">SUM(Y44:Y50)</f>
        <v>0</v>
      </c>
      <c r="Z43" s="5">
        <f t="shared" ref="Z43" si="234">SUM(Z44:Z50)</f>
        <v>1000</v>
      </c>
      <c r="AA43" s="5">
        <f t="shared" ref="AA43:AB43" si="235">SUM(AA44:AA50)</f>
        <v>0</v>
      </c>
      <c r="AB43" s="5">
        <f t="shared" si="235"/>
        <v>0</v>
      </c>
      <c r="AC43" s="5">
        <f t="shared" ref="AC43" si="236">SUM(AC44:AC50)</f>
        <v>0</v>
      </c>
      <c r="AD43" s="5">
        <f t="shared" ref="AD43:AF43" si="237">SUM(AD44:AD50)</f>
        <v>0</v>
      </c>
      <c r="AE43" s="5">
        <f t="shared" si="237"/>
        <v>0</v>
      </c>
      <c r="AF43" s="5">
        <f t="shared" si="237"/>
        <v>0</v>
      </c>
      <c r="AG43" s="5">
        <f t="shared" ref="AG43:AH43" si="238">SUM(AG44:AG50)</f>
        <v>0</v>
      </c>
      <c r="AH43" s="5">
        <f t="shared" si="238"/>
        <v>0</v>
      </c>
      <c r="AI43" s="5">
        <f t="shared" ref="AI43" si="239">SUM(AI44:AI50)</f>
        <v>76159</v>
      </c>
      <c r="AJ43" s="5">
        <f t="shared" ref="AJ43" si="240">SUM(AJ44:AJ50)</f>
        <v>81675.200000000012</v>
      </c>
      <c r="AK43" s="5">
        <f t="shared" ref="AK43" si="241">SUM(AK44:AK50)</f>
        <v>5516.2000000000016</v>
      </c>
      <c r="AL43" s="5">
        <f t="shared" ref="AL43" si="242">SUM(AL44:AL50)</f>
        <v>78542.114399999991</v>
      </c>
    </row>
    <row r="44" spans="1:38" x14ac:dyDescent="0.25">
      <c r="A44">
        <v>4105</v>
      </c>
      <c r="B44" t="s">
        <v>37</v>
      </c>
      <c r="C44" s="1">
        <v>5500</v>
      </c>
      <c r="D44" s="1">
        <v>6933</v>
      </c>
      <c r="E44" s="1">
        <f>D44-C44</f>
        <v>1433</v>
      </c>
      <c r="F44" s="105">
        <f>((191.67+191.67+71.88)*1.21)*12</f>
        <v>6609.7943999999998</v>
      </c>
      <c r="G44" s="25">
        <v>0</v>
      </c>
      <c r="H44" s="1">
        <v>0</v>
      </c>
      <c r="I44" s="25">
        <f>H44-G44</f>
        <v>0</v>
      </c>
      <c r="J44" s="1">
        <v>0</v>
      </c>
      <c r="K44" s="25">
        <v>0</v>
      </c>
      <c r="L44" s="1">
        <v>0</v>
      </c>
      <c r="M44" s="25">
        <f>L44-K44</f>
        <v>0</v>
      </c>
      <c r="N44" s="1">
        <v>0</v>
      </c>
      <c r="O44" s="25">
        <v>0</v>
      </c>
      <c r="P44" s="1">
        <v>0</v>
      </c>
      <c r="Q44" s="25">
        <f>P44-O44</f>
        <v>0</v>
      </c>
      <c r="R44" s="25">
        <v>0</v>
      </c>
      <c r="S44" s="25">
        <v>0</v>
      </c>
      <c r="T44" s="25">
        <v>0</v>
      </c>
      <c r="U44" s="25">
        <f>T44-S44</f>
        <v>0</v>
      </c>
      <c r="V44" s="25">
        <v>0</v>
      </c>
      <c r="W44" s="25">
        <v>0</v>
      </c>
      <c r="X44" s="25">
        <v>0</v>
      </c>
      <c r="Y44" s="25">
        <f>X44-W44</f>
        <v>0</v>
      </c>
      <c r="Z44" s="25">
        <v>0</v>
      </c>
      <c r="AA44" s="25">
        <v>0</v>
      </c>
      <c r="AB44" s="1">
        <v>0</v>
      </c>
      <c r="AC44" s="25">
        <f>AB44-AA44</f>
        <v>0</v>
      </c>
      <c r="AD44" s="25">
        <v>0</v>
      </c>
      <c r="AE44" s="25">
        <v>0</v>
      </c>
      <c r="AF44" s="25">
        <v>0</v>
      </c>
      <c r="AG44" s="25">
        <f>AF44-AE44</f>
        <v>0</v>
      </c>
      <c r="AH44" s="25">
        <v>0</v>
      </c>
      <c r="AI44" s="25">
        <f t="shared" si="212"/>
        <v>5500</v>
      </c>
      <c r="AJ44" s="25">
        <f>D44+H44+L44++P44+T44+X44+AB44+AF44</f>
        <v>6933</v>
      </c>
      <c r="AK44" s="25">
        <f>AJ44-AI44</f>
        <v>1433</v>
      </c>
      <c r="AL44" s="25">
        <f t="shared" ref="AL44:AL53" si="243">F44+J44+N44+R44+V44+Z44+AD44+AH44</f>
        <v>6609.7943999999998</v>
      </c>
    </row>
    <row r="45" spans="1:38" x14ac:dyDescent="0.25">
      <c r="A45">
        <v>4110</v>
      </c>
      <c r="B45" t="s">
        <v>38</v>
      </c>
      <c r="C45" s="1">
        <v>100</v>
      </c>
      <c r="D45" s="105">
        <v>292.3</v>
      </c>
      <c r="E45" s="105">
        <f t="shared" ref="E45:E50" si="244">D45-C45</f>
        <v>192.3</v>
      </c>
      <c r="F45" s="105">
        <v>300</v>
      </c>
      <c r="G45" s="25">
        <v>500</v>
      </c>
      <c r="H45" s="1">
        <v>500</v>
      </c>
      <c r="I45" s="25">
        <f t="shared" ref="I45:I50" si="245">H45-G45</f>
        <v>0</v>
      </c>
      <c r="J45" s="1">
        <v>500</v>
      </c>
      <c r="K45" s="25">
        <v>0</v>
      </c>
      <c r="L45" s="1"/>
      <c r="M45" s="25">
        <f t="shared" ref="M45:M50" si="246">L45-K45</f>
        <v>0</v>
      </c>
      <c r="N45" s="1"/>
      <c r="O45" s="25">
        <v>0</v>
      </c>
      <c r="P45" s="1">
        <v>0</v>
      </c>
      <c r="Q45" s="25">
        <f t="shared" ref="Q45:Q50" si="247">P45-O45</f>
        <v>0</v>
      </c>
      <c r="R45" s="25">
        <v>0</v>
      </c>
      <c r="S45" s="25">
        <v>0</v>
      </c>
      <c r="T45" s="25">
        <v>0</v>
      </c>
      <c r="U45" s="25">
        <f t="shared" ref="U45:U50" si="248">T45-S45</f>
        <v>0</v>
      </c>
      <c r="V45" s="25">
        <v>0</v>
      </c>
      <c r="W45" s="25">
        <v>1000</v>
      </c>
      <c r="X45" s="25">
        <v>1000</v>
      </c>
      <c r="Y45" s="25">
        <f t="shared" ref="Y45:Y50" si="249">X45-W45</f>
        <v>0</v>
      </c>
      <c r="Z45" s="25">
        <v>1000</v>
      </c>
      <c r="AA45" s="25">
        <v>0</v>
      </c>
      <c r="AB45" s="1">
        <v>0</v>
      </c>
      <c r="AC45" s="25">
        <f t="shared" ref="AC45:AC50" si="250">AB45-AA45</f>
        <v>0</v>
      </c>
      <c r="AD45" s="25">
        <v>0</v>
      </c>
      <c r="AE45" s="25">
        <v>0</v>
      </c>
      <c r="AF45" s="25">
        <v>0</v>
      </c>
      <c r="AG45" s="25">
        <f t="shared" ref="AG45:AG50" si="251">AF45-AE45</f>
        <v>0</v>
      </c>
      <c r="AH45" s="25">
        <v>0</v>
      </c>
      <c r="AI45" s="25">
        <f t="shared" si="212"/>
        <v>1600</v>
      </c>
      <c r="AJ45" s="25">
        <f t="shared" ref="AJ45:AJ50" si="252">D45+H45+L45++P45+T45+X45+AB45+AF45</f>
        <v>1792.3</v>
      </c>
      <c r="AK45" s="25">
        <f t="shared" ref="AK45:AK50" si="253">AJ45-AI45</f>
        <v>192.29999999999995</v>
      </c>
      <c r="AL45" s="25">
        <f t="shared" si="243"/>
        <v>1800</v>
      </c>
    </row>
    <row r="46" spans="1:38" x14ac:dyDescent="0.25">
      <c r="A46">
        <v>4120</v>
      </c>
      <c r="B46" t="s">
        <v>39</v>
      </c>
      <c r="C46" s="105">
        <f>(4309*4)-5000</f>
        <v>12236</v>
      </c>
      <c r="D46" s="105">
        <f>12529.03+966.7</f>
        <v>13495.730000000001</v>
      </c>
      <c r="E46" s="105">
        <f t="shared" si="244"/>
        <v>1259.7300000000014</v>
      </c>
      <c r="F46" s="105">
        <f>3172*4</f>
        <v>12688</v>
      </c>
      <c r="G46" s="25">
        <v>5000</v>
      </c>
      <c r="H46" s="1">
        <v>3715.08</v>
      </c>
      <c r="I46" s="25">
        <f t="shared" si="245"/>
        <v>-1284.92</v>
      </c>
      <c r="J46" s="1">
        <f>1412*4-2035</f>
        <v>3613</v>
      </c>
      <c r="K46" s="25">
        <v>0</v>
      </c>
      <c r="L46" s="1"/>
      <c r="M46" s="25">
        <f t="shared" si="246"/>
        <v>0</v>
      </c>
      <c r="N46" s="1"/>
      <c r="O46" s="25">
        <v>0</v>
      </c>
      <c r="P46" s="1">
        <v>0</v>
      </c>
      <c r="Q46" s="25">
        <f t="shared" si="247"/>
        <v>0</v>
      </c>
      <c r="R46" s="25">
        <v>0</v>
      </c>
      <c r="S46" s="25">
        <v>0</v>
      </c>
      <c r="T46" s="25">
        <v>0</v>
      </c>
      <c r="U46" s="25">
        <f t="shared" si="248"/>
        <v>0</v>
      </c>
      <c r="V46" s="25">
        <v>0</v>
      </c>
      <c r="W46" s="25">
        <v>0</v>
      </c>
      <c r="X46" s="25">
        <v>0</v>
      </c>
      <c r="Y46" s="25">
        <f t="shared" si="249"/>
        <v>0</v>
      </c>
      <c r="Z46" s="25">
        <v>0</v>
      </c>
      <c r="AA46" s="25">
        <v>0</v>
      </c>
      <c r="AB46" s="1">
        <v>0</v>
      </c>
      <c r="AC46" s="25">
        <f t="shared" si="250"/>
        <v>0</v>
      </c>
      <c r="AD46" s="25">
        <v>0</v>
      </c>
      <c r="AE46" s="25">
        <v>0</v>
      </c>
      <c r="AF46" s="25">
        <v>0</v>
      </c>
      <c r="AG46" s="25">
        <f t="shared" si="251"/>
        <v>0</v>
      </c>
      <c r="AH46" s="25">
        <v>0</v>
      </c>
      <c r="AI46" s="25">
        <f t="shared" si="212"/>
        <v>17236</v>
      </c>
      <c r="AJ46" s="25">
        <f t="shared" si="252"/>
        <v>17210.810000000001</v>
      </c>
      <c r="AK46" s="25">
        <f t="shared" si="253"/>
        <v>-25.18999999999869</v>
      </c>
      <c r="AL46" s="25">
        <f t="shared" si="243"/>
        <v>16301</v>
      </c>
    </row>
    <row r="47" spans="1:38" x14ac:dyDescent="0.25">
      <c r="A47">
        <v>4130</v>
      </c>
      <c r="B47" t="s">
        <v>40</v>
      </c>
      <c r="C47" s="1">
        <v>1460</v>
      </c>
      <c r="D47" s="1">
        <v>1490.52</v>
      </c>
      <c r="E47" s="105">
        <f t="shared" si="244"/>
        <v>30.519999999999982</v>
      </c>
      <c r="F47" s="105">
        <v>1500</v>
      </c>
      <c r="G47" s="25">
        <v>0</v>
      </c>
      <c r="H47" s="1">
        <v>0</v>
      </c>
      <c r="I47" s="25">
        <f t="shared" si="245"/>
        <v>0</v>
      </c>
      <c r="J47" s="1">
        <v>0</v>
      </c>
      <c r="K47" s="25">
        <v>0</v>
      </c>
      <c r="L47" s="1"/>
      <c r="M47" s="25">
        <f t="shared" si="246"/>
        <v>0</v>
      </c>
      <c r="N47" s="1"/>
      <c r="O47" s="25">
        <v>0</v>
      </c>
      <c r="P47" s="1">
        <v>0</v>
      </c>
      <c r="Q47" s="25">
        <f t="shared" si="247"/>
        <v>0</v>
      </c>
      <c r="R47" s="25">
        <v>0</v>
      </c>
      <c r="S47" s="25">
        <v>0</v>
      </c>
      <c r="T47" s="25">
        <v>0</v>
      </c>
      <c r="U47" s="25">
        <f t="shared" si="248"/>
        <v>0</v>
      </c>
      <c r="V47" s="25">
        <v>0</v>
      </c>
      <c r="W47" s="25">
        <v>0</v>
      </c>
      <c r="X47" s="25">
        <v>0</v>
      </c>
      <c r="Y47" s="25">
        <f t="shared" si="249"/>
        <v>0</v>
      </c>
      <c r="Z47" s="25">
        <v>0</v>
      </c>
      <c r="AA47" s="25">
        <v>0</v>
      </c>
      <c r="AB47" s="1">
        <v>0</v>
      </c>
      <c r="AC47" s="25">
        <f t="shared" si="250"/>
        <v>0</v>
      </c>
      <c r="AD47" s="25">
        <v>0</v>
      </c>
      <c r="AE47" s="25">
        <v>0</v>
      </c>
      <c r="AF47" s="25">
        <v>0</v>
      </c>
      <c r="AG47" s="25">
        <f t="shared" si="251"/>
        <v>0</v>
      </c>
      <c r="AH47" s="25">
        <v>0</v>
      </c>
      <c r="AI47" s="25">
        <f t="shared" si="212"/>
        <v>1460</v>
      </c>
      <c r="AJ47" s="25">
        <f t="shared" si="252"/>
        <v>1490.52</v>
      </c>
      <c r="AK47" s="25">
        <f t="shared" si="253"/>
        <v>30.519999999999982</v>
      </c>
      <c r="AL47" s="25">
        <f t="shared" si="243"/>
        <v>1500</v>
      </c>
    </row>
    <row r="48" spans="1:38" x14ac:dyDescent="0.25">
      <c r="A48">
        <v>4140</v>
      </c>
      <c r="B48" t="s">
        <v>41</v>
      </c>
      <c r="C48" s="105">
        <f>(919*4)+425+652</f>
        <v>4753</v>
      </c>
      <c r="D48" s="105">
        <v>5054.72</v>
      </c>
      <c r="E48" s="105">
        <f t="shared" si="244"/>
        <v>301.72000000000025</v>
      </c>
      <c r="F48" s="105">
        <f>(1017.08*4)+425+651</f>
        <v>5144.32</v>
      </c>
      <c r="G48" s="25">
        <v>0</v>
      </c>
      <c r="H48" s="1">
        <v>0</v>
      </c>
      <c r="I48" s="25">
        <f t="shared" si="245"/>
        <v>0</v>
      </c>
      <c r="J48" s="1">
        <v>0</v>
      </c>
      <c r="K48" s="25">
        <v>0</v>
      </c>
      <c r="L48" s="1"/>
      <c r="M48" s="25">
        <f t="shared" si="246"/>
        <v>0</v>
      </c>
      <c r="N48" s="1"/>
      <c r="O48" s="25">
        <v>0</v>
      </c>
      <c r="P48" s="1">
        <v>0</v>
      </c>
      <c r="Q48" s="25">
        <f t="shared" si="247"/>
        <v>0</v>
      </c>
      <c r="R48" s="25">
        <v>0</v>
      </c>
      <c r="S48" s="25">
        <v>250</v>
      </c>
      <c r="T48" s="25">
        <v>254.31</v>
      </c>
      <c r="U48" s="25">
        <f t="shared" si="248"/>
        <v>4.3100000000000023</v>
      </c>
      <c r="V48" s="25">
        <v>255</v>
      </c>
      <c r="W48" s="25">
        <v>0</v>
      </c>
      <c r="X48" s="25">
        <v>0</v>
      </c>
      <c r="Y48" s="25">
        <f t="shared" si="249"/>
        <v>0</v>
      </c>
      <c r="Z48" s="25">
        <v>0</v>
      </c>
      <c r="AA48" s="25">
        <v>0</v>
      </c>
      <c r="AB48" s="1">
        <v>0</v>
      </c>
      <c r="AC48" s="25">
        <f t="shared" si="250"/>
        <v>0</v>
      </c>
      <c r="AD48" s="25">
        <v>0</v>
      </c>
      <c r="AE48" s="25">
        <v>0</v>
      </c>
      <c r="AF48" s="25">
        <v>0</v>
      </c>
      <c r="AG48" s="25">
        <f t="shared" si="251"/>
        <v>0</v>
      </c>
      <c r="AH48" s="25">
        <v>0</v>
      </c>
      <c r="AI48" s="25">
        <f t="shared" si="212"/>
        <v>5003</v>
      </c>
      <c r="AJ48" s="25">
        <f t="shared" si="252"/>
        <v>5309.0300000000007</v>
      </c>
      <c r="AK48" s="25">
        <f t="shared" si="253"/>
        <v>306.03000000000065</v>
      </c>
      <c r="AL48" s="25">
        <f t="shared" si="243"/>
        <v>5399.32</v>
      </c>
    </row>
    <row r="49" spans="1:38" x14ac:dyDescent="0.25">
      <c r="A49">
        <v>4170</v>
      </c>
      <c r="B49" t="s">
        <v>42</v>
      </c>
      <c r="C49" s="1">
        <v>5000</v>
      </c>
      <c r="D49" s="1">
        <f>4544.88+1868.2</f>
        <v>6413.08</v>
      </c>
      <c r="E49" s="105">
        <f t="shared" si="244"/>
        <v>1413.08</v>
      </c>
      <c r="F49" s="105">
        <v>6500</v>
      </c>
      <c r="G49" s="25">
        <v>0</v>
      </c>
      <c r="H49" s="1">
        <v>391.46</v>
      </c>
      <c r="I49" s="25">
        <f t="shared" si="245"/>
        <v>391.46</v>
      </c>
      <c r="J49" s="1">
        <v>0</v>
      </c>
      <c r="K49" s="25">
        <v>0</v>
      </c>
      <c r="L49" s="1"/>
      <c r="M49" s="25">
        <f t="shared" si="246"/>
        <v>0</v>
      </c>
      <c r="N49" s="1"/>
      <c r="O49" s="25">
        <v>0</v>
      </c>
      <c r="P49" s="1">
        <v>0</v>
      </c>
      <c r="Q49" s="25">
        <f t="shared" si="247"/>
        <v>0</v>
      </c>
      <c r="R49" s="25">
        <v>0</v>
      </c>
      <c r="S49" s="25">
        <v>0</v>
      </c>
      <c r="T49" s="25">
        <v>0</v>
      </c>
      <c r="U49" s="25">
        <f t="shared" si="248"/>
        <v>0</v>
      </c>
      <c r="V49" s="25">
        <v>0</v>
      </c>
      <c r="W49" s="25">
        <v>0</v>
      </c>
      <c r="X49" s="25">
        <v>0</v>
      </c>
      <c r="Y49" s="25">
        <f t="shared" si="249"/>
        <v>0</v>
      </c>
      <c r="Z49" s="25">
        <v>0</v>
      </c>
      <c r="AA49" s="25">
        <v>0</v>
      </c>
      <c r="AB49" s="1">
        <v>0</v>
      </c>
      <c r="AC49" s="25">
        <f t="shared" si="250"/>
        <v>0</v>
      </c>
      <c r="AD49" s="25">
        <v>0</v>
      </c>
      <c r="AE49" s="25">
        <v>0</v>
      </c>
      <c r="AF49" s="25">
        <v>0</v>
      </c>
      <c r="AG49" s="25">
        <f t="shared" si="251"/>
        <v>0</v>
      </c>
      <c r="AH49" s="25">
        <v>0</v>
      </c>
      <c r="AI49" s="25">
        <f t="shared" si="212"/>
        <v>5000</v>
      </c>
      <c r="AJ49" s="25">
        <f t="shared" si="252"/>
        <v>6804.54</v>
      </c>
      <c r="AK49" s="25">
        <f t="shared" si="253"/>
        <v>1804.54</v>
      </c>
      <c r="AL49" s="25">
        <f t="shared" si="243"/>
        <v>6500</v>
      </c>
    </row>
    <row r="50" spans="1:38" x14ac:dyDescent="0.25">
      <c r="A50">
        <v>4190</v>
      </c>
      <c r="B50" t="s">
        <v>43</v>
      </c>
      <c r="C50" s="1">
        <f>(11818-664-257-807)*4</f>
        <v>40360</v>
      </c>
      <c r="D50" s="1">
        <f>40664+1471</f>
        <v>42135</v>
      </c>
      <c r="E50" s="105">
        <f t="shared" si="244"/>
        <v>1775</v>
      </c>
      <c r="F50" s="1">
        <f>10108*4</f>
        <v>40432</v>
      </c>
      <c r="G50" s="25">
        <v>0</v>
      </c>
      <c r="H50" s="1">
        <v>0</v>
      </c>
      <c r="I50" s="25">
        <f t="shared" si="245"/>
        <v>0</v>
      </c>
      <c r="J50" s="1">
        <v>0</v>
      </c>
      <c r="K50" s="25">
        <v>0</v>
      </c>
      <c r="L50" s="1"/>
      <c r="M50" s="25">
        <f t="shared" si="246"/>
        <v>0</v>
      </c>
      <c r="N50" s="1"/>
      <c r="O50" s="25">
        <v>0</v>
      </c>
      <c r="P50" s="1">
        <v>0</v>
      </c>
      <c r="Q50" s="25">
        <f t="shared" si="247"/>
        <v>0</v>
      </c>
      <c r="R50" s="25">
        <v>0</v>
      </c>
      <c r="S50" s="25">
        <v>0</v>
      </c>
      <c r="T50" s="25">
        <v>0</v>
      </c>
      <c r="U50" s="25">
        <f t="shared" si="248"/>
        <v>0</v>
      </c>
      <c r="V50" s="25">
        <v>0</v>
      </c>
      <c r="W50" s="25">
        <v>0</v>
      </c>
      <c r="X50" s="25">
        <v>0</v>
      </c>
      <c r="Y50" s="25">
        <f t="shared" si="249"/>
        <v>0</v>
      </c>
      <c r="Z50" s="25">
        <v>0</v>
      </c>
      <c r="AA50" s="25">
        <v>0</v>
      </c>
      <c r="AB50" s="1">
        <v>0</v>
      </c>
      <c r="AC50" s="25">
        <f t="shared" si="250"/>
        <v>0</v>
      </c>
      <c r="AD50" s="25">
        <v>0</v>
      </c>
      <c r="AE50" s="25">
        <v>0</v>
      </c>
      <c r="AF50" s="25">
        <v>0</v>
      </c>
      <c r="AG50" s="25">
        <f t="shared" si="251"/>
        <v>0</v>
      </c>
      <c r="AH50" s="25">
        <v>0</v>
      </c>
      <c r="AI50" s="25">
        <f t="shared" si="212"/>
        <v>40360</v>
      </c>
      <c r="AJ50" s="25">
        <f t="shared" si="252"/>
        <v>42135</v>
      </c>
      <c r="AK50" s="25">
        <f t="shared" si="253"/>
        <v>1775</v>
      </c>
      <c r="AL50" s="25">
        <f t="shared" si="243"/>
        <v>40432</v>
      </c>
    </row>
    <row r="51" spans="1:38" x14ac:dyDescent="0.25">
      <c r="A51" s="4">
        <v>4200</v>
      </c>
      <c r="B51" s="4" t="s">
        <v>44</v>
      </c>
      <c r="C51" s="5">
        <f>SUM(C52:C53)</f>
        <v>8035</v>
      </c>
      <c r="D51" s="5">
        <f t="shared" ref="D51" si="254">SUM(D52:D53)</f>
        <v>8815.24</v>
      </c>
      <c r="E51" s="5">
        <f t="shared" ref="E51:F51" si="255">SUM(E52:E53)</f>
        <v>780.24</v>
      </c>
      <c r="F51" s="5">
        <f t="shared" si="255"/>
        <v>9884.68</v>
      </c>
      <c r="G51" s="5">
        <f t="shared" ref="G51:AD51" si="256">SUM(G52:G53)</f>
        <v>416.24</v>
      </c>
      <c r="H51" s="5">
        <f t="shared" si="256"/>
        <v>416.24</v>
      </c>
      <c r="I51" s="5">
        <f t="shared" si="256"/>
        <v>0</v>
      </c>
      <c r="J51" s="5">
        <f t="shared" si="256"/>
        <v>416</v>
      </c>
      <c r="K51" s="5">
        <f t="shared" si="256"/>
        <v>0</v>
      </c>
      <c r="L51" s="5">
        <f t="shared" si="256"/>
        <v>0</v>
      </c>
      <c r="M51" s="5">
        <f t="shared" si="256"/>
        <v>0</v>
      </c>
      <c r="N51" s="5">
        <f t="shared" si="256"/>
        <v>0</v>
      </c>
      <c r="O51" s="5">
        <f t="shared" si="256"/>
        <v>0</v>
      </c>
      <c r="P51" s="5">
        <f t="shared" si="256"/>
        <v>0</v>
      </c>
      <c r="Q51" s="5">
        <f t="shared" si="256"/>
        <v>0</v>
      </c>
      <c r="R51" s="5">
        <f t="shared" si="256"/>
        <v>0</v>
      </c>
      <c r="S51" s="5">
        <f t="shared" si="256"/>
        <v>0</v>
      </c>
      <c r="T51" s="5">
        <f t="shared" si="256"/>
        <v>0</v>
      </c>
      <c r="U51" s="5">
        <f t="shared" si="256"/>
        <v>0</v>
      </c>
      <c r="V51" s="5">
        <f t="shared" si="256"/>
        <v>0</v>
      </c>
      <c r="W51" s="5">
        <f t="shared" si="256"/>
        <v>0</v>
      </c>
      <c r="X51" s="5">
        <f t="shared" si="256"/>
        <v>0</v>
      </c>
      <c r="Y51" s="5">
        <f t="shared" si="256"/>
        <v>0</v>
      </c>
      <c r="Z51" s="5">
        <f t="shared" si="256"/>
        <v>0</v>
      </c>
      <c r="AA51" s="5">
        <f t="shared" si="256"/>
        <v>0</v>
      </c>
      <c r="AB51" s="5">
        <f t="shared" si="256"/>
        <v>0</v>
      </c>
      <c r="AC51" s="5">
        <f t="shared" si="256"/>
        <v>0</v>
      </c>
      <c r="AD51" s="5">
        <f t="shared" si="256"/>
        <v>0</v>
      </c>
      <c r="AE51" s="5">
        <f t="shared" ref="AE51:AF51" si="257">SUM(AE52:AE53)</f>
        <v>0</v>
      </c>
      <c r="AF51" s="5">
        <f t="shared" si="257"/>
        <v>0</v>
      </c>
      <c r="AG51" s="5">
        <f t="shared" ref="AG51" si="258">SUM(AG52:AG53)</f>
        <v>0</v>
      </c>
      <c r="AH51" s="5">
        <f t="shared" ref="AH51" si="259">SUM(AH52:AH53)</f>
        <v>0</v>
      </c>
      <c r="AI51" s="5">
        <f t="shared" ref="AI51" si="260">SUM(AI52:AI53)</f>
        <v>8451.24</v>
      </c>
      <c r="AJ51" s="5">
        <f t="shared" ref="AJ51" si="261">SUM(AJ52:AJ53)</f>
        <v>9231.48</v>
      </c>
      <c r="AK51" s="5">
        <f t="shared" ref="AK51" si="262">SUM(AK52:AK53)</f>
        <v>780.24</v>
      </c>
      <c r="AL51" s="5">
        <f t="shared" ref="AL51" si="263">SUM(AL52:AL53)</f>
        <v>10300.68</v>
      </c>
    </row>
    <row r="52" spans="1:38" x14ac:dyDescent="0.25">
      <c r="A52">
        <v>4240</v>
      </c>
      <c r="B52" t="s">
        <v>45</v>
      </c>
      <c r="C52" s="105">
        <f>((194+109)*12)+1450+1000+500</f>
        <v>6586</v>
      </c>
      <c r="D52" s="105">
        <v>7429.75</v>
      </c>
      <c r="E52" s="105">
        <f>D52-C52</f>
        <v>843.75</v>
      </c>
      <c r="F52" s="105">
        <f>(193.6*12)+(95*12)+1187.5+1270.5+1388.48+121+(67*12)</f>
        <v>8234.68</v>
      </c>
      <c r="G52" s="25">
        <v>416.24</v>
      </c>
      <c r="H52" s="1">
        <v>416.24</v>
      </c>
      <c r="I52" s="25">
        <f>H52-G52</f>
        <v>0</v>
      </c>
      <c r="J52" s="1">
        <v>416</v>
      </c>
      <c r="K52" s="25">
        <v>0</v>
      </c>
      <c r="L52" s="1"/>
      <c r="M52" s="25">
        <f>L52-K52</f>
        <v>0</v>
      </c>
      <c r="N52" s="1"/>
      <c r="O52" s="25">
        <v>0</v>
      </c>
      <c r="P52" s="1">
        <v>0</v>
      </c>
      <c r="Q52" s="25">
        <f>P52-O52</f>
        <v>0</v>
      </c>
      <c r="R52" s="25">
        <v>0</v>
      </c>
      <c r="S52" s="25">
        <v>0</v>
      </c>
      <c r="T52" s="25">
        <v>0</v>
      </c>
      <c r="U52" s="25">
        <f>T52-S52</f>
        <v>0</v>
      </c>
      <c r="V52" s="25">
        <v>0</v>
      </c>
      <c r="W52" s="25">
        <v>0</v>
      </c>
      <c r="X52" s="25">
        <v>0</v>
      </c>
      <c r="Y52" s="25">
        <f>X52-W52</f>
        <v>0</v>
      </c>
      <c r="Z52" s="25">
        <v>0</v>
      </c>
      <c r="AA52" s="25">
        <v>0</v>
      </c>
      <c r="AB52" s="1">
        <v>0</v>
      </c>
      <c r="AC52" s="25">
        <f>AB52-AA52</f>
        <v>0</v>
      </c>
      <c r="AD52" s="25">
        <v>0</v>
      </c>
      <c r="AE52" s="25">
        <v>0</v>
      </c>
      <c r="AF52" s="25">
        <v>0</v>
      </c>
      <c r="AG52" s="25">
        <f>AF52-AE52</f>
        <v>0</v>
      </c>
      <c r="AH52" s="25">
        <v>0</v>
      </c>
      <c r="AI52" s="25">
        <f t="shared" si="212"/>
        <v>7002.24</v>
      </c>
      <c r="AJ52" s="25">
        <f>D52+H52+L52++P52+T52+X52+AB52+AF52</f>
        <v>7845.99</v>
      </c>
      <c r="AK52" s="25">
        <f>AJ52-AI52</f>
        <v>843.75</v>
      </c>
      <c r="AL52" s="25">
        <f t="shared" si="243"/>
        <v>8650.68</v>
      </c>
    </row>
    <row r="53" spans="1:38" x14ac:dyDescent="0.25">
      <c r="A53">
        <v>4290</v>
      </c>
      <c r="B53" t="s">
        <v>46</v>
      </c>
      <c r="C53" s="1">
        <f>(237.25*4)+500</f>
        <v>1449</v>
      </c>
      <c r="D53" s="105">
        <v>1385.49</v>
      </c>
      <c r="E53" s="105">
        <f>D53-C53</f>
        <v>-63.509999999999991</v>
      </c>
      <c r="F53" s="1">
        <v>1650</v>
      </c>
      <c r="G53" s="25">
        <v>0</v>
      </c>
      <c r="H53" s="1">
        <v>0</v>
      </c>
      <c r="I53" s="25">
        <f>H53-G53</f>
        <v>0</v>
      </c>
      <c r="J53" s="1">
        <v>0</v>
      </c>
      <c r="K53" s="25">
        <v>0</v>
      </c>
      <c r="L53" s="1"/>
      <c r="M53" s="25">
        <f>L53-K53</f>
        <v>0</v>
      </c>
      <c r="N53" s="1"/>
      <c r="O53" s="25">
        <v>0</v>
      </c>
      <c r="P53" s="1">
        <v>0</v>
      </c>
      <c r="Q53" s="25">
        <f>P53-O53</f>
        <v>0</v>
      </c>
      <c r="R53" s="25">
        <v>0</v>
      </c>
      <c r="S53" s="25">
        <v>0</v>
      </c>
      <c r="T53" s="25">
        <v>0</v>
      </c>
      <c r="U53" s="25">
        <f>T53-S53</f>
        <v>0</v>
      </c>
      <c r="V53" s="25">
        <v>0</v>
      </c>
      <c r="W53" s="25">
        <v>0</v>
      </c>
      <c r="X53" s="25">
        <v>0</v>
      </c>
      <c r="Y53" s="25">
        <f>X53-W53</f>
        <v>0</v>
      </c>
      <c r="Z53" s="25">
        <v>0</v>
      </c>
      <c r="AA53" s="25">
        <v>0</v>
      </c>
      <c r="AB53" s="1">
        <v>0</v>
      </c>
      <c r="AC53" s="25">
        <f>AB53-AA53</f>
        <v>0</v>
      </c>
      <c r="AD53" s="25">
        <v>0</v>
      </c>
      <c r="AE53" s="25">
        <v>0</v>
      </c>
      <c r="AF53" s="25">
        <v>0</v>
      </c>
      <c r="AG53" s="25">
        <f>AF53-AE53</f>
        <v>0</v>
      </c>
      <c r="AH53" s="25">
        <v>0</v>
      </c>
      <c r="AI53" s="25">
        <f t="shared" si="212"/>
        <v>1449</v>
      </c>
      <c r="AJ53" s="25">
        <f>D53+H53+L53++P53+T53+X53+AB53+AF53</f>
        <v>1385.49</v>
      </c>
      <c r="AK53" s="25">
        <f>AJ53-AI53</f>
        <v>-63.509999999999991</v>
      </c>
      <c r="AL53" s="25">
        <f t="shared" si="243"/>
        <v>1650</v>
      </c>
    </row>
    <row r="54" spans="1:38" x14ac:dyDescent="0.25">
      <c r="A54" s="6">
        <v>4300</v>
      </c>
      <c r="B54" s="6" t="s">
        <v>47</v>
      </c>
      <c r="C54" s="5">
        <f>SUM(C55:C56)</f>
        <v>0</v>
      </c>
      <c r="D54" s="5">
        <f t="shared" ref="D54" si="264">SUM(D55:D56)</f>
        <v>-100</v>
      </c>
      <c r="E54" s="5">
        <f t="shared" ref="E54" si="265">SUM(E55:E56)</f>
        <v>-100</v>
      </c>
      <c r="F54" s="5">
        <f t="shared" ref="F54" si="266">SUM(F55:F56)</f>
        <v>0</v>
      </c>
      <c r="G54" s="5">
        <f t="shared" ref="G54:H54" si="267">SUM(G55:G56)</f>
        <v>42000</v>
      </c>
      <c r="H54" s="5">
        <f t="shared" si="267"/>
        <v>40176.31</v>
      </c>
      <c r="I54" s="5">
        <f t="shared" ref="I54:J54" si="268">SUM(I55:I56)</f>
        <v>-1823.6900000000023</v>
      </c>
      <c r="J54" s="5">
        <f t="shared" si="268"/>
        <v>40704</v>
      </c>
      <c r="K54" s="5">
        <f t="shared" ref="K54:L54" si="269">SUM(K55:K56)</f>
        <v>1000</v>
      </c>
      <c r="L54" s="5">
        <f t="shared" si="269"/>
        <v>1066.4000000000001</v>
      </c>
      <c r="M54" s="5">
        <f t="shared" ref="M54:N54" si="270">SUM(M55:M56)</f>
        <v>66.400000000000091</v>
      </c>
      <c r="N54" s="5">
        <f t="shared" si="270"/>
        <v>1000</v>
      </c>
      <c r="O54" s="5">
        <f t="shared" ref="O54:P54" si="271">SUM(O55:O56)</f>
        <v>100</v>
      </c>
      <c r="P54" s="5">
        <f t="shared" si="271"/>
        <v>100</v>
      </c>
      <c r="Q54" s="5">
        <f t="shared" ref="Q54" si="272">SUM(Q55:Q56)</f>
        <v>0</v>
      </c>
      <c r="R54" s="5">
        <f t="shared" ref="R54" si="273">SUM(R55:R56)</f>
        <v>0</v>
      </c>
      <c r="S54" s="5">
        <f t="shared" ref="S54" si="274">SUM(S55:S56)</f>
        <v>0</v>
      </c>
      <c r="T54" s="5">
        <f t="shared" ref="T54" si="275">SUM(T55:T56)</f>
        <v>0</v>
      </c>
      <c r="U54" s="5">
        <f t="shared" ref="U54" si="276">SUM(U55:U56)</f>
        <v>0</v>
      </c>
      <c r="V54" s="5">
        <f t="shared" ref="V54" si="277">SUM(V55:V56)</f>
        <v>0</v>
      </c>
      <c r="W54" s="5">
        <f t="shared" ref="W54" si="278">SUM(W55:W56)</f>
        <v>0</v>
      </c>
      <c r="X54" s="5">
        <f t="shared" ref="X54" si="279">SUM(X55:X56)</f>
        <v>0</v>
      </c>
      <c r="Y54" s="5">
        <f t="shared" ref="Y54" si="280">SUM(Y55:Y56)</f>
        <v>0</v>
      </c>
      <c r="Z54" s="5">
        <f t="shared" ref="Z54" si="281">SUM(Z55:Z56)</f>
        <v>0</v>
      </c>
      <c r="AA54" s="5">
        <f t="shared" ref="AA54:AB54" si="282">SUM(AA55:AA56)</f>
        <v>0</v>
      </c>
      <c r="AB54" s="5">
        <f t="shared" si="282"/>
        <v>0</v>
      </c>
      <c r="AC54" s="5">
        <f t="shared" ref="AC54" si="283">SUM(AC55:AC56)</f>
        <v>0</v>
      </c>
      <c r="AD54" s="5">
        <f t="shared" ref="AD54:AF54" si="284">SUM(AD55:AD56)</f>
        <v>0</v>
      </c>
      <c r="AE54" s="5">
        <f t="shared" si="284"/>
        <v>1500</v>
      </c>
      <c r="AF54" s="5">
        <f t="shared" si="284"/>
        <v>1648.01</v>
      </c>
      <c r="AG54" s="5">
        <f t="shared" ref="AG54:AH54" si="285">SUM(AG55:AG56)</f>
        <v>148.01</v>
      </c>
      <c r="AH54" s="5">
        <f t="shared" si="285"/>
        <v>1599</v>
      </c>
      <c r="AI54" s="5">
        <f t="shared" ref="AI54" si="286">SUM(AI55:AI56)</f>
        <v>44600</v>
      </c>
      <c r="AJ54" s="5">
        <f t="shared" ref="AJ54" si="287">SUM(AJ55:AJ56)</f>
        <v>42890.720000000001</v>
      </c>
      <c r="AK54" s="5">
        <f t="shared" ref="AK54" si="288">SUM(AK55:AK56)</f>
        <v>-1709.2799999999988</v>
      </c>
      <c r="AL54" s="5">
        <f t="shared" ref="AL54" si="289">SUM(AL55:AL56)</f>
        <v>43303</v>
      </c>
    </row>
    <row r="55" spans="1:38" x14ac:dyDescent="0.25">
      <c r="A55">
        <v>4310</v>
      </c>
      <c r="B55" t="s">
        <v>48</v>
      </c>
      <c r="C55" s="1">
        <v>0</v>
      </c>
      <c r="D55" s="1">
        <v>-100</v>
      </c>
      <c r="E55" s="1">
        <f>D55-C55</f>
        <v>-100</v>
      </c>
      <c r="F55" s="1">
        <v>0</v>
      </c>
      <c r="G55" s="25">
        <v>42000</v>
      </c>
      <c r="H55" s="1">
        <v>40176.31</v>
      </c>
      <c r="I55" s="25">
        <f>H55-G55</f>
        <v>-1823.6900000000023</v>
      </c>
      <c r="J55" s="1">
        <f>39551+1153</f>
        <v>40704</v>
      </c>
      <c r="K55" s="25">
        <v>1000</v>
      </c>
      <c r="L55" s="1">
        <v>1066.4000000000001</v>
      </c>
      <c r="M55" s="25">
        <f>L55-K55</f>
        <v>66.400000000000091</v>
      </c>
      <c r="N55" s="1">
        <v>1000</v>
      </c>
      <c r="O55" s="25">
        <v>100</v>
      </c>
      <c r="P55" s="1">
        <v>100</v>
      </c>
      <c r="Q55" s="25">
        <f>P55-O55</f>
        <v>0</v>
      </c>
      <c r="R55" s="25">
        <v>0</v>
      </c>
      <c r="S55" s="25">
        <v>0</v>
      </c>
      <c r="T55" s="25">
        <v>0</v>
      </c>
      <c r="U55" s="25">
        <f>T55-S55</f>
        <v>0</v>
      </c>
      <c r="V55" s="25">
        <v>0</v>
      </c>
      <c r="W55" s="25">
        <v>0</v>
      </c>
      <c r="X55" s="25">
        <v>0</v>
      </c>
      <c r="Y55" s="25">
        <f>X55-W55</f>
        <v>0</v>
      </c>
      <c r="Z55" s="25">
        <v>0</v>
      </c>
      <c r="AA55" s="25">
        <v>0</v>
      </c>
      <c r="AB55" s="1">
        <v>0</v>
      </c>
      <c r="AC55" s="25">
        <f>AB55-AA55</f>
        <v>0</v>
      </c>
      <c r="AD55" s="25">
        <v>0</v>
      </c>
      <c r="AE55" s="25">
        <v>1410</v>
      </c>
      <c r="AF55" s="1">
        <f>1598.67+49.34</f>
        <v>1648.01</v>
      </c>
      <c r="AG55" s="25">
        <f>AF55-AE55</f>
        <v>238.01</v>
      </c>
      <c r="AH55" s="25">
        <v>1599</v>
      </c>
      <c r="AI55" s="25">
        <f t="shared" si="212"/>
        <v>44510</v>
      </c>
      <c r="AJ55" s="25">
        <f>D55+H55+L55++P55+T55+X55+AB55+AF55</f>
        <v>42890.720000000001</v>
      </c>
      <c r="AK55" s="25">
        <f>AJ55-AI55</f>
        <v>-1619.2799999999988</v>
      </c>
      <c r="AL55" s="25">
        <f t="shared" ref="AL55:AL72" si="290">F55+J55+N55+R55+V55+Z55+AD55+AH55</f>
        <v>43303</v>
      </c>
    </row>
    <row r="56" spans="1:38" x14ac:dyDescent="0.25">
      <c r="A56">
        <v>4311</v>
      </c>
      <c r="B56" t="s">
        <v>49</v>
      </c>
      <c r="C56" s="1">
        <v>0</v>
      </c>
      <c r="D56" s="1">
        <v>0</v>
      </c>
      <c r="E56" s="1">
        <f>D56-C56</f>
        <v>0</v>
      </c>
      <c r="F56" s="1">
        <v>0</v>
      </c>
      <c r="G56" s="25">
        <v>0</v>
      </c>
      <c r="H56" s="1">
        <v>0</v>
      </c>
      <c r="I56" s="25">
        <f>H56-G56</f>
        <v>0</v>
      </c>
      <c r="J56" s="1">
        <v>0</v>
      </c>
      <c r="K56" s="25">
        <v>0</v>
      </c>
      <c r="L56" s="1">
        <v>0</v>
      </c>
      <c r="M56" s="25">
        <f>L56-K56</f>
        <v>0</v>
      </c>
      <c r="N56" s="1">
        <v>0</v>
      </c>
      <c r="O56" s="25">
        <v>0</v>
      </c>
      <c r="P56" s="1">
        <v>0</v>
      </c>
      <c r="Q56" s="25">
        <f>P56-O56</f>
        <v>0</v>
      </c>
      <c r="R56" s="25">
        <v>0</v>
      </c>
      <c r="S56" s="25">
        <v>0</v>
      </c>
      <c r="T56" s="25">
        <v>0</v>
      </c>
      <c r="U56" s="25">
        <f>T56-S56</f>
        <v>0</v>
      </c>
      <c r="V56" s="25">
        <v>0</v>
      </c>
      <c r="W56" s="25">
        <v>0</v>
      </c>
      <c r="X56" s="25">
        <v>0</v>
      </c>
      <c r="Y56" s="25">
        <f>X56-W56</f>
        <v>0</v>
      </c>
      <c r="Z56" s="25">
        <v>0</v>
      </c>
      <c r="AA56" s="25">
        <v>0</v>
      </c>
      <c r="AB56" s="1">
        <v>0</v>
      </c>
      <c r="AC56" s="25">
        <f>AB56-AA56</f>
        <v>0</v>
      </c>
      <c r="AD56" s="25">
        <v>0</v>
      </c>
      <c r="AE56" s="25">
        <v>90</v>
      </c>
      <c r="AF56" s="25">
        <v>0</v>
      </c>
      <c r="AG56" s="25">
        <f>AF56-AE56</f>
        <v>-90</v>
      </c>
      <c r="AH56" s="25">
        <v>0</v>
      </c>
      <c r="AI56" s="25">
        <f t="shared" si="212"/>
        <v>90</v>
      </c>
      <c r="AJ56" s="25">
        <f>D56+H56+L56++P56+T56+X56+AB56+AF56</f>
        <v>0</v>
      </c>
      <c r="AK56" s="25">
        <f>AJ56-AI56</f>
        <v>-90</v>
      </c>
      <c r="AL56" s="25">
        <f t="shared" si="290"/>
        <v>0</v>
      </c>
    </row>
    <row r="57" spans="1:38" x14ac:dyDescent="0.25">
      <c r="A57" s="4">
        <v>4400</v>
      </c>
      <c r="B57" s="4" t="s">
        <v>50</v>
      </c>
      <c r="C57" s="5">
        <f>SUM(C58:C67)</f>
        <v>365</v>
      </c>
      <c r="D57" s="5">
        <f t="shared" ref="D57" si="291">SUM(D58:D67)</f>
        <v>362.5</v>
      </c>
      <c r="E57" s="5">
        <f t="shared" ref="E57" si="292">SUM(E58:E67)</f>
        <v>-2.5</v>
      </c>
      <c r="F57" s="5">
        <f t="shared" ref="F57" si="293">SUM(F58:F67)</f>
        <v>365</v>
      </c>
      <c r="G57" s="5">
        <f>SUM(G58:G67)</f>
        <v>44096.32</v>
      </c>
      <c r="H57" s="5">
        <f>SUM(H58:H67)</f>
        <v>44067.17</v>
      </c>
      <c r="I57" s="5">
        <f t="shared" ref="I57:J57" si="294">SUM(I58:I67)</f>
        <v>-29.14999999999759</v>
      </c>
      <c r="J57" s="5">
        <f t="shared" si="294"/>
        <v>39528.561000000002</v>
      </c>
      <c r="K57" s="5">
        <f t="shared" ref="K57:L57" si="295">SUM(K58:K67)</f>
        <v>22691.78</v>
      </c>
      <c r="L57" s="5">
        <f t="shared" si="295"/>
        <v>23234.87</v>
      </c>
      <c r="M57" s="5">
        <f t="shared" ref="M57:N57" si="296">SUM(M58:M67)</f>
        <v>543.08999999999878</v>
      </c>
      <c r="N57" s="5">
        <f t="shared" si="296"/>
        <v>21450</v>
      </c>
      <c r="O57" s="5">
        <f t="shared" ref="O57:P57" si="297">SUM(O58:O67)</f>
        <v>22750</v>
      </c>
      <c r="P57" s="5">
        <f t="shared" si="297"/>
        <v>21240.25</v>
      </c>
      <c r="Q57" s="5">
        <f t="shared" ref="Q57" si="298">SUM(Q58:Q67)</f>
        <v>-1509.75</v>
      </c>
      <c r="R57" s="5">
        <f t="shared" ref="R57" si="299">SUM(R58:R67)</f>
        <v>20992</v>
      </c>
      <c r="S57" s="5">
        <f t="shared" ref="S57" si="300">SUM(S58:S67)</f>
        <v>7900</v>
      </c>
      <c r="T57" s="5">
        <f t="shared" ref="T57" si="301">SUM(T58:T67)</f>
        <v>6135.86</v>
      </c>
      <c r="U57" s="5">
        <f t="shared" ref="U57" si="302">SUM(U58:U67)</f>
        <v>-1764.1400000000003</v>
      </c>
      <c r="V57" s="5">
        <f t="shared" ref="V57" si="303">SUM(V58:V67)</f>
        <v>8500</v>
      </c>
      <c r="W57" s="5">
        <f t="shared" ref="W57" si="304">SUM(W58:W67)</f>
        <v>3000</v>
      </c>
      <c r="X57" s="5">
        <f t="shared" ref="X57" si="305">SUM(X58:X67)</f>
        <v>3036.9499999999994</v>
      </c>
      <c r="Y57" s="5">
        <f t="shared" ref="Y57" si="306">SUM(Y58:Y67)</f>
        <v>36.949999999999363</v>
      </c>
      <c r="Z57" s="5">
        <f t="shared" ref="Z57" si="307">SUM(Z58:Z67)</f>
        <v>4800</v>
      </c>
      <c r="AA57" s="5">
        <f t="shared" ref="AA57:AB57" si="308">SUM(AA58:AA67)</f>
        <v>5250</v>
      </c>
      <c r="AB57" s="5">
        <f t="shared" si="308"/>
        <v>5255</v>
      </c>
      <c r="AC57" s="5">
        <f t="shared" ref="AC57" si="309">SUM(AC58:AC67)</f>
        <v>5</v>
      </c>
      <c r="AD57" s="5">
        <f t="shared" ref="AD57:AF57" si="310">SUM(AD58:AD67)</f>
        <v>6800</v>
      </c>
      <c r="AE57" s="5">
        <f t="shared" si="310"/>
        <v>0</v>
      </c>
      <c r="AF57" s="5">
        <f t="shared" si="310"/>
        <v>0</v>
      </c>
      <c r="AG57" s="5">
        <f t="shared" ref="AG57:AH57" si="311">SUM(AG58:AG67)</f>
        <v>0</v>
      </c>
      <c r="AH57" s="5">
        <f t="shared" si="311"/>
        <v>0</v>
      </c>
      <c r="AI57" s="5">
        <f t="shared" ref="AI57" si="312">SUM(AI58:AI67)</f>
        <v>106053.1</v>
      </c>
      <c r="AJ57" s="5">
        <f t="shared" ref="AJ57" si="313">SUM(AJ58:AJ67)</f>
        <v>103332.6</v>
      </c>
      <c r="AK57" s="5">
        <f t="shared" ref="AK57" si="314">SUM(AK58:AK67)</f>
        <v>-2720.4999999999964</v>
      </c>
      <c r="AL57" s="5">
        <f t="shared" ref="AL57" si="315">SUM(AL58:AL67)</f>
        <v>102435.561</v>
      </c>
    </row>
    <row r="58" spans="1:38" x14ac:dyDescent="0.25">
      <c r="A58">
        <v>4410</v>
      </c>
      <c r="B58" t="s">
        <v>51</v>
      </c>
      <c r="C58" s="1">
        <v>0</v>
      </c>
      <c r="D58" s="1">
        <v>0</v>
      </c>
      <c r="E58" s="1">
        <f>D58-C58</f>
        <v>0</v>
      </c>
      <c r="F58" s="1">
        <v>0</v>
      </c>
      <c r="G58" s="25">
        <v>6106.32</v>
      </c>
      <c r="H58" s="1">
        <v>4312.5200000000004</v>
      </c>
      <c r="I58" s="25">
        <f>H58-G58</f>
        <v>-1793.7999999999993</v>
      </c>
      <c r="J58" s="1">
        <v>4263.5450000000001</v>
      </c>
      <c r="K58" s="25">
        <v>750</v>
      </c>
      <c r="L58" s="1">
        <v>754</v>
      </c>
      <c r="M58" s="25">
        <f>L58-K58</f>
        <v>4</v>
      </c>
      <c r="N58" s="1">
        <v>750</v>
      </c>
      <c r="O58" s="25">
        <v>500</v>
      </c>
      <c r="P58" s="1">
        <v>1321</v>
      </c>
      <c r="Q58" s="25">
        <f>P58-O58</f>
        <v>821</v>
      </c>
      <c r="R58" s="25">
        <v>500</v>
      </c>
      <c r="S58" s="25">
        <v>600</v>
      </c>
      <c r="T58" s="25">
        <v>0</v>
      </c>
      <c r="U58" s="25">
        <f>T58-S58</f>
        <v>-600</v>
      </c>
      <c r="V58" s="25">
        <v>2000</v>
      </c>
      <c r="W58" s="25">
        <v>3000</v>
      </c>
      <c r="X58" s="25">
        <f>22.47+134+65+13.5+7.95+45.8+15+47.39+111.4+335+12.69+65+20+30+107+7+135+175+1403.03+8.95+96.72+400+765+53.95+13.5+12.5+12.5-1010-208.4+140</f>
        <v>3036.9499999999994</v>
      </c>
      <c r="Y58" s="25">
        <f>X58-W58</f>
        <v>36.949999999999363</v>
      </c>
      <c r="Z58" s="25">
        <f>3600+1200</f>
        <v>4800</v>
      </c>
      <c r="AA58" s="25">
        <v>2100</v>
      </c>
      <c r="AB58" s="1">
        <v>2529</v>
      </c>
      <c r="AC58" s="25">
        <f>AB58-AA58</f>
        <v>429</v>
      </c>
      <c r="AD58" s="25">
        <v>2250</v>
      </c>
      <c r="AE58" s="25">
        <v>0</v>
      </c>
      <c r="AF58" s="25">
        <v>0</v>
      </c>
      <c r="AG58" s="25">
        <f>AF58-AE58</f>
        <v>0</v>
      </c>
      <c r="AH58" s="25">
        <v>0</v>
      </c>
      <c r="AI58" s="25">
        <f t="shared" si="212"/>
        <v>13056.32</v>
      </c>
      <c r="AJ58" s="25">
        <f>D58+H58+L58++P58+T58+X58+AB58+AF58</f>
        <v>11953.47</v>
      </c>
      <c r="AK58" s="25">
        <f>AJ58-AI58</f>
        <v>-1102.8500000000004</v>
      </c>
      <c r="AL58" s="25">
        <f t="shared" si="290"/>
        <v>14563.545</v>
      </c>
    </row>
    <row r="59" spans="1:38" x14ac:dyDescent="0.25">
      <c r="A59">
        <v>4420</v>
      </c>
      <c r="B59" t="s">
        <v>52</v>
      </c>
      <c r="C59" s="1">
        <v>0</v>
      </c>
      <c r="D59" s="1">
        <v>0</v>
      </c>
      <c r="E59" s="1">
        <f t="shared" ref="E59:E67" si="316">D59-C59</f>
        <v>0</v>
      </c>
      <c r="F59" s="1">
        <v>0</v>
      </c>
      <c r="G59" s="25">
        <v>14350</v>
      </c>
      <c r="H59" s="1">
        <v>17525.240000000002</v>
      </c>
      <c r="I59" s="25">
        <f t="shared" ref="I59:I67" si="317">H59-G59</f>
        <v>3175.2400000000016</v>
      </c>
      <c r="J59" s="1">
        <v>10195.016</v>
      </c>
      <c r="K59" s="25">
        <v>1500</v>
      </c>
      <c r="L59" s="1">
        <v>2449.94</v>
      </c>
      <c r="M59" s="25">
        <f t="shared" ref="M59:M67" si="318">L59-K59</f>
        <v>949.94</v>
      </c>
      <c r="N59" s="1">
        <v>1200</v>
      </c>
      <c r="O59" s="25">
        <v>1750</v>
      </c>
      <c r="P59" s="1">
        <v>780</v>
      </c>
      <c r="Q59" s="25">
        <f t="shared" ref="Q59:Q67" si="319">P59-O59</f>
        <v>-970</v>
      </c>
      <c r="R59" s="25">
        <v>2142</v>
      </c>
      <c r="S59" s="25">
        <v>1000</v>
      </c>
      <c r="T59" s="25">
        <v>1270.47</v>
      </c>
      <c r="U59" s="25">
        <f t="shared" ref="U59:U67" si="320">T59-S59</f>
        <v>270.47000000000003</v>
      </c>
      <c r="V59" s="25">
        <v>750</v>
      </c>
      <c r="W59" s="25">
        <v>0</v>
      </c>
      <c r="X59" s="25">
        <v>0</v>
      </c>
      <c r="Y59" s="25">
        <f t="shared" ref="Y59:Y67" si="321">X59-W59</f>
        <v>0</v>
      </c>
      <c r="Z59" s="25">
        <v>0</v>
      </c>
      <c r="AA59" s="25">
        <v>550</v>
      </c>
      <c r="AB59" s="1">
        <v>50</v>
      </c>
      <c r="AC59" s="25">
        <f t="shared" ref="AC59:AC67" si="322">AB59-AA59</f>
        <v>-500</v>
      </c>
      <c r="AD59" s="25">
        <v>2000</v>
      </c>
      <c r="AE59" s="25">
        <v>0</v>
      </c>
      <c r="AF59" s="25">
        <v>0</v>
      </c>
      <c r="AG59" s="25">
        <f t="shared" ref="AG59:AG67" si="323">AF59-AE59</f>
        <v>0</v>
      </c>
      <c r="AH59" s="25">
        <v>0</v>
      </c>
      <c r="AI59" s="25">
        <f t="shared" si="212"/>
        <v>19150</v>
      </c>
      <c r="AJ59" s="25">
        <f t="shared" ref="AJ59:AJ72" si="324">D59+H59+L59++P59+T59+X59+AB59+AF59</f>
        <v>22075.65</v>
      </c>
      <c r="AK59" s="25">
        <f t="shared" ref="AK59:AK67" si="325">AJ59-AI59</f>
        <v>2925.6500000000015</v>
      </c>
      <c r="AL59" s="25">
        <f t="shared" si="290"/>
        <v>16287.016</v>
      </c>
    </row>
    <row r="60" spans="1:38" x14ac:dyDescent="0.25">
      <c r="A60">
        <v>4421</v>
      </c>
      <c r="B60" t="s">
        <v>53</v>
      </c>
      <c r="C60" s="1">
        <v>0</v>
      </c>
      <c r="D60" s="1">
        <v>0</v>
      </c>
      <c r="E60" s="1">
        <f t="shared" si="316"/>
        <v>0</v>
      </c>
      <c r="F60" s="1">
        <v>0</v>
      </c>
      <c r="G60" s="25">
        <v>1800</v>
      </c>
      <c r="H60" s="1">
        <v>2100</v>
      </c>
      <c r="I60" s="25">
        <f t="shared" si="317"/>
        <v>300</v>
      </c>
      <c r="J60" s="1">
        <v>2100</v>
      </c>
      <c r="K60" s="25">
        <v>1000</v>
      </c>
      <c r="L60" s="1">
        <v>850</v>
      </c>
      <c r="M60" s="25">
        <f t="shared" si="318"/>
        <v>-150</v>
      </c>
      <c r="N60" s="1">
        <v>1000</v>
      </c>
      <c r="O60" s="25">
        <v>0</v>
      </c>
      <c r="P60" s="1">
        <v>0</v>
      </c>
      <c r="Q60" s="25">
        <f t="shared" si="319"/>
        <v>0</v>
      </c>
      <c r="R60" s="25">
        <v>0</v>
      </c>
      <c r="S60" s="25">
        <v>0</v>
      </c>
      <c r="T60" s="25">
        <v>0</v>
      </c>
      <c r="U60" s="25">
        <f t="shared" si="320"/>
        <v>0</v>
      </c>
      <c r="V60" s="25">
        <v>0</v>
      </c>
      <c r="W60" s="25">
        <v>0</v>
      </c>
      <c r="X60" s="25">
        <v>0</v>
      </c>
      <c r="Y60" s="25">
        <f t="shared" si="321"/>
        <v>0</v>
      </c>
      <c r="Z60" s="25">
        <v>0</v>
      </c>
      <c r="AA60" s="25">
        <v>0</v>
      </c>
      <c r="AB60" s="1">
        <v>0</v>
      </c>
      <c r="AC60" s="25">
        <f t="shared" si="322"/>
        <v>0</v>
      </c>
      <c r="AD60" s="25">
        <v>0</v>
      </c>
      <c r="AE60" s="25">
        <v>0</v>
      </c>
      <c r="AF60" s="25">
        <v>0</v>
      </c>
      <c r="AG60" s="25">
        <f t="shared" si="323"/>
        <v>0</v>
      </c>
      <c r="AH60" s="25">
        <v>0</v>
      </c>
      <c r="AI60" s="25">
        <f t="shared" si="212"/>
        <v>2800</v>
      </c>
      <c r="AJ60" s="25">
        <f t="shared" si="324"/>
        <v>2950</v>
      </c>
      <c r="AK60" s="25">
        <f t="shared" si="325"/>
        <v>150</v>
      </c>
      <c r="AL60" s="25">
        <f t="shared" si="290"/>
        <v>3100</v>
      </c>
    </row>
    <row r="61" spans="1:38" x14ac:dyDescent="0.25">
      <c r="A61">
        <v>4430</v>
      </c>
      <c r="B61" t="s">
        <v>54</v>
      </c>
      <c r="C61" s="1">
        <v>0</v>
      </c>
      <c r="D61" s="255">
        <v>0</v>
      </c>
      <c r="E61" s="1">
        <f t="shared" si="316"/>
        <v>0</v>
      </c>
      <c r="F61" s="1">
        <v>0</v>
      </c>
      <c r="G61" s="25">
        <v>4190</v>
      </c>
      <c r="H61" s="1">
        <v>3720.37</v>
      </c>
      <c r="I61" s="25">
        <f t="shared" si="317"/>
        <v>-469.63000000000011</v>
      </c>
      <c r="J61" s="1">
        <f>275*12+750</f>
        <v>4050</v>
      </c>
      <c r="K61" s="25">
        <v>0</v>
      </c>
      <c r="L61" s="1">
        <v>0</v>
      </c>
      <c r="M61" s="25">
        <f t="shared" si="318"/>
        <v>0</v>
      </c>
      <c r="N61" s="1">
        <v>0</v>
      </c>
      <c r="O61" s="25">
        <v>0</v>
      </c>
      <c r="P61" s="1">
        <v>0</v>
      </c>
      <c r="Q61" s="25">
        <f t="shared" si="319"/>
        <v>0</v>
      </c>
      <c r="R61" s="25">
        <v>0</v>
      </c>
      <c r="S61" s="25">
        <v>0</v>
      </c>
      <c r="T61" s="25">
        <v>0</v>
      </c>
      <c r="U61" s="25">
        <f t="shared" si="320"/>
        <v>0</v>
      </c>
      <c r="V61" s="25">
        <v>0</v>
      </c>
      <c r="W61" s="25">
        <v>0</v>
      </c>
      <c r="X61" s="25">
        <v>0</v>
      </c>
      <c r="Y61" s="25">
        <f t="shared" si="321"/>
        <v>0</v>
      </c>
      <c r="Z61" s="25">
        <v>0</v>
      </c>
      <c r="AA61" s="25">
        <v>0</v>
      </c>
      <c r="AB61" s="1">
        <v>0</v>
      </c>
      <c r="AC61" s="25">
        <f t="shared" si="322"/>
        <v>0</v>
      </c>
      <c r="AD61" s="25">
        <v>0</v>
      </c>
      <c r="AE61" s="25">
        <v>0</v>
      </c>
      <c r="AF61" s="25">
        <v>0</v>
      </c>
      <c r="AG61" s="25">
        <f t="shared" si="323"/>
        <v>0</v>
      </c>
      <c r="AH61" s="25">
        <v>0</v>
      </c>
      <c r="AI61" s="25">
        <f t="shared" si="212"/>
        <v>4190</v>
      </c>
      <c r="AJ61" s="25">
        <f t="shared" si="324"/>
        <v>3720.37</v>
      </c>
      <c r="AK61" s="25">
        <f t="shared" si="325"/>
        <v>-469.63000000000011</v>
      </c>
      <c r="AL61" s="25">
        <f t="shared" si="290"/>
        <v>4050</v>
      </c>
    </row>
    <row r="62" spans="1:38" x14ac:dyDescent="0.25">
      <c r="A62">
        <v>4440</v>
      </c>
      <c r="B62" t="s">
        <v>55</v>
      </c>
      <c r="C62" s="1">
        <v>0</v>
      </c>
      <c r="D62" s="1">
        <v>0</v>
      </c>
      <c r="E62" s="1">
        <f t="shared" si="316"/>
        <v>0</v>
      </c>
      <c r="F62" s="1">
        <v>0</v>
      </c>
      <c r="G62" s="25">
        <v>2000</v>
      </c>
      <c r="H62" s="1">
        <v>1271.54</v>
      </c>
      <c r="I62" s="25">
        <f t="shared" si="317"/>
        <v>-728.46</v>
      </c>
      <c r="J62" s="1">
        <f>75*12+35*12</f>
        <v>1320</v>
      </c>
      <c r="K62" s="25">
        <v>0</v>
      </c>
      <c r="L62" s="1">
        <v>0</v>
      </c>
      <c r="M62" s="25">
        <f t="shared" si="318"/>
        <v>0</v>
      </c>
      <c r="N62" s="1">
        <v>0</v>
      </c>
      <c r="O62" s="25">
        <v>0</v>
      </c>
      <c r="P62" s="1">
        <v>0</v>
      </c>
      <c r="Q62" s="25">
        <f t="shared" si="319"/>
        <v>0</v>
      </c>
      <c r="R62" s="25">
        <v>0</v>
      </c>
      <c r="S62" s="25">
        <v>0</v>
      </c>
      <c r="T62" s="25">
        <v>0</v>
      </c>
      <c r="U62" s="25">
        <f t="shared" si="320"/>
        <v>0</v>
      </c>
      <c r="V62" s="25">
        <v>0</v>
      </c>
      <c r="W62" s="25">
        <v>0</v>
      </c>
      <c r="X62" s="25">
        <v>0</v>
      </c>
      <c r="Y62" s="25">
        <f t="shared" si="321"/>
        <v>0</v>
      </c>
      <c r="Z62" s="25">
        <v>0</v>
      </c>
      <c r="AA62" s="25">
        <v>0</v>
      </c>
      <c r="AB62" s="1">
        <v>0</v>
      </c>
      <c r="AC62" s="25">
        <f t="shared" si="322"/>
        <v>0</v>
      </c>
      <c r="AD62" s="25">
        <v>0</v>
      </c>
      <c r="AE62" s="25">
        <v>0</v>
      </c>
      <c r="AF62" s="25">
        <v>0</v>
      </c>
      <c r="AG62" s="25">
        <f t="shared" si="323"/>
        <v>0</v>
      </c>
      <c r="AH62" s="25">
        <v>0</v>
      </c>
      <c r="AI62" s="25">
        <f t="shared" si="212"/>
        <v>2000</v>
      </c>
      <c r="AJ62" s="25">
        <f t="shared" si="324"/>
        <v>1271.54</v>
      </c>
      <c r="AK62" s="25">
        <f t="shared" si="325"/>
        <v>-728.46</v>
      </c>
      <c r="AL62" s="25">
        <f t="shared" si="290"/>
        <v>1320</v>
      </c>
    </row>
    <row r="63" spans="1:38" x14ac:dyDescent="0.25">
      <c r="A63">
        <v>4450</v>
      </c>
      <c r="B63" t="s">
        <v>56</v>
      </c>
      <c r="C63" s="1">
        <v>0</v>
      </c>
      <c r="D63" s="1">
        <v>0</v>
      </c>
      <c r="E63" s="1">
        <f t="shared" si="316"/>
        <v>0</v>
      </c>
      <c r="F63" s="1">
        <v>0</v>
      </c>
      <c r="G63" s="25">
        <v>1000</v>
      </c>
      <c r="H63" s="1">
        <v>1027.3</v>
      </c>
      <c r="I63" s="25">
        <f t="shared" si="317"/>
        <v>27.299999999999955</v>
      </c>
      <c r="J63" s="1">
        <v>1100</v>
      </c>
      <c r="K63" s="25">
        <v>0</v>
      </c>
      <c r="L63" s="1">
        <v>0</v>
      </c>
      <c r="M63" s="25">
        <f t="shared" si="318"/>
        <v>0</v>
      </c>
      <c r="N63" s="1">
        <v>0</v>
      </c>
      <c r="O63" s="25">
        <v>0</v>
      </c>
      <c r="P63" s="1">
        <v>0</v>
      </c>
      <c r="Q63" s="25">
        <f t="shared" si="319"/>
        <v>0</v>
      </c>
      <c r="R63" s="25">
        <v>0</v>
      </c>
      <c r="S63" s="25">
        <v>0</v>
      </c>
      <c r="T63" s="25">
        <v>0</v>
      </c>
      <c r="U63" s="25">
        <f t="shared" si="320"/>
        <v>0</v>
      </c>
      <c r="V63" s="25">
        <v>0</v>
      </c>
      <c r="W63" s="25">
        <v>0</v>
      </c>
      <c r="X63" s="25">
        <v>0</v>
      </c>
      <c r="Y63" s="25">
        <f t="shared" si="321"/>
        <v>0</v>
      </c>
      <c r="Z63" s="25">
        <v>0</v>
      </c>
      <c r="AA63" s="25">
        <v>0</v>
      </c>
      <c r="AB63" s="1">
        <v>0</v>
      </c>
      <c r="AC63" s="25">
        <f t="shared" si="322"/>
        <v>0</v>
      </c>
      <c r="AD63" s="25">
        <v>0</v>
      </c>
      <c r="AE63" s="25">
        <v>0</v>
      </c>
      <c r="AF63" s="25">
        <v>0</v>
      </c>
      <c r="AG63" s="25">
        <f t="shared" si="323"/>
        <v>0</v>
      </c>
      <c r="AH63" s="25">
        <v>0</v>
      </c>
      <c r="AI63" s="25">
        <f t="shared" si="212"/>
        <v>1000</v>
      </c>
      <c r="AJ63" s="25">
        <f t="shared" si="324"/>
        <v>1027.3</v>
      </c>
      <c r="AK63" s="25">
        <f t="shared" si="325"/>
        <v>27.299999999999955</v>
      </c>
      <c r="AL63" s="25">
        <f t="shared" si="290"/>
        <v>1100</v>
      </c>
    </row>
    <row r="64" spans="1:38" x14ac:dyDescent="0.25">
      <c r="A64">
        <v>4455</v>
      </c>
      <c r="B64" t="s">
        <v>145</v>
      </c>
      <c r="C64" s="1">
        <v>0</v>
      </c>
      <c r="D64" s="1">
        <v>0</v>
      </c>
      <c r="E64" s="1">
        <f t="shared" si="316"/>
        <v>0</v>
      </c>
      <c r="F64" s="1">
        <v>0</v>
      </c>
      <c r="G64" s="25">
        <v>2150</v>
      </c>
      <c r="H64" s="1">
        <v>2367.77</v>
      </c>
      <c r="I64" s="25">
        <f t="shared" si="317"/>
        <v>217.76999999999998</v>
      </c>
      <c r="J64" s="1">
        <v>4000</v>
      </c>
      <c r="K64" s="25">
        <v>0</v>
      </c>
      <c r="L64" s="1">
        <v>0</v>
      </c>
      <c r="M64" s="25">
        <f t="shared" si="318"/>
        <v>0</v>
      </c>
      <c r="N64" s="1">
        <v>0</v>
      </c>
      <c r="O64" s="25">
        <v>0</v>
      </c>
      <c r="P64" s="1">
        <v>0</v>
      </c>
      <c r="Q64" s="25">
        <f t="shared" si="319"/>
        <v>0</v>
      </c>
      <c r="R64" s="25">
        <v>0</v>
      </c>
      <c r="S64" s="25">
        <v>0</v>
      </c>
      <c r="T64" s="25">
        <v>0</v>
      </c>
      <c r="U64" s="25">
        <f t="shared" si="320"/>
        <v>0</v>
      </c>
      <c r="V64" s="25">
        <v>0</v>
      </c>
      <c r="W64" s="25">
        <v>0</v>
      </c>
      <c r="X64" s="25">
        <v>0</v>
      </c>
      <c r="Y64" s="25">
        <f t="shared" si="321"/>
        <v>0</v>
      </c>
      <c r="Z64" s="25">
        <v>0</v>
      </c>
      <c r="AA64" s="25">
        <v>0</v>
      </c>
      <c r="AB64" s="1">
        <v>0</v>
      </c>
      <c r="AC64" s="25">
        <f t="shared" si="322"/>
        <v>0</v>
      </c>
      <c r="AD64" s="25">
        <v>0</v>
      </c>
      <c r="AE64" s="25"/>
      <c r="AF64" s="25">
        <v>0</v>
      </c>
      <c r="AG64" s="25">
        <f t="shared" si="323"/>
        <v>0</v>
      </c>
      <c r="AH64" s="25">
        <v>0</v>
      </c>
      <c r="AI64" s="25">
        <f t="shared" si="212"/>
        <v>2150</v>
      </c>
      <c r="AJ64" s="25">
        <f t="shared" si="324"/>
        <v>2367.77</v>
      </c>
      <c r="AK64" s="25">
        <f t="shared" si="325"/>
        <v>217.76999999999998</v>
      </c>
      <c r="AL64" s="25">
        <f t="shared" si="290"/>
        <v>4000</v>
      </c>
    </row>
    <row r="65" spans="1:38" x14ac:dyDescent="0.25">
      <c r="A65">
        <v>4470</v>
      </c>
      <c r="B65" t="s">
        <v>57</v>
      </c>
      <c r="C65" s="1">
        <v>0</v>
      </c>
      <c r="D65" s="105">
        <v>0</v>
      </c>
      <c r="E65" s="1">
        <f t="shared" si="316"/>
        <v>0</v>
      </c>
      <c r="F65" s="1">
        <v>0</v>
      </c>
      <c r="G65" s="25">
        <v>0</v>
      </c>
      <c r="H65" s="1">
        <v>0</v>
      </c>
      <c r="I65" s="25">
        <f t="shared" si="317"/>
        <v>0</v>
      </c>
      <c r="J65" s="1">
        <v>0</v>
      </c>
      <c r="K65" s="25">
        <v>13741.78</v>
      </c>
      <c r="L65" s="1">
        <v>12874.05</v>
      </c>
      <c r="M65" s="25">
        <f t="shared" si="318"/>
        <v>-867.73000000000138</v>
      </c>
      <c r="N65" s="1">
        <v>12500</v>
      </c>
      <c r="O65" s="25">
        <v>15000</v>
      </c>
      <c r="P65" s="1">
        <v>13807</v>
      </c>
      <c r="Q65" s="25">
        <f t="shared" si="319"/>
        <v>-1193</v>
      </c>
      <c r="R65" s="25">
        <v>14000</v>
      </c>
      <c r="S65" s="25">
        <v>5800</v>
      </c>
      <c r="T65" s="25">
        <v>4522.99</v>
      </c>
      <c r="U65" s="25">
        <f t="shared" si="320"/>
        <v>-1277.0100000000002</v>
      </c>
      <c r="V65" s="25">
        <v>5000</v>
      </c>
      <c r="W65" s="25">
        <v>0</v>
      </c>
      <c r="X65" s="25">
        <v>0</v>
      </c>
      <c r="Y65" s="25">
        <f t="shared" si="321"/>
        <v>0</v>
      </c>
      <c r="Z65" s="25">
        <v>0</v>
      </c>
      <c r="AA65" s="25">
        <v>0</v>
      </c>
      <c r="AB65" s="1">
        <v>0</v>
      </c>
      <c r="AC65" s="25">
        <f t="shared" si="322"/>
        <v>0</v>
      </c>
      <c r="AD65" s="25">
        <v>0</v>
      </c>
      <c r="AE65" s="25">
        <v>0</v>
      </c>
      <c r="AF65" s="25">
        <v>0</v>
      </c>
      <c r="AG65" s="25">
        <f t="shared" si="323"/>
        <v>0</v>
      </c>
      <c r="AH65" s="25">
        <v>0</v>
      </c>
      <c r="AI65" s="25">
        <f t="shared" si="212"/>
        <v>34541.78</v>
      </c>
      <c r="AJ65" s="25">
        <f t="shared" si="324"/>
        <v>31204.04</v>
      </c>
      <c r="AK65" s="25">
        <f t="shared" si="325"/>
        <v>-3337.739999999998</v>
      </c>
      <c r="AL65" s="25">
        <f t="shared" si="290"/>
        <v>31500</v>
      </c>
    </row>
    <row r="66" spans="1:38" x14ac:dyDescent="0.25">
      <c r="A66">
        <v>4480</v>
      </c>
      <c r="B66" t="s">
        <v>58</v>
      </c>
      <c r="C66" s="1">
        <v>0</v>
      </c>
      <c r="D66" s="1">
        <v>0</v>
      </c>
      <c r="E66" s="1">
        <f t="shared" si="316"/>
        <v>0</v>
      </c>
      <c r="F66" s="1">
        <v>0</v>
      </c>
      <c r="G66" s="25">
        <v>12500</v>
      </c>
      <c r="H66" s="1">
        <v>11742.43</v>
      </c>
      <c r="I66" s="25">
        <f t="shared" si="317"/>
        <v>-757.56999999999971</v>
      </c>
      <c r="J66" s="1">
        <v>12500</v>
      </c>
      <c r="K66" s="25">
        <v>0</v>
      </c>
      <c r="L66" s="1">
        <v>0</v>
      </c>
      <c r="M66" s="25">
        <f t="shared" si="318"/>
        <v>0</v>
      </c>
      <c r="N66" s="1">
        <v>0</v>
      </c>
      <c r="O66" s="25">
        <v>0</v>
      </c>
      <c r="P66" s="1">
        <v>0</v>
      </c>
      <c r="Q66" s="25">
        <f t="shared" si="319"/>
        <v>0</v>
      </c>
      <c r="R66" s="25">
        <v>0</v>
      </c>
      <c r="S66" s="25">
        <v>0</v>
      </c>
      <c r="T66" s="25">
        <v>0</v>
      </c>
      <c r="U66" s="25">
        <f t="shared" si="320"/>
        <v>0</v>
      </c>
      <c r="V66" s="25">
        <v>0</v>
      </c>
      <c r="W66" s="25">
        <v>0</v>
      </c>
      <c r="X66" s="25">
        <v>0</v>
      </c>
      <c r="Y66" s="25">
        <f t="shared" si="321"/>
        <v>0</v>
      </c>
      <c r="Z66" s="25">
        <v>0</v>
      </c>
      <c r="AA66" s="25">
        <v>0</v>
      </c>
      <c r="AB66" s="1">
        <v>0</v>
      </c>
      <c r="AC66" s="25">
        <f t="shared" si="322"/>
        <v>0</v>
      </c>
      <c r="AD66" s="25">
        <v>0</v>
      </c>
      <c r="AE66" s="25">
        <v>0</v>
      </c>
      <c r="AF66" s="25">
        <v>0</v>
      </c>
      <c r="AG66" s="25">
        <f t="shared" si="323"/>
        <v>0</v>
      </c>
      <c r="AH66" s="25">
        <v>0</v>
      </c>
      <c r="AI66" s="25">
        <f t="shared" si="212"/>
        <v>12500</v>
      </c>
      <c r="AJ66" s="25">
        <f t="shared" si="324"/>
        <v>11742.43</v>
      </c>
      <c r="AK66" s="25">
        <f t="shared" si="325"/>
        <v>-757.56999999999971</v>
      </c>
      <c r="AL66" s="25">
        <f t="shared" si="290"/>
        <v>12500</v>
      </c>
    </row>
    <row r="67" spans="1:38" x14ac:dyDescent="0.25">
      <c r="A67">
        <v>4490</v>
      </c>
      <c r="B67" t="s">
        <v>59</v>
      </c>
      <c r="C67" s="1">
        <v>365</v>
      </c>
      <c r="D67" s="1">
        <v>362.5</v>
      </c>
      <c r="E67" s="1">
        <f t="shared" si="316"/>
        <v>-2.5</v>
      </c>
      <c r="F67" s="1">
        <v>365</v>
      </c>
      <c r="G67" s="25">
        <v>0</v>
      </c>
      <c r="H67" s="1">
        <v>0</v>
      </c>
      <c r="I67" s="25">
        <f t="shared" si="317"/>
        <v>0</v>
      </c>
      <c r="J67" s="1">
        <v>0</v>
      </c>
      <c r="K67" s="25">
        <v>5700</v>
      </c>
      <c r="L67" s="1">
        <v>6306.88</v>
      </c>
      <c r="M67" s="25">
        <f t="shared" si="318"/>
        <v>606.88000000000011</v>
      </c>
      <c r="N67" s="1">
        <v>6000</v>
      </c>
      <c r="O67" s="25">
        <v>5500</v>
      </c>
      <c r="P67" s="1">
        <v>5332.25</v>
      </c>
      <c r="Q67" s="25">
        <f t="shared" si="319"/>
        <v>-167.75</v>
      </c>
      <c r="R67" s="25">
        <v>4350</v>
      </c>
      <c r="S67" s="25">
        <v>500</v>
      </c>
      <c r="T67" s="25">
        <v>342.4</v>
      </c>
      <c r="U67" s="25">
        <f t="shared" si="320"/>
        <v>-157.60000000000002</v>
      </c>
      <c r="V67" s="25">
        <v>750</v>
      </c>
      <c r="W67" s="25">
        <v>0</v>
      </c>
      <c r="X67" s="25">
        <v>0</v>
      </c>
      <c r="Y67" s="25">
        <f t="shared" si="321"/>
        <v>0</v>
      </c>
      <c r="Z67" s="25">
        <v>0</v>
      </c>
      <c r="AA67" s="25">
        <v>2600</v>
      </c>
      <c r="AB67" s="1">
        <v>2676</v>
      </c>
      <c r="AC67" s="25">
        <f t="shared" si="322"/>
        <v>76</v>
      </c>
      <c r="AD67" s="25">
        <v>2550</v>
      </c>
      <c r="AE67" s="25">
        <v>0</v>
      </c>
      <c r="AF67" s="25">
        <v>0</v>
      </c>
      <c r="AG67" s="25">
        <f t="shared" si="323"/>
        <v>0</v>
      </c>
      <c r="AH67" s="25">
        <v>0</v>
      </c>
      <c r="AI67" s="25">
        <f t="shared" si="212"/>
        <v>14665</v>
      </c>
      <c r="AJ67" s="25">
        <f t="shared" si="324"/>
        <v>15020.03</v>
      </c>
      <c r="AK67" s="25">
        <f t="shared" si="325"/>
        <v>355.03000000000065</v>
      </c>
      <c r="AL67" s="25">
        <f t="shared" si="290"/>
        <v>14015</v>
      </c>
    </row>
    <row r="68" spans="1:38" x14ac:dyDescent="0.25">
      <c r="A68" s="4">
        <v>4500</v>
      </c>
      <c r="B68" s="4" t="s">
        <v>60</v>
      </c>
      <c r="C68" s="5">
        <f>SUM(C69:C72)</f>
        <v>10235</v>
      </c>
      <c r="D68" s="5">
        <f>SUM(D69:D72)</f>
        <v>13552.100000000002</v>
      </c>
      <c r="E68" s="5">
        <f t="shared" ref="E68" si="326">SUM(E69:E72)</f>
        <v>3317.1000000000008</v>
      </c>
      <c r="F68" s="5">
        <f t="shared" ref="F68" si="327">SUM(F69:F72)</f>
        <v>21000</v>
      </c>
      <c r="G68" s="5">
        <f t="shared" ref="G68:H68" si="328">SUM(G69:G72)</f>
        <v>400</v>
      </c>
      <c r="H68" s="5">
        <f t="shared" si="328"/>
        <v>95</v>
      </c>
      <c r="I68" s="5">
        <f t="shared" ref="I68:J68" si="329">SUM(I69:I72)</f>
        <v>-305</v>
      </c>
      <c r="J68" s="5">
        <f t="shared" si="329"/>
        <v>200</v>
      </c>
      <c r="K68" s="5">
        <f t="shared" ref="K68:L68" si="330">SUM(K69:K72)</f>
        <v>0</v>
      </c>
      <c r="L68" s="5">
        <f t="shared" si="330"/>
        <v>0</v>
      </c>
      <c r="M68" s="5">
        <f t="shared" ref="M68:N68" si="331">SUM(M69:M72)</f>
        <v>0</v>
      </c>
      <c r="N68" s="5">
        <f t="shared" si="331"/>
        <v>0</v>
      </c>
      <c r="O68" s="5">
        <f t="shared" ref="O68:P68" si="332">SUM(O69:O72)</f>
        <v>0</v>
      </c>
      <c r="P68" s="5">
        <f t="shared" si="332"/>
        <v>0</v>
      </c>
      <c r="Q68" s="5">
        <f t="shared" ref="Q68" si="333">SUM(Q69:Q72)</f>
        <v>0</v>
      </c>
      <c r="R68" s="5">
        <f t="shared" ref="R68" si="334">SUM(R69:R72)</f>
        <v>0</v>
      </c>
      <c r="S68" s="5">
        <f t="shared" ref="S68" si="335">SUM(S69:S72)</f>
        <v>0</v>
      </c>
      <c r="T68" s="5">
        <f t="shared" ref="T68" si="336">SUM(T69:T72)</f>
        <v>0</v>
      </c>
      <c r="U68" s="5">
        <f t="shared" ref="U68" si="337">SUM(U69:U72)</f>
        <v>0</v>
      </c>
      <c r="V68" s="5">
        <f t="shared" ref="V68" si="338">SUM(V69:V72)</f>
        <v>0</v>
      </c>
      <c r="W68" s="5">
        <f t="shared" ref="W68" si="339">SUM(W69:W72)</f>
        <v>500</v>
      </c>
      <c r="X68" s="5">
        <f t="shared" ref="X68" si="340">SUM(X69:X72)</f>
        <v>448.18</v>
      </c>
      <c r="Y68" s="5">
        <f t="shared" ref="Y68" si="341">SUM(Y69:Y72)</f>
        <v>-51.819999999999993</v>
      </c>
      <c r="Z68" s="5">
        <f t="shared" ref="Z68" si="342">SUM(Z69:Z72)</f>
        <v>500</v>
      </c>
      <c r="AA68" s="5">
        <f t="shared" ref="AA68:AB68" si="343">SUM(AA69:AA72)</f>
        <v>100</v>
      </c>
      <c r="AB68" s="5">
        <f t="shared" si="343"/>
        <v>107</v>
      </c>
      <c r="AC68" s="5">
        <f t="shared" ref="AC68" si="344">SUM(AC69:AC72)</f>
        <v>7</v>
      </c>
      <c r="AD68" s="5">
        <f t="shared" ref="AD68:AF68" si="345">SUM(AD69:AD72)</f>
        <v>200</v>
      </c>
      <c r="AE68" s="5">
        <f t="shared" si="345"/>
        <v>0</v>
      </c>
      <c r="AF68" s="5">
        <f t="shared" si="345"/>
        <v>0</v>
      </c>
      <c r="AG68" s="5">
        <f t="shared" ref="AG68:AH68" si="346">SUM(AG69:AG72)</f>
        <v>0</v>
      </c>
      <c r="AH68" s="5">
        <f t="shared" si="346"/>
        <v>0</v>
      </c>
      <c r="AI68" s="5">
        <f t="shared" ref="AI68" si="347">SUM(AI69:AI72)</f>
        <v>11235</v>
      </c>
      <c r="AJ68" s="5">
        <f t="shared" ref="AJ68" si="348">SUM(AJ69:AJ72)</f>
        <v>14202.28</v>
      </c>
      <c r="AK68" s="5">
        <f t="shared" ref="AK68" si="349">SUM(AK69:AK72)</f>
        <v>2967.28</v>
      </c>
      <c r="AL68" s="5">
        <f t="shared" ref="AL68" si="350">SUM(AL69:AL72)</f>
        <v>21900</v>
      </c>
    </row>
    <row r="69" spans="1:38" x14ac:dyDescent="0.25">
      <c r="A69">
        <v>4510</v>
      </c>
      <c r="B69" t="s">
        <v>61</v>
      </c>
      <c r="C69" s="1">
        <v>3750</v>
      </c>
      <c r="D69" s="1">
        <f>2587.4</f>
        <v>2587.4</v>
      </c>
      <c r="E69" s="1">
        <f>D69-C69</f>
        <v>-1162.5999999999999</v>
      </c>
      <c r="F69" s="105">
        <v>2750</v>
      </c>
      <c r="G69" s="25">
        <v>400</v>
      </c>
      <c r="H69" s="1">
        <v>80</v>
      </c>
      <c r="I69" s="25">
        <f>H69-G69</f>
        <v>-320</v>
      </c>
      <c r="J69" s="1">
        <v>200</v>
      </c>
      <c r="K69" s="25">
        <v>0</v>
      </c>
      <c r="L69" s="1">
        <v>0</v>
      </c>
      <c r="M69" s="25">
        <f>L69-K69</f>
        <v>0</v>
      </c>
      <c r="N69" s="1">
        <v>0</v>
      </c>
      <c r="O69" s="25">
        <v>0</v>
      </c>
      <c r="P69" s="1">
        <v>0</v>
      </c>
      <c r="Q69" s="25">
        <f>P69-O69</f>
        <v>0</v>
      </c>
      <c r="R69" s="25">
        <v>0</v>
      </c>
      <c r="S69" s="25">
        <v>0</v>
      </c>
      <c r="T69" s="25">
        <v>0</v>
      </c>
      <c r="U69" s="25">
        <f>T69-S69</f>
        <v>0</v>
      </c>
      <c r="V69" s="25">
        <v>0</v>
      </c>
      <c r="W69" s="25">
        <v>500</v>
      </c>
      <c r="X69" s="25">
        <f>50+22.5+20+50+4+103.2+10+6.99+12.99+58+25+85.5</f>
        <v>448.18</v>
      </c>
      <c r="Y69" s="25">
        <f>X69-W69</f>
        <v>-51.819999999999993</v>
      </c>
      <c r="Z69" s="25">
        <v>500</v>
      </c>
      <c r="AA69" s="25">
        <v>100</v>
      </c>
      <c r="AB69" s="1">
        <v>107</v>
      </c>
      <c r="AC69" s="25">
        <f>AB69-AA69</f>
        <v>7</v>
      </c>
      <c r="AD69" s="25">
        <v>200</v>
      </c>
      <c r="AE69" s="25">
        <v>0</v>
      </c>
      <c r="AF69" s="25">
        <v>0</v>
      </c>
      <c r="AG69" s="25">
        <f>AF69-AE69</f>
        <v>0</v>
      </c>
      <c r="AH69" s="25">
        <v>0</v>
      </c>
      <c r="AI69" s="25">
        <f t="shared" si="212"/>
        <v>4750</v>
      </c>
      <c r="AJ69" s="25">
        <f t="shared" si="324"/>
        <v>3222.58</v>
      </c>
      <c r="AK69" s="25">
        <f>AJ69-AI69</f>
        <v>-1527.42</v>
      </c>
      <c r="AL69" s="25">
        <f t="shared" si="290"/>
        <v>3650</v>
      </c>
    </row>
    <row r="70" spans="1:38" x14ac:dyDescent="0.25">
      <c r="A70">
        <v>4530</v>
      </c>
      <c r="B70" t="s">
        <v>62</v>
      </c>
      <c r="C70" s="1">
        <v>1700</v>
      </c>
      <c r="D70" s="1">
        <v>1137.1600000000001</v>
      </c>
      <c r="E70" s="1">
        <f t="shared" ref="E70:E72" si="351">D70-C70</f>
        <v>-562.83999999999992</v>
      </c>
      <c r="F70" s="1">
        <f>1500+1100</f>
        <v>2600</v>
      </c>
      <c r="G70" s="25">
        <v>0</v>
      </c>
      <c r="H70" s="1">
        <v>0</v>
      </c>
      <c r="I70" s="25">
        <f t="shared" ref="I70:I72" si="352">H70-G70</f>
        <v>0</v>
      </c>
      <c r="J70" s="1">
        <v>0</v>
      </c>
      <c r="K70" s="25">
        <v>0</v>
      </c>
      <c r="L70" s="1">
        <v>0</v>
      </c>
      <c r="M70" s="25">
        <f>L70-K70</f>
        <v>0</v>
      </c>
      <c r="N70" s="1">
        <v>0</v>
      </c>
      <c r="O70" s="25">
        <v>0</v>
      </c>
      <c r="P70" s="1">
        <v>0</v>
      </c>
      <c r="Q70" s="25">
        <f t="shared" ref="Q70:Q72" si="353">P70-O70</f>
        <v>0</v>
      </c>
      <c r="R70" s="25">
        <v>0</v>
      </c>
      <c r="S70" s="25">
        <v>0</v>
      </c>
      <c r="T70" s="25">
        <v>0</v>
      </c>
      <c r="U70" s="25">
        <f t="shared" ref="U70:U72" si="354">T70-S70</f>
        <v>0</v>
      </c>
      <c r="V70" s="25">
        <v>0</v>
      </c>
      <c r="W70" s="25">
        <v>0</v>
      </c>
      <c r="X70" s="25">
        <v>0</v>
      </c>
      <c r="Y70" s="25">
        <f t="shared" ref="Y70:Y72" si="355">X70-W70</f>
        <v>0</v>
      </c>
      <c r="Z70" s="25">
        <v>0</v>
      </c>
      <c r="AA70" s="25">
        <v>0</v>
      </c>
      <c r="AB70" s="1">
        <v>0</v>
      </c>
      <c r="AC70" s="25">
        <f t="shared" ref="AC70:AC72" si="356">AB70-AA70</f>
        <v>0</v>
      </c>
      <c r="AD70" s="25">
        <v>0</v>
      </c>
      <c r="AE70" s="25">
        <v>0</v>
      </c>
      <c r="AF70" s="25">
        <v>0</v>
      </c>
      <c r="AG70" s="25">
        <f>AF70-AE70</f>
        <v>0</v>
      </c>
      <c r="AH70" s="25">
        <v>0</v>
      </c>
      <c r="AI70" s="25">
        <f t="shared" si="212"/>
        <v>1700</v>
      </c>
      <c r="AJ70" s="25">
        <f t="shared" si="324"/>
        <v>1137.1600000000001</v>
      </c>
      <c r="AK70" s="25">
        <f t="shared" ref="AK70:AK72" si="357">AJ70-AI70</f>
        <v>-562.83999999999992</v>
      </c>
      <c r="AL70" s="25">
        <f t="shared" si="290"/>
        <v>2600</v>
      </c>
    </row>
    <row r="71" spans="1:38" x14ac:dyDescent="0.25">
      <c r="A71">
        <v>4540</v>
      </c>
      <c r="B71" t="s">
        <v>63</v>
      </c>
      <c r="C71" s="1">
        <v>3285</v>
      </c>
      <c r="D71" s="1">
        <f>8527.76+402.26</f>
        <v>8930.02</v>
      </c>
      <c r="E71" s="105">
        <f t="shared" si="351"/>
        <v>5645.02</v>
      </c>
      <c r="F71" s="105">
        <f>3500+11150</f>
        <v>14650</v>
      </c>
      <c r="G71" s="25">
        <v>0</v>
      </c>
      <c r="H71" s="1">
        <v>0</v>
      </c>
      <c r="I71" s="25">
        <f t="shared" si="352"/>
        <v>0</v>
      </c>
      <c r="J71" s="1">
        <v>0</v>
      </c>
      <c r="K71" s="25">
        <v>0</v>
      </c>
      <c r="L71" s="1">
        <v>0</v>
      </c>
      <c r="M71" s="25">
        <f>L71-K71</f>
        <v>0</v>
      </c>
      <c r="N71" s="1">
        <v>0</v>
      </c>
      <c r="O71" s="25">
        <v>0</v>
      </c>
      <c r="P71" s="1">
        <v>0</v>
      </c>
      <c r="Q71" s="25">
        <f t="shared" si="353"/>
        <v>0</v>
      </c>
      <c r="R71" s="25">
        <v>0</v>
      </c>
      <c r="S71" s="25">
        <v>0</v>
      </c>
      <c r="T71" s="25">
        <v>0</v>
      </c>
      <c r="U71" s="25">
        <f t="shared" si="354"/>
        <v>0</v>
      </c>
      <c r="V71" s="25">
        <v>0</v>
      </c>
      <c r="W71" s="25">
        <v>0</v>
      </c>
      <c r="X71" s="25">
        <v>0</v>
      </c>
      <c r="Y71" s="25">
        <f t="shared" si="355"/>
        <v>0</v>
      </c>
      <c r="Z71" s="25">
        <v>0</v>
      </c>
      <c r="AA71" s="25">
        <v>0</v>
      </c>
      <c r="AB71" s="1">
        <v>0</v>
      </c>
      <c r="AC71" s="25">
        <f t="shared" si="356"/>
        <v>0</v>
      </c>
      <c r="AD71" s="25">
        <v>0</v>
      </c>
      <c r="AE71" s="25">
        <v>0</v>
      </c>
      <c r="AF71" s="25">
        <v>0</v>
      </c>
      <c r="AG71" s="25">
        <f>AF71-AE71</f>
        <v>0</v>
      </c>
      <c r="AH71" s="25">
        <v>0</v>
      </c>
      <c r="AI71" s="25">
        <f t="shared" si="212"/>
        <v>3285</v>
      </c>
      <c r="AJ71" s="25">
        <f t="shared" si="324"/>
        <v>8930.02</v>
      </c>
      <c r="AK71" s="25">
        <f t="shared" si="357"/>
        <v>5645.02</v>
      </c>
      <c r="AL71" s="25">
        <f t="shared" si="290"/>
        <v>14650</v>
      </c>
    </row>
    <row r="72" spans="1:38" x14ac:dyDescent="0.25">
      <c r="A72">
        <v>4570</v>
      </c>
      <c r="B72" t="s">
        <v>64</v>
      </c>
      <c r="C72" s="1">
        <v>1500</v>
      </c>
      <c r="D72" s="1">
        <v>897.52</v>
      </c>
      <c r="E72" s="105">
        <f t="shared" si="351"/>
        <v>-602.48</v>
      </c>
      <c r="F72" s="105">
        <v>1000</v>
      </c>
      <c r="G72" s="25">
        <v>0</v>
      </c>
      <c r="H72" s="1">
        <v>15</v>
      </c>
      <c r="I72" s="25">
        <f t="shared" si="352"/>
        <v>15</v>
      </c>
      <c r="J72" s="1">
        <v>0</v>
      </c>
      <c r="K72" s="25">
        <v>0</v>
      </c>
      <c r="L72" s="1">
        <v>0</v>
      </c>
      <c r="M72" s="25">
        <f>L72-K72</f>
        <v>0</v>
      </c>
      <c r="N72" s="1">
        <v>0</v>
      </c>
      <c r="O72" s="25">
        <v>0</v>
      </c>
      <c r="P72" s="1">
        <v>0</v>
      </c>
      <c r="Q72" s="25">
        <f t="shared" si="353"/>
        <v>0</v>
      </c>
      <c r="R72" s="25">
        <v>0</v>
      </c>
      <c r="S72" s="25">
        <v>0</v>
      </c>
      <c r="T72" s="25">
        <v>0</v>
      </c>
      <c r="U72" s="25">
        <f t="shared" si="354"/>
        <v>0</v>
      </c>
      <c r="V72" s="25">
        <v>0</v>
      </c>
      <c r="W72" s="25">
        <v>0</v>
      </c>
      <c r="X72" s="25">
        <v>0</v>
      </c>
      <c r="Y72" s="25">
        <f t="shared" si="355"/>
        <v>0</v>
      </c>
      <c r="Z72" s="25">
        <v>0</v>
      </c>
      <c r="AA72" s="25">
        <v>0</v>
      </c>
      <c r="AB72" s="1">
        <v>0</v>
      </c>
      <c r="AC72" s="25">
        <f t="shared" si="356"/>
        <v>0</v>
      </c>
      <c r="AD72" s="25">
        <v>0</v>
      </c>
      <c r="AE72" s="25">
        <v>0</v>
      </c>
      <c r="AF72" s="25">
        <v>0</v>
      </c>
      <c r="AG72" s="25">
        <f>AF72-AE72</f>
        <v>0</v>
      </c>
      <c r="AH72" s="25">
        <v>0</v>
      </c>
      <c r="AI72" s="25">
        <f t="shared" si="212"/>
        <v>1500</v>
      </c>
      <c r="AJ72" s="25">
        <f t="shared" si="324"/>
        <v>912.52</v>
      </c>
      <c r="AK72" s="25">
        <f t="shared" si="357"/>
        <v>-587.48</v>
      </c>
      <c r="AL72" s="25">
        <f t="shared" si="290"/>
        <v>1000</v>
      </c>
    </row>
    <row r="73" spans="1:38" x14ac:dyDescent="0.25">
      <c r="A73" s="4">
        <v>4800</v>
      </c>
      <c r="B73" s="4" t="s">
        <v>65</v>
      </c>
      <c r="C73" s="5">
        <f>SUM(C74:C79)</f>
        <v>6600</v>
      </c>
      <c r="D73" s="5">
        <f>SUM(D74:D79)</f>
        <v>4838.2700000000004</v>
      </c>
      <c r="E73" s="5">
        <f t="shared" ref="E73" si="358">SUM(E74:E79)</f>
        <v>-1761.73</v>
      </c>
      <c r="F73" s="5">
        <f t="shared" ref="F73" si="359">SUM(F74:F79)</f>
        <v>6150</v>
      </c>
      <c r="G73" s="5">
        <f t="shared" ref="G73" si="360">SUM(G74:G79)</f>
        <v>3900</v>
      </c>
      <c r="H73" s="5">
        <f t="shared" ref="H73" si="361">SUM(H74:H79)</f>
        <v>2572.0200000000004</v>
      </c>
      <c r="I73" s="5">
        <f t="shared" ref="I73" si="362">SUM(I74:I79)</f>
        <v>-1327.98</v>
      </c>
      <c r="J73" s="5">
        <f t="shared" ref="J73" si="363">SUM(J74:J79)</f>
        <v>2902</v>
      </c>
      <c r="K73" s="5">
        <f t="shared" ref="K73:L73" si="364">SUM(K74:K79)</f>
        <v>500</v>
      </c>
      <c r="L73" s="5">
        <f t="shared" si="364"/>
        <v>573.51</v>
      </c>
      <c r="M73" s="5">
        <f t="shared" ref="M73:N73" si="365">SUM(M74:M79)</f>
        <v>73.509999999999991</v>
      </c>
      <c r="N73" s="5">
        <f t="shared" si="365"/>
        <v>650</v>
      </c>
      <c r="O73" s="5">
        <f t="shared" ref="O73:P73" si="366">SUM(O74:O79)</f>
        <v>640</v>
      </c>
      <c r="P73" s="5">
        <f t="shared" si="366"/>
        <v>521.42999999999995</v>
      </c>
      <c r="Q73" s="5">
        <f t="shared" ref="Q73" si="367">SUM(Q74:Q79)</f>
        <v>-118.57000000000001</v>
      </c>
      <c r="R73" s="5">
        <f t="shared" ref="R73" si="368">SUM(R74:R79)</f>
        <v>1090</v>
      </c>
      <c r="S73" s="5">
        <f t="shared" ref="S73" si="369">SUM(S74:S79)</f>
        <v>2670</v>
      </c>
      <c r="T73" s="5">
        <f t="shared" ref="T73" si="370">SUM(T74:T79)</f>
        <v>2767.11</v>
      </c>
      <c r="U73" s="5">
        <f t="shared" ref="U73" si="371">SUM(U74:U79)</f>
        <v>97.110000000000099</v>
      </c>
      <c r="V73" s="5">
        <f t="shared" ref="V73" si="372">SUM(V74:V79)</f>
        <v>3005</v>
      </c>
      <c r="W73" s="5">
        <f t="shared" ref="W73" si="373">SUM(W74:W79)</f>
        <v>1283</v>
      </c>
      <c r="X73" s="5">
        <f t="shared" ref="X73" si="374">SUM(X74:X79)</f>
        <v>2856.53</v>
      </c>
      <c r="Y73" s="5">
        <f t="shared" ref="Y73" si="375">SUM(Y74:Y79)</f>
        <v>1573.53</v>
      </c>
      <c r="Z73" s="5">
        <f t="shared" ref="Z73" si="376">SUM(Z74:Z79)</f>
        <v>1600</v>
      </c>
      <c r="AA73" s="5">
        <f t="shared" ref="AA73:AB73" si="377">SUM(AA74:AA79)</f>
        <v>2090</v>
      </c>
      <c r="AB73" s="5">
        <f t="shared" si="377"/>
        <v>994</v>
      </c>
      <c r="AC73" s="5">
        <f t="shared" ref="AC73" si="378">SUM(AC74:AC79)</f>
        <v>-1096</v>
      </c>
      <c r="AD73" s="5">
        <f t="shared" ref="AD73" si="379">SUM(AD74:AD79)</f>
        <v>1150</v>
      </c>
      <c r="AE73" s="5">
        <f t="shared" ref="AE73:AF73" si="380">SUM(AE74:AE79)</f>
        <v>350</v>
      </c>
      <c r="AF73" s="5">
        <f t="shared" si="380"/>
        <v>340.08</v>
      </c>
      <c r="AG73" s="5">
        <f t="shared" ref="AG73" si="381">SUM(AG74:AG79)</f>
        <v>-9.9200000000000017</v>
      </c>
      <c r="AH73" s="5">
        <f t="shared" ref="AH73" si="382">SUM(AH74:AH79)</f>
        <v>325</v>
      </c>
      <c r="AI73" s="5">
        <f t="shared" ref="AI73" si="383">SUM(AI74:AI79)</f>
        <v>18033</v>
      </c>
      <c r="AJ73" s="5">
        <f t="shared" ref="AJ73" si="384">SUM(AJ74:AJ79)</f>
        <v>15462.949999999999</v>
      </c>
      <c r="AK73" s="5">
        <f t="shared" ref="AK73" si="385">SUM(AK74:AK79)</f>
        <v>-2570.0500000000006</v>
      </c>
      <c r="AL73" s="5">
        <f t="shared" ref="AL73" si="386">SUM(AL74:AL79)</f>
        <v>16872</v>
      </c>
    </row>
    <row r="74" spans="1:38" x14ac:dyDescent="0.25">
      <c r="A74">
        <v>4810</v>
      </c>
      <c r="B74" t="s">
        <v>66</v>
      </c>
      <c r="C74" s="1">
        <v>1950</v>
      </c>
      <c r="D74" s="1">
        <v>2720</v>
      </c>
      <c r="E74" s="1">
        <f>D74-C74</f>
        <v>770</v>
      </c>
      <c r="F74" s="105">
        <v>2500</v>
      </c>
      <c r="G74" s="25">
        <v>0</v>
      </c>
      <c r="H74" s="1">
        <v>0</v>
      </c>
      <c r="I74" s="25">
        <f>H74-G74</f>
        <v>0</v>
      </c>
      <c r="J74" s="1">
        <v>0</v>
      </c>
      <c r="K74" s="25">
        <v>0</v>
      </c>
      <c r="L74" s="1">
        <v>0</v>
      </c>
      <c r="M74" s="25">
        <f>L74-K74</f>
        <v>0</v>
      </c>
      <c r="N74" s="1">
        <v>0</v>
      </c>
      <c r="O74" s="25">
        <v>0</v>
      </c>
      <c r="P74" s="1">
        <v>0</v>
      </c>
      <c r="Q74" s="25">
        <f>P74-O74</f>
        <v>0</v>
      </c>
      <c r="R74" s="25">
        <v>0</v>
      </c>
      <c r="S74" s="25">
        <v>0</v>
      </c>
      <c r="T74" s="25">
        <v>0</v>
      </c>
      <c r="U74" s="25">
        <f>T74-S74</f>
        <v>0</v>
      </c>
      <c r="V74" s="25">
        <v>0</v>
      </c>
      <c r="W74" s="25">
        <v>0</v>
      </c>
      <c r="X74" s="25">
        <v>0</v>
      </c>
      <c r="Y74" s="25">
        <f>X74-W74</f>
        <v>0</v>
      </c>
      <c r="Z74" s="25">
        <v>0</v>
      </c>
      <c r="AA74" s="25">
        <v>0</v>
      </c>
      <c r="AB74" s="1">
        <v>0</v>
      </c>
      <c r="AC74" s="25">
        <f>AB74-AA74</f>
        <v>0</v>
      </c>
      <c r="AD74" s="25">
        <v>0</v>
      </c>
      <c r="AE74" s="25">
        <v>0</v>
      </c>
      <c r="AF74" s="25">
        <v>0</v>
      </c>
      <c r="AG74" s="25">
        <f>AF74-AE74</f>
        <v>0</v>
      </c>
      <c r="AH74" s="25">
        <v>0</v>
      </c>
      <c r="AI74" s="25">
        <f t="shared" si="212"/>
        <v>1950</v>
      </c>
      <c r="AJ74" s="25">
        <f t="shared" ref="AJ74:AJ79" si="387">D74+H74+L74++P74+T74+X74+AB74+AF74</f>
        <v>2720</v>
      </c>
      <c r="AK74" s="25">
        <f>AJ74-AI74</f>
        <v>770</v>
      </c>
      <c r="AL74" s="25">
        <f t="shared" ref="AL74:AL79" si="388">F74+J74+N74+R74+V74+Z74+AD74+AH74</f>
        <v>2500</v>
      </c>
    </row>
    <row r="75" spans="1:38" x14ac:dyDescent="0.25">
      <c r="A75">
        <v>4820</v>
      </c>
      <c r="B75" t="s">
        <v>67</v>
      </c>
      <c r="C75" s="1">
        <v>250</v>
      </c>
      <c r="D75" s="1">
        <v>0</v>
      </c>
      <c r="E75" s="1">
        <f t="shared" ref="E75:E79" si="389">D75-C75</f>
        <v>-250</v>
      </c>
      <c r="F75" s="105">
        <v>150</v>
      </c>
      <c r="G75" s="25">
        <v>3000</v>
      </c>
      <c r="H75" s="1">
        <v>1761.53</v>
      </c>
      <c r="I75" s="25">
        <f t="shared" ref="I75:I79" si="390">H75-G75</f>
        <v>-1238.47</v>
      </c>
      <c r="J75" s="1">
        <v>2000</v>
      </c>
      <c r="K75" s="25">
        <v>0</v>
      </c>
      <c r="L75" s="1">
        <v>0</v>
      </c>
      <c r="M75" s="25">
        <f t="shared" ref="M75:M79" si="391">L75-K75</f>
        <v>0</v>
      </c>
      <c r="N75" s="1">
        <v>0</v>
      </c>
      <c r="O75" s="25">
        <v>0</v>
      </c>
      <c r="P75" s="1">
        <v>0</v>
      </c>
      <c r="Q75" s="25">
        <f t="shared" ref="Q75:Q79" si="392">P75-O75</f>
        <v>0</v>
      </c>
      <c r="R75" s="25">
        <v>0</v>
      </c>
      <c r="S75" s="25">
        <v>2000</v>
      </c>
      <c r="T75" s="25">
        <v>2154.92</v>
      </c>
      <c r="U75" s="25">
        <f t="shared" ref="U75:U79" si="393">T75-S75</f>
        <v>154.92000000000007</v>
      </c>
      <c r="V75" s="25">
        <v>2155</v>
      </c>
      <c r="W75" s="25">
        <v>0</v>
      </c>
      <c r="X75" s="25">
        <v>0</v>
      </c>
      <c r="Y75" s="25">
        <f t="shared" ref="Y75:Y79" si="394">X75-W75</f>
        <v>0</v>
      </c>
      <c r="Z75" s="25">
        <v>0</v>
      </c>
      <c r="AA75" s="25">
        <v>0</v>
      </c>
      <c r="AB75" s="1">
        <v>0</v>
      </c>
      <c r="AC75" s="25">
        <f t="shared" ref="AC75:AC79" si="395">AB75-AA75</f>
        <v>0</v>
      </c>
      <c r="AD75" s="25">
        <v>0</v>
      </c>
      <c r="AE75" s="25">
        <v>0</v>
      </c>
      <c r="AF75" s="25">
        <v>0</v>
      </c>
      <c r="AG75" s="25">
        <f t="shared" ref="AG75:AG79" si="396">AF75-AE75</f>
        <v>0</v>
      </c>
      <c r="AH75" s="25">
        <v>0</v>
      </c>
      <c r="AI75" s="25">
        <f t="shared" si="212"/>
        <v>5250</v>
      </c>
      <c r="AJ75" s="25">
        <f t="shared" si="387"/>
        <v>3916.45</v>
      </c>
      <c r="AK75" s="25">
        <f t="shared" ref="AK75:AK79" si="397">AJ75-AI75</f>
        <v>-1333.5500000000002</v>
      </c>
      <c r="AL75" s="25">
        <f t="shared" si="388"/>
        <v>4305</v>
      </c>
    </row>
    <row r="76" spans="1:38" x14ac:dyDescent="0.25">
      <c r="A76">
        <v>4890</v>
      </c>
      <c r="B76" t="s">
        <v>68</v>
      </c>
      <c r="C76" s="1">
        <v>3000</v>
      </c>
      <c r="D76" s="1">
        <v>609.37</v>
      </c>
      <c r="E76" s="1">
        <f t="shared" si="389"/>
        <v>-2390.63</v>
      </c>
      <c r="F76" s="105">
        <v>2000</v>
      </c>
      <c r="G76" s="25">
        <v>750</v>
      </c>
      <c r="H76" s="1">
        <v>658.94</v>
      </c>
      <c r="I76" s="25">
        <f t="shared" si="390"/>
        <v>-91.059999999999945</v>
      </c>
      <c r="J76" s="1">
        <v>750</v>
      </c>
      <c r="K76" s="25">
        <v>500</v>
      </c>
      <c r="L76" s="1">
        <v>489.83</v>
      </c>
      <c r="M76" s="25">
        <f t="shared" si="391"/>
        <v>-10.170000000000016</v>
      </c>
      <c r="N76" s="1">
        <v>550</v>
      </c>
      <c r="O76" s="25">
        <v>550</v>
      </c>
      <c r="P76" s="1">
        <v>437.76</v>
      </c>
      <c r="Q76" s="25">
        <f t="shared" si="392"/>
        <v>-112.24000000000001</v>
      </c>
      <c r="R76" s="25">
        <v>1000</v>
      </c>
      <c r="S76" s="25">
        <v>550</v>
      </c>
      <c r="T76" s="25">
        <v>528.35</v>
      </c>
      <c r="U76" s="25">
        <f t="shared" si="393"/>
        <v>-21.649999999999977</v>
      </c>
      <c r="V76" s="25">
        <v>750</v>
      </c>
      <c r="W76" s="25">
        <v>1283</v>
      </c>
      <c r="X76" s="25">
        <f>1500+1000+666-407</f>
        <v>2759</v>
      </c>
      <c r="Y76" s="25">
        <f t="shared" si="394"/>
        <v>1476</v>
      </c>
      <c r="Z76" s="25">
        <v>1500</v>
      </c>
      <c r="AA76" s="25">
        <v>2000</v>
      </c>
      <c r="AB76" s="1">
        <v>901</v>
      </c>
      <c r="AC76" s="25">
        <f t="shared" si="395"/>
        <v>-1099</v>
      </c>
      <c r="AD76" s="25">
        <v>1050</v>
      </c>
      <c r="AE76" s="25">
        <v>300</v>
      </c>
      <c r="AF76" s="25">
        <v>285.44</v>
      </c>
      <c r="AG76" s="25">
        <f t="shared" si="396"/>
        <v>-14.560000000000002</v>
      </c>
      <c r="AH76" s="25">
        <v>250</v>
      </c>
      <c r="AI76" s="25">
        <f t="shared" si="212"/>
        <v>8933</v>
      </c>
      <c r="AJ76" s="25">
        <f t="shared" si="387"/>
        <v>6669.69</v>
      </c>
      <c r="AK76" s="25">
        <f t="shared" si="397"/>
        <v>-2263.3100000000004</v>
      </c>
      <c r="AL76" s="25">
        <f t="shared" si="388"/>
        <v>7850</v>
      </c>
    </row>
    <row r="77" spans="1:38" s="8" customFormat="1" x14ac:dyDescent="0.25">
      <c r="A77" s="8">
        <v>4891</v>
      </c>
      <c r="B77" s="8" t="s">
        <v>69</v>
      </c>
      <c r="C77" s="1">
        <v>0</v>
      </c>
      <c r="D77" s="1">
        <v>0</v>
      </c>
      <c r="E77" s="1">
        <f t="shared" si="389"/>
        <v>0</v>
      </c>
      <c r="F77" s="1">
        <v>0</v>
      </c>
      <c r="G77" s="25">
        <v>0</v>
      </c>
      <c r="H77" s="1">
        <v>0</v>
      </c>
      <c r="I77" s="25">
        <f t="shared" si="390"/>
        <v>0</v>
      </c>
      <c r="J77" s="1">
        <v>0</v>
      </c>
      <c r="K77" s="25">
        <v>0</v>
      </c>
      <c r="L77" s="1">
        <v>0</v>
      </c>
      <c r="M77" s="25">
        <f t="shared" si="391"/>
        <v>0</v>
      </c>
      <c r="N77" s="1">
        <v>0</v>
      </c>
      <c r="O77" s="25">
        <v>0</v>
      </c>
      <c r="P77" s="1">
        <v>0</v>
      </c>
      <c r="Q77" s="25">
        <f t="shared" si="392"/>
        <v>0</v>
      </c>
      <c r="R77" s="25">
        <v>0</v>
      </c>
      <c r="S77" s="25">
        <v>0</v>
      </c>
      <c r="T77" s="25">
        <v>0</v>
      </c>
      <c r="U77" s="25">
        <f t="shared" si="393"/>
        <v>0</v>
      </c>
      <c r="V77" s="25">
        <v>0</v>
      </c>
      <c r="W77" s="25"/>
      <c r="X77" s="25">
        <v>0</v>
      </c>
      <c r="Y77" s="25">
        <f t="shared" si="394"/>
        <v>0</v>
      </c>
      <c r="Z77" s="25">
        <v>0</v>
      </c>
      <c r="AA77" s="25">
        <v>0</v>
      </c>
      <c r="AB77" s="1">
        <v>0</v>
      </c>
      <c r="AC77" s="25">
        <f t="shared" si="395"/>
        <v>0</v>
      </c>
      <c r="AD77" s="25">
        <v>0</v>
      </c>
      <c r="AE77" s="25">
        <v>0</v>
      </c>
      <c r="AF77" s="25">
        <v>0</v>
      </c>
      <c r="AG77" s="25">
        <f t="shared" si="396"/>
        <v>0</v>
      </c>
      <c r="AH77" s="25">
        <v>0</v>
      </c>
      <c r="AI77" s="25">
        <f t="shared" si="212"/>
        <v>0</v>
      </c>
      <c r="AJ77" s="25">
        <f t="shared" si="387"/>
        <v>0</v>
      </c>
      <c r="AK77" s="25">
        <f t="shared" si="397"/>
        <v>0</v>
      </c>
      <c r="AL77" s="25">
        <f t="shared" si="388"/>
        <v>0</v>
      </c>
    </row>
    <row r="78" spans="1:38" s="8" customFormat="1" x14ac:dyDescent="0.25">
      <c r="A78" s="8">
        <v>4892</v>
      </c>
      <c r="B78" s="8" t="s">
        <v>70</v>
      </c>
      <c r="C78" s="1">
        <v>0</v>
      </c>
      <c r="D78" s="1">
        <v>0</v>
      </c>
      <c r="E78" s="1">
        <f t="shared" si="389"/>
        <v>0</v>
      </c>
      <c r="F78" s="1">
        <v>0</v>
      </c>
      <c r="G78" s="25">
        <v>0</v>
      </c>
      <c r="H78" s="1">
        <v>0</v>
      </c>
      <c r="I78" s="25">
        <f t="shared" si="390"/>
        <v>0</v>
      </c>
      <c r="J78" s="1">
        <v>0</v>
      </c>
      <c r="K78" s="25">
        <v>0</v>
      </c>
      <c r="L78" s="1">
        <v>0</v>
      </c>
      <c r="M78" s="25">
        <f t="shared" si="391"/>
        <v>0</v>
      </c>
      <c r="N78" s="1">
        <v>0</v>
      </c>
      <c r="O78" s="25">
        <v>0</v>
      </c>
      <c r="P78" s="1">
        <v>0</v>
      </c>
      <c r="Q78" s="25">
        <f t="shared" si="392"/>
        <v>0</v>
      </c>
      <c r="R78" s="25">
        <v>0</v>
      </c>
      <c r="S78" s="25">
        <v>0</v>
      </c>
      <c r="T78" s="25">
        <v>0</v>
      </c>
      <c r="U78" s="25">
        <f t="shared" si="393"/>
        <v>0</v>
      </c>
      <c r="V78" s="25">
        <v>0</v>
      </c>
      <c r="W78" s="25">
        <v>0</v>
      </c>
      <c r="X78" s="25">
        <v>0</v>
      </c>
      <c r="Y78" s="25">
        <f t="shared" si="394"/>
        <v>0</v>
      </c>
      <c r="Z78" s="25">
        <v>0</v>
      </c>
      <c r="AA78" s="25">
        <v>0</v>
      </c>
      <c r="AB78" s="1">
        <v>0</v>
      </c>
      <c r="AC78" s="25">
        <f t="shared" si="395"/>
        <v>0</v>
      </c>
      <c r="AD78" s="25">
        <v>0</v>
      </c>
      <c r="AE78" s="25">
        <v>0</v>
      </c>
      <c r="AF78" s="25">
        <v>0</v>
      </c>
      <c r="AG78" s="25">
        <f t="shared" si="396"/>
        <v>0</v>
      </c>
      <c r="AH78" s="25">
        <v>0</v>
      </c>
      <c r="AI78" s="25">
        <f t="shared" si="212"/>
        <v>0</v>
      </c>
      <c r="AJ78" s="25">
        <f t="shared" si="387"/>
        <v>0</v>
      </c>
      <c r="AK78" s="25">
        <f t="shared" si="397"/>
        <v>0</v>
      </c>
      <c r="AL78" s="25">
        <f t="shared" si="388"/>
        <v>0</v>
      </c>
    </row>
    <row r="79" spans="1:38" x14ac:dyDescent="0.25">
      <c r="A79">
        <v>4895</v>
      </c>
      <c r="B79" t="s">
        <v>71</v>
      </c>
      <c r="C79" s="1">
        <v>1400</v>
      </c>
      <c r="D79" s="1">
        <v>1508.9</v>
      </c>
      <c r="E79" s="1">
        <f t="shared" si="389"/>
        <v>108.90000000000009</v>
      </c>
      <c r="F79" s="1">
        <v>1500</v>
      </c>
      <c r="G79" s="25">
        <v>150</v>
      </c>
      <c r="H79" s="1">
        <v>151.55000000000001</v>
      </c>
      <c r="I79" s="25">
        <f t="shared" si="390"/>
        <v>1.5500000000000114</v>
      </c>
      <c r="J79" s="1">
        <v>152</v>
      </c>
      <c r="K79" s="25">
        <v>0</v>
      </c>
      <c r="L79" s="1">
        <v>83.68</v>
      </c>
      <c r="M79" s="25">
        <f t="shared" si="391"/>
        <v>83.68</v>
      </c>
      <c r="N79" s="1">
        <v>100</v>
      </c>
      <c r="O79" s="25">
        <v>90</v>
      </c>
      <c r="P79" s="1">
        <v>83.67</v>
      </c>
      <c r="Q79" s="25">
        <f t="shared" si="392"/>
        <v>-6.3299999999999983</v>
      </c>
      <c r="R79" s="25">
        <v>90</v>
      </c>
      <c r="S79" s="25">
        <v>120</v>
      </c>
      <c r="T79" s="25">
        <v>83.84</v>
      </c>
      <c r="U79" s="25">
        <f t="shared" si="393"/>
        <v>-36.159999999999997</v>
      </c>
      <c r="V79" s="25">
        <v>100</v>
      </c>
      <c r="W79" s="25">
        <v>0</v>
      </c>
      <c r="X79" s="25">
        <f>6.94+6.95+6.95+6.95+6.95+6.95+6.95+6.95+6.94+6.95+6.95+6.95+5.3+8.85</f>
        <v>97.53</v>
      </c>
      <c r="Y79" s="25">
        <f t="shared" si="394"/>
        <v>97.53</v>
      </c>
      <c r="Z79" s="25">
        <v>100</v>
      </c>
      <c r="AA79" s="25">
        <v>90</v>
      </c>
      <c r="AB79" s="1">
        <v>93</v>
      </c>
      <c r="AC79" s="25">
        <f t="shared" si="395"/>
        <v>3</v>
      </c>
      <c r="AD79" s="25">
        <v>100</v>
      </c>
      <c r="AE79" s="25">
        <v>50</v>
      </c>
      <c r="AF79" s="25">
        <v>54.64</v>
      </c>
      <c r="AG79" s="25">
        <f t="shared" si="396"/>
        <v>4.6400000000000006</v>
      </c>
      <c r="AH79" s="25">
        <v>75</v>
      </c>
      <c r="AI79" s="25">
        <f t="shared" si="212"/>
        <v>1900</v>
      </c>
      <c r="AJ79" s="25">
        <f t="shared" si="387"/>
        <v>2156.81</v>
      </c>
      <c r="AK79" s="25">
        <f t="shared" si="397"/>
        <v>256.80999999999995</v>
      </c>
      <c r="AL79" s="25">
        <f t="shared" si="388"/>
        <v>2217</v>
      </c>
    </row>
    <row r="80" spans="1:38" x14ac:dyDescent="0.25">
      <c r="A80" s="4">
        <v>4900</v>
      </c>
      <c r="B80" s="4" t="s">
        <v>72</v>
      </c>
      <c r="C80" s="5">
        <f>SUM(C81:C84)</f>
        <v>96666</v>
      </c>
      <c r="D80" s="5">
        <f>SUM(D81:D84)</f>
        <v>100520.77</v>
      </c>
      <c r="E80" s="5">
        <f t="shared" ref="E80" si="398">SUM(E81:E84)</f>
        <v>3854.7699999999959</v>
      </c>
      <c r="F80" s="5">
        <f t="shared" ref="F80" si="399">SUM(F81:F84)</f>
        <v>100680</v>
      </c>
      <c r="G80" s="5">
        <f t="shared" ref="G80" si="400">SUM(G81:G84)</f>
        <v>2000</v>
      </c>
      <c r="H80" s="5">
        <f t="shared" ref="H80" si="401">SUM(H81:H84)</f>
        <v>2257.4</v>
      </c>
      <c r="I80" s="5">
        <f t="shared" ref="I80" si="402">SUM(I81:I84)</f>
        <v>257.40000000000009</v>
      </c>
      <c r="J80" s="5">
        <f t="shared" ref="J80" si="403">SUM(J81:J84)</f>
        <v>2250</v>
      </c>
      <c r="K80" s="5">
        <f t="shared" ref="K80:L80" si="404">SUM(K81:K84)</f>
        <v>0</v>
      </c>
      <c r="L80" s="5">
        <f t="shared" si="404"/>
        <v>0</v>
      </c>
      <c r="M80" s="5">
        <f t="shared" ref="M80:N80" si="405">SUM(M81:M84)</f>
        <v>0</v>
      </c>
      <c r="N80" s="5">
        <f t="shared" si="405"/>
        <v>0</v>
      </c>
      <c r="O80" s="5">
        <f t="shared" ref="O80:P80" si="406">SUM(O81:O84)</f>
        <v>0</v>
      </c>
      <c r="P80" s="5">
        <f t="shared" si="406"/>
        <v>0</v>
      </c>
      <c r="Q80" s="5">
        <f t="shared" ref="Q80" si="407">SUM(Q81:Q84)</f>
        <v>0</v>
      </c>
      <c r="R80" s="5">
        <f t="shared" ref="R80" si="408">SUM(R81:R84)</f>
        <v>0</v>
      </c>
      <c r="S80" s="5">
        <f t="shared" ref="S80" si="409">SUM(S81:S84)</f>
        <v>0</v>
      </c>
      <c r="T80" s="5">
        <f t="shared" ref="T80" si="410">SUM(T81:T84)</f>
        <v>0</v>
      </c>
      <c r="U80" s="5">
        <f t="shared" ref="U80" si="411">SUM(U81:U84)</f>
        <v>0</v>
      </c>
      <c r="V80" s="5">
        <f t="shared" ref="V80" si="412">SUM(V81:V84)</f>
        <v>0</v>
      </c>
      <c r="W80" s="5">
        <f t="shared" ref="W80" si="413">SUM(W81:W84)</f>
        <v>0</v>
      </c>
      <c r="X80" s="5">
        <f t="shared" ref="X80" si="414">SUM(X81:X84)</f>
        <v>0</v>
      </c>
      <c r="Y80" s="5">
        <f t="shared" ref="Y80" si="415">SUM(Y81:Y84)</f>
        <v>0</v>
      </c>
      <c r="Z80" s="5">
        <f t="shared" ref="Z80" si="416">SUM(Z81:Z84)</f>
        <v>0</v>
      </c>
      <c r="AA80" s="5">
        <f t="shared" ref="AA80:AB80" si="417">SUM(AA81:AA84)</f>
        <v>0</v>
      </c>
      <c r="AB80" s="5">
        <f t="shared" si="417"/>
        <v>0</v>
      </c>
      <c r="AC80" s="5">
        <f t="shared" ref="AC80" si="418">SUM(AC81:AC84)</f>
        <v>0</v>
      </c>
      <c r="AD80" s="5">
        <f t="shared" ref="AD80:AF80" si="419">SUM(AD81:AD84)</f>
        <v>0</v>
      </c>
      <c r="AE80" s="5">
        <f t="shared" si="419"/>
        <v>0</v>
      </c>
      <c r="AF80" s="5">
        <f t="shared" si="419"/>
        <v>0</v>
      </c>
      <c r="AG80" s="5">
        <f t="shared" ref="AG80:AH80" si="420">SUM(AG81:AG84)</f>
        <v>0</v>
      </c>
      <c r="AH80" s="5">
        <f t="shared" si="420"/>
        <v>0</v>
      </c>
      <c r="AI80" s="5">
        <f>SUM(AI81:AI84)</f>
        <v>98666</v>
      </c>
      <c r="AJ80" s="5">
        <f t="shared" ref="AJ80" si="421">SUM(AJ81:AJ84)</f>
        <v>102778.17</v>
      </c>
      <c r="AK80" s="5">
        <f t="shared" ref="AK80" si="422">SUM(AK81:AK84)</f>
        <v>4112.1699999999955</v>
      </c>
      <c r="AL80" s="5">
        <f t="shared" ref="AL80" si="423">SUM(AL81:AL84)</f>
        <v>102930</v>
      </c>
    </row>
    <row r="81" spans="1:38" x14ac:dyDescent="0.25">
      <c r="A81">
        <v>4910</v>
      </c>
      <c r="B81" t="s">
        <v>73</v>
      </c>
      <c r="C81" s="1">
        <f>SUM(C26:C27)*37%+2500+1800</f>
        <v>82666</v>
      </c>
      <c r="D81" s="1">
        <v>89446.62</v>
      </c>
      <c r="E81" s="1">
        <f>D81-C81</f>
        <v>6780.6199999999953</v>
      </c>
      <c r="F81" s="1">
        <f>(F26*39%)</f>
        <v>88530</v>
      </c>
      <c r="G81" s="25">
        <v>0</v>
      </c>
      <c r="H81" s="1">
        <v>0</v>
      </c>
      <c r="I81" s="25">
        <f>H81-G81</f>
        <v>0</v>
      </c>
      <c r="J81" s="1">
        <v>0</v>
      </c>
      <c r="K81" s="25">
        <v>0</v>
      </c>
      <c r="L81" s="1">
        <v>0</v>
      </c>
      <c r="M81" s="25">
        <f>L81-K81</f>
        <v>0</v>
      </c>
      <c r="N81" s="1">
        <v>0</v>
      </c>
      <c r="O81" s="25">
        <v>0</v>
      </c>
      <c r="P81" s="1">
        <v>0</v>
      </c>
      <c r="Q81" s="25">
        <f>P81-O81</f>
        <v>0</v>
      </c>
      <c r="R81" s="25">
        <v>0</v>
      </c>
      <c r="S81" s="25">
        <v>0</v>
      </c>
      <c r="T81" s="25">
        <v>0</v>
      </c>
      <c r="U81" s="25">
        <f>T81-S81</f>
        <v>0</v>
      </c>
      <c r="V81" s="25">
        <v>0</v>
      </c>
      <c r="W81" s="25">
        <v>0</v>
      </c>
      <c r="X81" s="25">
        <v>0</v>
      </c>
      <c r="Y81" s="25">
        <f>X81-W81</f>
        <v>0</v>
      </c>
      <c r="Z81" s="25">
        <v>0</v>
      </c>
      <c r="AA81" s="25">
        <v>0</v>
      </c>
      <c r="AB81" s="1">
        <v>0</v>
      </c>
      <c r="AC81" s="25">
        <f>AB81-AA81</f>
        <v>0</v>
      </c>
      <c r="AD81" s="25">
        <v>0</v>
      </c>
      <c r="AE81" s="25">
        <v>0</v>
      </c>
      <c r="AF81" s="25">
        <v>0</v>
      </c>
      <c r="AG81" s="25">
        <f>AF81-AE81</f>
        <v>0</v>
      </c>
      <c r="AH81" s="25">
        <v>0</v>
      </c>
      <c r="AI81" s="25">
        <f>C81+G81+K81+O81+S81+W81+AA81+AE81</f>
        <v>82666</v>
      </c>
      <c r="AJ81" s="25">
        <f t="shared" ref="AJ81:AJ84" si="424">D81+H81+L81++P81+T81+X81+AB81+AF81</f>
        <v>89446.62</v>
      </c>
      <c r="AK81" s="25">
        <f>AJ81-AI81</f>
        <v>6780.6199999999953</v>
      </c>
      <c r="AL81" s="25">
        <f>F81+J81+N81+R81+V81+Z81+AD81+AH81</f>
        <v>88530</v>
      </c>
    </row>
    <row r="82" spans="1:38" x14ac:dyDescent="0.25">
      <c r="A82">
        <v>4940</v>
      </c>
      <c r="B82" t="s">
        <v>74</v>
      </c>
      <c r="C82" s="1">
        <v>3250</v>
      </c>
      <c r="D82" s="1">
        <v>3161.1</v>
      </c>
      <c r="E82" s="1">
        <f t="shared" ref="E82:E86" si="425">D82-C82</f>
        <v>-88.900000000000091</v>
      </c>
      <c r="F82" s="1">
        <v>3200</v>
      </c>
      <c r="G82" s="25">
        <v>2000</v>
      </c>
      <c r="H82" s="1">
        <v>2257.4</v>
      </c>
      <c r="I82" s="25">
        <f t="shared" ref="I82:I86" si="426">H82-G82</f>
        <v>257.40000000000009</v>
      </c>
      <c r="J82" s="1">
        <v>2250</v>
      </c>
      <c r="K82" s="25">
        <v>0</v>
      </c>
      <c r="L82" s="1">
        <v>0</v>
      </c>
      <c r="M82" s="25">
        <f>L82-K82</f>
        <v>0</v>
      </c>
      <c r="N82" s="1">
        <v>0</v>
      </c>
      <c r="O82" s="25">
        <v>0</v>
      </c>
      <c r="P82" s="1">
        <v>0</v>
      </c>
      <c r="Q82" s="25">
        <f t="shared" ref="Q82:Q86" si="427">P82-O82</f>
        <v>0</v>
      </c>
      <c r="R82" s="25">
        <v>0</v>
      </c>
      <c r="S82" s="25">
        <v>0</v>
      </c>
      <c r="T82" s="25">
        <v>0</v>
      </c>
      <c r="U82" s="25">
        <f t="shared" ref="U82:U86" si="428">T82-S82</f>
        <v>0</v>
      </c>
      <c r="V82" s="25">
        <v>0</v>
      </c>
      <c r="W82" s="25">
        <v>0</v>
      </c>
      <c r="X82" s="25">
        <v>0</v>
      </c>
      <c r="Y82" s="25">
        <f t="shared" ref="Y82:Y86" si="429">X82-W82</f>
        <v>0</v>
      </c>
      <c r="Z82" s="25">
        <v>0</v>
      </c>
      <c r="AA82" s="25">
        <v>0</v>
      </c>
      <c r="AB82" s="1">
        <v>0</v>
      </c>
      <c r="AC82" s="25">
        <f t="shared" ref="AC82:AC86" si="430">AB82-AA82</f>
        <v>0</v>
      </c>
      <c r="AD82" s="25">
        <v>0</v>
      </c>
      <c r="AE82" s="25">
        <v>0</v>
      </c>
      <c r="AF82" s="25">
        <v>0</v>
      </c>
      <c r="AG82" s="25">
        <f t="shared" ref="AG82:AG86" si="431">AF82-AE82</f>
        <v>0</v>
      </c>
      <c r="AH82" s="25">
        <v>0</v>
      </c>
      <c r="AI82" s="25">
        <f t="shared" si="212"/>
        <v>5250</v>
      </c>
      <c r="AJ82" s="25">
        <f t="shared" si="424"/>
        <v>5418.5</v>
      </c>
      <c r="AK82" s="25">
        <f t="shared" ref="AK82:AK86" si="432">AJ82-AI82</f>
        <v>168.5</v>
      </c>
      <c r="AL82" s="25">
        <f t="shared" ref="AL82:AL84" si="433">F82+J82+N82+R82+V82+Z82+AD82+AH82</f>
        <v>5450</v>
      </c>
    </row>
    <row r="83" spans="1:38" x14ac:dyDescent="0.25">
      <c r="A83">
        <v>4950</v>
      </c>
      <c r="B83" t="s">
        <v>75</v>
      </c>
      <c r="C83" s="1">
        <v>1000</v>
      </c>
      <c r="D83" s="1">
        <v>902.39</v>
      </c>
      <c r="E83" s="1">
        <f t="shared" si="425"/>
        <v>-97.610000000000014</v>
      </c>
      <c r="F83" s="1">
        <v>950</v>
      </c>
      <c r="G83" s="25">
        <v>0</v>
      </c>
      <c r="H83" s="1">
        <v>0</v>
      </c>
      <c r="I83" s="25">
        <f t="shared" si="426"/>
        <v>0</v>
      </c>
      <c r="J83" s="1">
        <v>0</v>
      </c>
      <c r="K83" s="25">
        <v>0</v>
      </c>
      <c r="L83" s="1">
        <v>0</v>
      </c>
      <c r="M83" s="25">
        <f>L83-K83</f>
        <v>0</v>
      </c>
      <c r="N83" s="1">
        <v>0</v>
      </c>
      <c r="O83" s="25">
        <v>0</v>
      </c>
      <c r="P83" s="1">
        <v>0</v>
      </c>
      <c r="Q83" s="25">
        <f t="shared" si="427"/>
        <v>0</v>
      </c>
      <c r="R83" s="25">
        <v>0</v>
      </c>
      <c r="S83" s="25">
        <v>0</v>
      </c>
      <c r="T83" s="25">
        <v>0</v>
      </c>
      <c r="U83" s="25">
        <f t="shared" si="428"/>
        <v>0</v>
      </c>
      <c r="V83" s="25">
        <v>0</v>
      </c>
      <c r="W83" s="25">
        <v>0</v>
      </c>
      <c r="X83" s="25">
        <v>0</v>
      </c>
      <c r="Y83" s="25">
        <f t="shared" si="429"/>
        <v>0</v>
      </c>
      <c r="Z83" s="25">
        <v>0</v>
      </c>
      <c r="AA83" s="25">
        <v>0</v>
      </c>
      <c r="AB83" s="1">
        <v>0</v>
      </c>
      <c r="AC83" s="25">
        <f t="shared" si="430"/>
        <v>0</v>
      </c>
      <c r="AD83" s="25">
        <v>0</v>
      </c>
      <c r="AE83" s="25">
        <v>0</v>
      </c>
      <c r="AF83" s="25">
        <v>0</v>
      </c>
      <c r="AG83" s="25">
        <f t="shared" si="431"/>
        <v>0</v>
      </c>
      <c r="AH83" s="25">
        <v>0</v>
      </c>
      <c r="AI83" s="25">
        <f t="shared" si="212"/>
        <v>1000</v>
      </c>
      <c r="AJ83" s="25">
        <f t="shared" si="424"/>
        <v>902.39</v>
      </c>
      <c r="AK83" s="25">
        <f t="shared" si="432"/>
        <v>-97.610000000000014</v>
      </c>
      <c r="AL83" s="25">
        <f t="shared" si="433"/>
        <v>950</v>
      </c>
    </row>
    <row r="84" spans="1:38" x14ac:dyDescent="0.25">
      <c r="A84">
        <v>4970</v>
      </c>
      <c r="B84" t="s">
        <v>76</v>
      </c>
      <c r="C84" s="1">
        <v>9750</v>
      </c>
      <c r="D84" s="1">
        <v>7010.66</v>
      </c>
      <c r="E84" s="1">
        <f t="shared" si="425"/>
        <v>-2739.34</v>
      </c>
      <c r="F84" s="1">
        <v>8000</v>
      </c>
      <c r="G84" s="25">
        <v>0</v>
      </c>
      <c r="H84" s="1">
        <v>0</v>
      </c>
      <c r="I84" s="25">
        <f t="shared" si="426"/>
        <v>0</v>
      </c>
      <c r="J84" s="1">
        <v>0</v>
      </c>
      <c r="K84" s="25">
        <v>0</v>
      </c>
      <c r="L84" s="1">
        <v>0</v>
      </c>
      <c r="M84" s="25">
        <f>L84-K84</f>
        <v>0</v>
      </c>
      <c r="N84" s="1">
        <v>0</v>
      </c>
      <c r="O84" s="25">
        <v>0</v>
      </c>
      <c r="P84" s="1">
        <v>0</v>
      </c>
      <c r="Q84" s="25">
        <f t="shared" si="427"/>
        <v>0</v>
      </c>
      <c r="R84" s="25">
        <v>0</v>
      </c>
      <c r="S84" s="25">
        <v>0</v>
      </c>
      <c r="T84" s="25">
        <v>0</v>
      </c>
      <c r="U84" s="25">
        <f t="shared" si="428"/>
        <v>0</v>
      </c>
      <c r="V84" s="25">
        <v>0</v>
      </c>
      <c r="W84" s="25">
        <v>0</v>
      </c>
      <c r="X84" s="25">
        <v>0</v>
      </c>
      <c r="Y84" s="25">
        <f t="shared" si="429"/>
        <v>0</v>
      </c>
      <c r="Z84" s="25">
        <v>0</v>
      </c>
      <c r="AA84" s="25">
        <v>0</v>
      </c>
      <c r="AB84" s="1">
        <v>0</v>
      </c>
      <c r="AC84" s="25">
        <f t="shared" si="430"/>
        <v>0</v>
      </c>
      <c r="AD84" s="25">
        <v>0</v>
      </c>
      <c r="AE84" s="25">
        <v>0</v>
      </c>
      <c r="AF84" s="25">
        <v>0</v>
      </c>
      <c r="AG84" s="25">
        <f t="shared" si="431"/>
        <v>0</v>
      </c>
      <c r="AH84" s="25">
        <v>0</v>
      </c>
      <c r="AI84" s="25">
        <f t="shared" si="212"/>
        <v>9750</v>
      </c>
      <c r="AJ84" s="25">
        <f t="shared" si="424"/>
        <v>7010.66</v>
      </c>
      <c r="AK84" s="25">
        <f t="shared" si="432"/>
        <v>-2739.34</v>
      </c>
      <c r="AL84" s="25">
        <f t="shared" si="433"/>
        <v>8000</v>
      </c>
    </row>
    <row r="85" spans="1:38" x14ac:dyDescent="0.25">
      <c r="A85" s="4">
        <v>9900</v>
      </c>
      <c r="B85" s="4" t="s">
        <v>220</v>
      </c>
      <c r="C85" s="5">
        <f>C86</f>
        <v>0</v>
      </c>
      <c r="D85" s="5">
        <f>D86</f>
        <v>0</v>
      </c>
      <c r="E85" s="5">
        <f>E86</f>
        <v>0</v>
      </c>
      <c r="F85" s="5">
        <f>F86</f>
        <v>0</v>
      </c>
      <c r="G85" s="5">
        <f t="shared" ref="G85:AL85" si="434">G86</f>
        <v>0</v>
      </c>
      <c r="H85" s="5">
        <f t="shared" si="434"/>
        <v>14.52</v>
      </c>
      <c r="I85" s="5">
        <f t="shared" si="434"/>
        <v>14.52</v>
      </c>
      <c r="J85" s="5">
        <f t="shared" si="434"/>
        <v>0</v>
      </c>
      <c r="K85" s="5">
        <f t="shared" si="434"/>
        <v>0</v>
      </c>
      <c r="L85" s="5">
        <f t="shared" si="434"/>
        <v>-0.51</v>
      </c>
      <c r="M85" s="5">
        <f t="shared" si="434"/>
        <v>-0.51</v>
      </c>
      <c r="N85" s="5">
        <f t="shared" si="434"/>
        <v>0</v>
      </c>
      <c r="O85" s="5">
        <f t="shared" si="434"/>
        <v>0</v>
      </c>
      <c r="P85" s="5">
        <f t="shared" si="434"/>
        <v>0</v>
      </c>
      <c r="Q85" s="5">
        <f t="shared" si="434"/>
        <v>0</v>
      </c>
      <c r="R85" s="5">
        <f t="shared" si="434"/>
        <v>0</v>
      </c>
      <c r="S85" s="5">
        <f t="shared" si="434"/>
        <v>0</v>
      </c>
      <c r="T85" s="5">
        <f t="shared" si="434"/>
        <v>-0.51</v>
      </c>
      <c r="U85" s="5">
        <f t="shared" si="434"/>
        <v>-0.51</v>
      </c>
      <c r="V85" s="5">
        <f t="shared" si="434"/>
        <v>0</v>
      </c>
      <c r="W85" s="5">
        <f t="shared" si="434"/>
        <v>0</v>
      </c>
      <c r="X85" s="5">
        <f t="shared" si="434"/>
        <v>0</v>
      </c>
      <c r="Y85" s="5">
        <f t="shared" si="434"/>
        <v>0</v>
      </c>
      <c r="Z85" s="5">
        <f t="shared" si="434"/>
        <v>0</v>
      </c>
      <c r="AA85" s="5">
        <f t="shared" si="434"/>
        <v>0</v>
      </c>
      <c r="AB85" s="5">
        <f t="shared" si="434"/>
        <v>0</v>
      </c>
      <c r="AC85" s="5">
        <f t="shared" si="434"/>
        <v>0</v>
      </c>
      <c r="AD85" s="5">
        <f t="shared" si="434"/>
        <v>0</v>
      </c>
      <c r="AE85" s="5">
        <f t="shared" si="434"/>
        <v>0</v>
      </c>
      <c r="AF85" s="5">
        <f t="shared" si="434"/>
        <v>0</v>
      </c>
      <c r="AG85" s="5">
        <f t="shared" si="434"/>
        <v>0</v>
      </c>
      <c r="AH85" s="5">
        <f t="shared" si="434"/>
        <v>0</v>
      </c>
      <c r="AI85" s="5">
        <f t="shared" si="434"/>
        <v>0</v>
      </c>
      <c r="AJ85" s="5">
        <f t="shared" si="434"/>
        <v>12.99</v>
      </c>
      <c r="AK85" s="5">
        <f t="shared" si="434"/>
        <v>12.99</v>
      </c>
      <c r="AL85" s="5">
        <f t="shared" si="434"/>
        <v>0</v>
      </c>
    </row>
    <row r="86" spans="1:38" x14ac:dyDescent="0.25">
      <c r="A86">
        <v>9930</v>
      </c>
      <c r="B86" t="s">
        <v>219</v>
      </c>
      <c r="C86" s="1">
        <v>0</v>
      </c>
      <c r="D86" s="1">
        <v>0</v>
      </c>
      <c r="E86" s="1">
        <f t="shared" si="425"/>
        <v>0</v>
      </c>
      <c r="F86" s="1">
        <v>0</v>
      </c>
      <c r="G86" s="25">
        <v>0</v>
      </c>
      <c r="H86" s="1">
        <v>14.52</v>
      </c>
      <c r="I86" s="25">
        <f t="shared" si="426"/>
        <v>14.52</v>
      </c>
      <c r="J86" s="1">
        <v>0</v>
      </c>
      <c r="K86" s="25">
        <v>0</v>
      </c>
      <c r="L86" s="1">
        <v>-0.51</v>
      </c>
      <c r="M86" s="25">
        <f>L86-K86</f>
        <v>-0.51</v>
      </c>
      <c r="N86" s="1">
        <v>0</v>
      </c>
      <c r="O86" s="25">
        <v>0</v>
      </c>
      <c r="P86" s="1">
        <v>0</v>
      </c>
      <c r="Q86" s="25">
        <f t="shared" si="427"/>
        <v>0</v>
      </c>
      <c r="R86" s="25">
        <v>0</v>
      </c>
      <c r="S86" s="25">
        <v>0</v>
      </c>
      <c r="T86" s="25">
        <v>-0.51</v>
      </c>
      <c r="U86" s="25">
        <f t="shared" si="428"/>
        <v>-0.51</v>
      </c>
      <c r="V86" s="25">
        <v>0</v>
      </c>
      <c r="W86" s="25">
        <v>0</v>
      </c>
      <c r="X86" s="25">
        <v>0</v>
      </c>
      <c r="Y86" s="25">
        <f t="shared" si="429"/>
        <v>0</v>
      </c>
      <c r="Z86" s="25">
        <v>0</v>
      </c>
      <c r="AA86" s="25">
        <v>0</v>
      </c>
      <c r="AB86" s="1">
        <v>0</v>
      </c>
      <c r="AC86" s="25">
        <f t="shared" si="430"/>
        <v>0</v>
      </c>
      <c r="AD86" s="25">
        <v>0</v>
      </c>
      <c r="AE86" s="25">
        <v>0</v>
      </c>
      <c r="AF86" s="25">
        <v>0</v>
      </c>
      <c r="AG86" s="25">
        <f t="shared" si="431"/>
        <v>0</v>
      </c>
      <c r="AH86" s="25">
        <v>0</v>
      </c>
      <c r="AI86" s="25">
        <f t="shared" si="212"/>
        <v>0</v>
      </c>
      <c r="AJ86" s="25">
        <f>D86+H86+L86++P86+T86+X86+AB86+AF86-0.51</f>
        <v>12.99</v>
      </c>
      <c r="AK86" s="25">
        <f t="shared" si="432"/>
        <v>12.99</v>
      </c>
      <c r="AL86" s="25">
        <v>0</v>
      </c>
    </row>
    <row r="87" spans="1:38" x14ac:dyDescent="0.25">
      <c r="A87" s="4" t="s">
        <v>82</v>
      </c>
      <c r="B87" s="6"/>
      <c r="C87" s="5">
        <f>C33+C35+C37+C43+C51+C54+C57+C68+C73+C80+C85</f>
        <v>237403.39999400001</v>
      </c>
      <c r="D87" s="5">
        <f t="shared" ref="D87:AL87" si="435">D33+D35+D37+D43+D51+D54+D57+D68+D73+D80+D85</f>
        <v>246598.39</v>
      </c>
      <c r="E87" s="5">
        <f t="shared" si="435"/>
        <v>9194.990006</v>
      </c>
      <c r="F87" s="5">
        <f t="shared" si="435"/>
        <v>253609.67476766664</v>
      </c>
      <c r="G87" s="5">
        <f t="shared" si="435"/>
        <v>141356.56</v>
      </c>
      <c r="H87" s="5">
        <f t="shared" si="435"/>
        <v>136145.87999999998</v>
      </c>
      <c r="I87" s="5">
        <f t="shared" si="435"/>
        <v>-5210.6799999999985</v>
      </c>
      <c r="J87" s="5">
        <f t="shared" si="435"/>
        <v>130613.04764800001</v>
      </c>
      <c r="K87" s="5">
        <f t="shared" si="435"/>
        <v>27521.78</v>
      </c>
      <c r="L87" s="5">
        <f t="shared" si="435"/>
        <v>27912.41</v>
      </c>
      <c r="M87" s="5">
        <f t="shared" si="435"/>
        <v>390.62999999999874</v>
      </c>
      <c r="N87" s="5">
        <f t="shared" si="435"/>
        <v>26450</v>
      </c>
      <c r="O87" s="5">
        <f t="shared" si="435"/>
        <v>32490</v>
      </c>
      <c r="P87" s="5">
        <f t="shared" si="435"/>
        <v>29284.18</v>
      </c>
      <c r="Q87" s="5">
        <f t="shared" si="435"/>
        <v>-3205.82</v>
      </c>
      <c r="R87" s="5">
        <f t="shared" si="435"/>
        <v>31082</v>
      </c>
      <c r="S87" s="5">
        <f t="shared" si="435"/>
        <v>18020</v>
      </c>
      <c r="T87" s="5">
        <f t="shared" si="435"/>
        <v>16365.910000000002</v>
      </c>
      <c r="U87" s="5">
        <f t="shared" si="435"/>
        <v>-1654.09</v>
      </c>
      <c r="V87" s="5">
        <f t="shared" si="435"/>
        <v>18910</v>
      </c>
      <c r="W87" s="5">
        <f t="shared" si="435"/>
        <v>5783</v>
      </c>
      <c r="X87" s="5">
        <f t="shared" si="435"/>
        <v>7341.66</v>
      </c>
      <c r="Y87" s="5">
        <f t="shared" si="435"/>
        <v>1558.6599999999994</v>
      </c>
      <c r="Z87" s="5">
        <f t="shared" si="435"/>
        <v>7900</v>
      </c>
      <c r="AA87" s="5">
        <f t="shared" si="435"/>
        <v>7440</v>
      </c>
      <c r="AB87" s="5">
        <f t="shared" si="435"/>
        <v>6356</v>
      </c>
      <c r="AC87" s="5">
        <f t="shared" si="435"/>
        <v>-1084</v>
      </c>
      <c r="AD87" s="5">
        <f t="shared" si="435"/>
        <v>8150</v>
      </c>
      <c r="AE87" s="5">
        <f t="shared" si="435"/>
        <v>2730</v>
      </c>
      <c r="AF87" s="5">
        <f t="shared" si="435"/>
        <v>2666</v>
      </c>
      <c r="AG87" s="5">
        <f t="shared" si="435"/>
        <v>-64.000000000000043</v>
      </c>
      <c r="AH87" s="5">
        <f t="shared" si="435"/>
        <v>2319</v>
      </c>
      <c r="AI87" s="5">
        <f t="shared" si="435"/>
        <v>472744.739994</v>
      </c>
      <c r="AJ87" s="5">
        <f t="shared" si="435"/>
        <v>472669.92000000004</v>
      </c>
      <c r="AK87" s="5">
        <f t="shared" si="435"/>
        <v>-74.819994000002922</v>
      </c>
      <c r="AL87" s="5">
        <f t="shared" si="435"/>
        <v>479033.72241566662</v>
      </c>
    </row>
    <row r="88" spans="1:38" x14ac:dyDescent="0.25">
      <c r="C88" s="1"/>
      <c r="D88" s="1"/>
      <c r="E88" s="1"/>
      <c r="F88" s="1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I88" s="25"/>
      <c r="AJ88" s="25"/>
    </row>
    <row r="89" spans="1:38" x14ac:dyDescent="0.25">
      <c r="A89" s="4" t="s">
        <v>77</v>
      </c>
      <c r="B89" s="6"/>
      <c r="C89" s="5">
        <f>C30-C87</f>
        <v>241.6000059999933</v>
      </c>
      <c r="D89" s="5">
        <f t="shared" ref="D89:AK89" si="436">D30-D87</f>
        <v>271.13000000000466</v>
      </c>
      <c r="E89" s="5">
        <f t="shared" si="436"/>
        <v>29.529994000007719</v>
      </c>
      <c r="F89" s="5">
        <f t="shared" si="436"/>
        <v>397.72523233335232</v>
      </c>
      <c r="G89" s="5">
        <f t="shared" si="436"/>
        <v>-752</v>
      </c>
      <c r="H89" s="5">
        <f t="shared" si="436"/>
        <v>8416.5599999999977</v>
      </c>
      <c r="I89" s="5">
        <f t="shared" si="436"/>
        <v>9168.559999999994</v>
      </c>
      <c r="J89" s="234">
        <f t="shared" si="436"/>
        <v>108.45235199999297</v>
      </c>
      <c r="K89" s="5">
        <f t="shared" si="436"/>
        <v>551.22000000000116</v>
      </c>
      <c r="L89" s="5">
        <f t="shared" si="436"/>
        <v>1464.5099999999984</v>
      </c>
      <c r="M89" s="5">
        <f>M30-M87</f>
        <v>913.29000000000133</v>
      </c>
      <c r="N89" s="5">
        <f t="shared" si="436"/>
        <v>392</v>
      </c>
      <c r="O89" s="5">
        <f t="shared" si="436"/>
        <v>0</v>
      </c>
      <c r="P89" s="5">
        <f t="shared" si="436"/>
        <v>4595.8400000000038</v>
      </c>
      <c r="Q89" s="5">
        <f t="shared" si="436"/>
        <v>4595.8400000000011</v>
      </c>
      <c r="R89" s="5">
        <f>R30-R87</f>
        <v>-1359.5</v>
      </c>
      <c r="S89" s="5">
        <f t="shared" si="436"/>
        <v>1</v>
      </c>
      <c r="T89" s="5">
        <f t="shared" si="436"/>
        <v>1907.92</v>
      </c>
      <c r="U89" s="5">
        <f t="shared" si="436"/>
        <v>1906.9199999999998</v>
      </c>
      <c r="V89" s="5">
        <f t="shared" si="436"/>
        <v>-3189.5</v>
      </c>
      <c r="W89" s="5">
        <f t="shared" si="436"/>
        <v>2592</v>
      </c>
      <c r="X89" s="5">
        <f>X30-X87</f>
        <v>4379.5800000000017</v>
      </c>
      <c r="Y89" s="5">
        <f t="shared" si="436"/>
        <v>1787.5800000000013</v>
      </c>
      <c r="Z89" s="5">
        <f>Z30-Z87</f>
        <v>1918</v>
      </c>
      <c r="AA89" s="5">
        <f t="shared" si="436"/>
        <v>4860</v>
      </c>
      <c r="AB89" s="5">
        <f t="shared" si="436"/>
        <v>1441</v>
      </c>
      <c r="AC89" s="5">
        <f t="shared" si="436"/>
        <v>-3419</v>
      </c>
      <c r="AD89" s="5">
        <f t="shared" si="436"/>
        <v>-139</v>
      </c>
      <c r="AE89" s="5">
        <f t="shared" si="436"/>
        <v>-80</v>
      </c>
      <c r="AF89" s="5">
        <f t="shared" si="436"/>
        <v>-528.5</v>
      </c>
      <c r="AG89" s="5">
        <f t="shared" si="436"/>
        <v>-448.49999999999994</v>
      </c>
      <c r="AH89" s="5">
        <f t="shared" si="436"/>
        <v>-569</v>
      </c>
      <c r="AI89" s="5">
        <f t="shared" si="436"/>
        <v>7413.8200059999945</v>
      </c>
      <c r="AJ89" s="5">
        <f>AJ30-AJ87</f>
        <v>21948.549999999988</v>
      </c>
      <c r="AK89" s="5">
        <f t="shared" si="436"/>
        <v>14534.729993999998</v>
      </c>
      <c r="AL89" s="5">
        <f>AL30-AL87</f>
        <v>-2440.8224156665965</v>
      </c>
    </row>
    <row r="90" spans="1:38" x14ac:dyDescent="0.25"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</row>
    <row r="91" spans="1:38" x14ac:dyDescent="0.25">
      <c r="C91" s="1"/>
      <c r="D91" s="1"/>
      <c r="E91" s="1"/>
      <c r="F91" s="1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</row>
    <row r="92" spans="1:38" x14ac:dyDescent="0.25">
      <c r="C92" s="1"/>
      <c r="D92" s="1"/>
      <c r="E92" s="1"/>
      <c r="F92" s="1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</row>
    <row r="93" spans="1:38" x14ac:dyDescent="0.25">
      <c r="F93" s="1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</row>
    <row r="94" spans="1:38" x14ac:dyDescent="0.25"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</row>
    <row r="95" spans="1:38" x14ac:dyDescent="0.25"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</row>
    <row r="96" spans="1:38" x14ac:dyDescent="0.25"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</row>
    <row r="97" spans="16:33" x14ac:dyDescent="0.25"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</row>
    <row r="98" spans="16:33" x14ac:dyDescent="0.25"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</row>
  </sheetData>
  <mergeCells count="2">
    <mergeCell ref="A1:B2"/>
    <mergeCell ref="A32:B3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137"/>
  <sheetViews>
    <sheetView topLeftCell="A34" zoomScale="85" zoomScaleNormal="85" workbookViewId="0">
      <selection activeCell="K46" sqref="K46"/>
    </sheetView>
  </sheetViews>
  <sheetFormatPr defaultColWidth="8.7109375" defaultRowHeight="12.75" x14ac:dyDescent="0.25"/>
  <cols>
    <col min="1" max="1" width="13" style="79" customWidth="1"/>
    <col min="2" max="2" width="43.28515625" style="80" customWidth="1"/>
    <col min="3" max="3" width="11.140625" style="82" customWidth="1"/>
    <col min="4" max="4" width="11.140625" style="42" customWidth="1"/>
    <col min="5" max="5" width="11.140625" style="43" customWidth="1"/>
    <col min="6" max="6" width="11.140625" style="82" customWidth="1"/>
    <col min="7" max="7" width="11.140625" style="42" customWidth="1"/>
    <col min="8" max="8" width="11.140625" style="43" customWidth="1"/>
    <col min="9" max="9" width="11.140625" style="82" customWidth="1"/>
    <col min="10" max="10" width="11.140625" style="42" customWidth="1"/>
    <col min="11" max="11" width="11.140625" style="43" customWidth="1"/>
    <col min="12" max="12" width="11.140625" style="82" customWidth="1"/>
    <col min="13" max="13" width="11.140625" style="42" customWidth="1"/>
    <col min="14" max="14" width="11.140625" style="43" customWidth="1"/>
    <col min="15" max="15" width="11.140625" style="82" customWidth="1"/>
    <col min="16" max="16" width="11.140625" style="42" customWidth="1"/>
    <col min="17" max="17" width="11.140625" style="43" customWidth="1"/>
    <col min="18" max="18" width="11.140625" style="82" customWidth="1"/>
    <col min="19" max="19" width="11.140625" style="42" customWidth="1"/>
    <col min="20" max="21" width="11.140625" style="43" customWidth="1"/>
    <col min="22" max="22" width="11.140625" style="42" customWidth="1"/>
    <col min="23" max="23" width="11.140625" style="43" customWidth="1"/>
    <col min="24" max="26" width="11.140625" style="96" customWidth="1"/>
    <col min="27" max="27" width="11.140625" style="82" customWidth="1"/>
    <col min="28" max="28" width="11.7109375" style="44" customWidth="1"/>
    <col min="29" max="29" width="11.140625" style="43" customWidth="1"/>
    <col min="30" max="30" width="9.7109375" style="42" customWidth="1"/>
    <col min="31" max="47" width="9.7109375" style="78" customWidth="1"/>
    <col min="48" max="16384" width="8.7109375" style="78"/>
  </cols>
  <sheetData>
    <row r="1" spans="1:79" s="232" customFormat="1" ht="30.75" customHeight="1" thickBot="1" x14ac:dyDescent="0.3">
      <c r="A1" s="231"/>
      <c r="B1" s="258" t="s">
        <v>217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60"/>
      <c r="AD1" s="101"/>
    </row>
    <row r="2" spans="1:79" s="30" customFormat="1" ht="30" customHeight="1" thickBot="1" x14ac:dyDescent="0.3">
      <c r="A2" s="261" t="s">
        <v>107</v>
      </c>
      <c r="B2" s="263" t="s">
        <v>108</v>
      </c>
      <c r="C2" s="192" t="s">
        <v>80</v>
      </c>
      <c r="D2" s="193"/>
      <c r="E2" s="194"/>
      <c r="F2" s="192" t="s">
        <v>83</v>
      </c>
      <c r="G2" s="193"/>
      <c r="H2" s="194"/>
      <c r="I2" s="192" t="s">
        <v>87</v>
      </c>
      <c r="J2" s="193"/>
      <c r="K2" s="194"/>
      <c r="L2" s="192" t="s">
        <v>88</v>
      </c>
      <c r="M2" s="193"/>
      <c r="N2" s="194"/>
      <c r="O2" s="192" t="s">
        <v>89</v>
      </c>
      <c r="P2" s="193"/>
      <c r="Q2" s="194"/>
      <c r="R2" s="192" t="s">
        <v>90</v>
      </c>
      <c r="S2" s="193"/>
      <c r="T2" s="194"/>
      <c r="U2" s="265" t="s">
        <v>91</v>
      </c>
      <c r="V2" s="266"/>
      <c r="W2" s="267"/>
      <c r="X2" s="190" t="s">
        <v>92</v>
      </c>
      <c r="Y2" s="191"/>
      <c r="Z2" s="191"/>
      <c r="AA2" s="192" t="s">
        <v>23</v>
      </c>
      <c r="AB2" s="193"/>
      <c r="AC2" s="194"/>
      <c r="AD2" s="29"/>
    </row>
    <row r="3" spans="1:79" s="36" customFormat="1" ht="30" customHeight="1" thickBot="1" x14ac:dyDescent="0.3">
      <c r="A3" s="262"/>
      <c r="B3" s="264"/>
      <c r="C3" s="128">
        <v>43281</v>
      </c>
      <c r="D3" s="129" t="s">
        <v>208</v>
      </c>
      <c r="E3" s="128">
        <v>43646</v>
      </c>
      <c r="F3" s="31">
        <v>43281</v>
      </c>
      <c r="G3" s="32" t="s">
        <v>208</v>
      </c>
      <c r="H3" s="33">
        <v>43646</v>
      </c>
      <c r="I3" s="31">
        <v>43281</v>
      </c>
      <c r="J3" s="32" t="s">
        <v>208</v>
      </c>
      <c r="K3" s="33">
        <v>43646</v>
      </c>
      <c r="L3" s="31">
        <v>43281</v>
      </c>
      <c r="M3" s="32" t="s">
        <v>208</v>
      </c>
      <c r="N3" s="33">
        <v>43646</v>
      </c>
      <c r="O3" s="31">
        <v>43281</v>
      </c>
      <c r="P3" s="32" t="s">
        <v>208</v>
      </c>
      <c r="Q3" s="33">
        <v>43646</v>
      </c>
      <c r="R3" s="31">
        <v>43281</v>
      </c>
      <c r="S3" s="32" t="s">
        <v>208</v>
      </c>
      <c r="T3" s="33">
        <v>43646</v>
      </c>
      <c r="U3" s="31">
        <v>43281</v>
      </c>
      <c r="V3" s="32" t="s">
        <v>208</v>
      </c>
      <c r="W3" s="33">
        <v>43646</v>
      </c>
      <c r="X3" s="31">
        <v>43281</v>
      </c>
      <c r="Y3" s="32" t="s">
        <v>208</v>
      </c>
      <c r="Z3" s="95">
        <v>43646</v>
      </c>
      <c r="AA3" s="31">
        <v>43281</v>
      </c>
      <c r="AB3" s="32" t="s">
        <v>208</v>
      </c>
      <c r="AC3" s="95">
        <v>43646</v>
      </c>
      <c r="AD3" s="256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</row>
    <row r="4" spans="1:79" s="37" customFormat="1" ht="24.4" customHeight="1" thickBot="1" x14ac:dyDescent="0.3">
      <c r="A4" s="189"/>
      <c r="B4" s="131" t="s">
        <v>109</v>
      </c>
      <c r="C4" s="131"/>
      <c r="D4" s="132"/>
      <c r="E4" s="133"/>
      <c r="F4" s="134"/>
      <c r="G4" s="135"/>
      <c r="H4" s="136"/>
      <c r="I4" s="134"/>
      <c r="J4" s="135"/>
      <c r="K4" s="136"/>
      <c r="L4" s="134"/>
      <c r="M4" s="135"/>
      <c r="N4" s="136"/>
      <c r="O4" s="134"/>
      <c r="P4" s="135"/>
      <c r="Q4" s="136"/>
      <c r="R4" s="134"/>
      <c r="S4" s="135"/>
      <c r="T4" s="136"/>
      <c r="U4" s="137"/>
      <c r="V4" s="135"/>
      <c r="W4" s="136"/>
      <c r="X4" s="138"/>
      <c r="Y4" s="135"/>
      <c r="Z4" s="132"/>
      <c r="AA4" s="139"/>
      <c r="AB4" s="139"/>
      <c r="AC4" s="140"/>
      <c r="AD4" s="38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</row>
    <row r="5" spans="1:79" s="42" customFormat="1" ht="24.4" customHeight="1" thickBot="1" x14ac:dyDescent="0.3">
      <c r="A5" s="41" t="s">
        <v>110</v>
      </c>
      <c r="B5" s="142" t="s">
        <v>111</v>
      </c>
      <c r="C5" s="143">
        <v>14253</v>
      </c>
      <c r="D5" s="144">
        <v>0</v>
      </c>
      <c r="E5" s="145">
        <f>C5+D5</f>
        <v>14253</v>
      </c>
      <c r="F5" s="146"/>
      <c r="G5" s="114"/>
      <c r="H5" s="115"/>
      <c r="I5" s="146"/>
      <c r="J5" s="114"/>
      <c r="K5" s="115"/>
      <c r="L5" s="146"/>
      <c r="M5" s="114"/>
      <c r="N5" s="115"/>
      <c r="O5" s="146"/>
      <c r="P5" s="114"/>
      <c r="Q5" s="115"/>
      <c r="R5" s="146"/>
      <c r="S5" s="114"/>
      <c r="T5" s="115"/>
      <c r="U5" s="116"/>
      <c r="V5" s="114"/>
      <c r="W5" s="115"/>
      <c r="X5" s="113"/>
      <c r="Y5" s="114"/>
      <c r="Z5" s="144"/>
      <c r="AA5" s="143">
        <f>I5+L5+O5+R5+U5+C5+F5+X5</f>
        <v>14253</v>
      </c>
      <c r="AB5" s="143">
        <f>J5+M5+P5+S5+V5+D5+G5+Y5</f>
        <v>0</v>
      </c>
      <c r="AC5" s="147">
        <f>K5+N5+Q5+T5+W5+E5+H5+Z5</f>
        <v>14253</v>
      </c>
      <c r="AD5" s="45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</row>
    <row r="6" spans="1:79" s="42" customFormat="1" ht="24.4" customHeight="1" thickBot="1" x14ac:dyDescent="0.3">
      <c r="A6" s="41" t="s">
        <v>112</v>
      </c>
      <c r="B6" s="148" t="s">
        <v>113</v>
      </c>
      <c r="C6" s="149">
        <v>149620</v>
      </c>
      <c r="D6" s="150">
        <f>E6-C6</f>
        <v>0</v>
      </c>
      <c r="E6" s="151">
        <v>149620</v>
      </c>
      <c r="F6" s="152"/>
      <c r="G6" s="153"/>
      <c r="H6" s="154"/>
      <c r="I6" s="152"/>
      <c r="J6" s="153"/>
      <c r="K6" s="154"/>
      <c r="L6" s="152"/>
      <c r="M6" s="153"/>
      <c r="N6" s="154"/>
      <c r="O6" s="152"/>
      <c r="P6" s="153"/>
      <c r="Q6" s="154"/>
      <c r="R6" s="152"/>
      <c r="S6" s="153"/>
      <c r="T6" s="154"/>
      <c r="U6" s="155"/>
      <c r="V6" s="153"/>
      <c r="W6" s="154"/>
      <c r="X6" s="156"/>
      <c r="Y6" s="153"/>
      <c r="Z6" s="150"/>
      <c r="AA6" s="149">
        <f t="shared" ref="AA6:AA12" si="0">I6+L6+O6+R6+U6+C6+F6+X6</f>
        <v>149620</v>
      </c>
      <c r="AB6" s="149">
        <f t="shared" ref="AB6:AB12" si="1">J6+M6+P6+S6+V6+D6+G6+Y6</f>
        <v>0</v>
      </c>
      <c r="AC6" s="157">
        <f t="shared" ref="AC6:AC12" si="2">K6+N6+Q6+T6+W6+E6+H6+Z6</f>
        <v>149620</v>
      </c>
      <c r="AD6" s="45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</row>
    <row r="7" spans="1:79" s="42" customFormat="1" ht="24.4" customHeight="1" thickBot="1" x14ac:dyDescent="0.3">
      <c r="A7" s="41" t="s">
        <v>199</v>
      </c>
      <c r="B7" s="142" t="s">
        <v>200</v>
      </c>
      <c r="C7" s="143">
        <v>0</v>
      </c>
      <c r="D7" s="144">
        <f>E7-C7</f>
        <v>0</v>
      </c>
      <c r="E7" s="145">
        <v>0</v>
      </c>
      <c r="F7" s="146"/>
      <c r="G7" s="114"/>
      <c r="H7" s="115"/>
      <c r="I7" s="146"/>
      <c r="J7" s="114"/>
      <c r="K7" s="115"/>
      <c r="L7" s="146"/>
      <c r="M7" s="114"/>
      <c r="N7" s="115"/>
      <c r="O7" s="146"/>
      <c r="P7" s="114"/>
      <c r="Q7" s="115"/>
      <c r="R7" s="146"/>
      <c r="S7" s="114"/>
      <c r="T7" s="115"/>
      <c r="U7" s="116"/>
      <c r="V7" s="114"/>
      <c r="W7" s="115"/>
      <c r="X7" s="113"/>
      <c r="Y7" s="114"/>
      <c r="Z7" s="144"/>
      <c r="AA7" s="143">
        <v>0</v>
      </c>
      <c r="AB7" s="143">
        <v>0</v>
      </c>
      <c r="AC7" s="147">
        <v>0</v>
      </c>
      <c r="AD7" s="45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</row>
    <row r="8" spans="1:79" s="42" customFormat="1" ht="24.4" customHeight="1" thickBot="1" x14ac:dyDescent="0.3">
      <c r="A8" s="41" t="s">
        <v>114</v>
      </c>
      <c r="B8" s="158" t="s">
        <v>115</v>
      </c>
      <c r="C8" s="151">
        <v>57767.94</v>
      </c>
      <c r="D8" s="150">
        <f>E8-C8</f>
        <v>-6389</v>
      </c>
      <c r="E8" s="151">
        <v>51378.94</v>
      </c>
      <c r="F8" s="152"/>
      <c r="G8" s="153"/>
      <c r="H8" s="154"/>
      <c r="I8" s="152"/>
      <c r="J8" s="153"/>
      <c r="K8" s="154"/>
      <c r="L8" s="152"/>
      <c r="M8" s="153"/>
      <c r="N8" s="154"/>
      <c r="O8" s="152"/>
      <c r="P8" s="153"/>
      <c r="Q8" s="154"/>
      <c r="R8" s="152"/>
      <c r="S8" s="153"/>
      <c r="T8" s="154"/>
      <c r="U8" s="155"/>
      <c r="V8" s="153"/>
      <c r="W8" s="154"/>
      <c r="X8" s="156"/>
      <c r="Y8" s="153"/>
      <c r="Z8" s="150"/>
      <c r="AA8" s="149">
        <f t="shared" si="0"/>
        <v>57767.94</v>
      </c>
      <c r="AB8" s="149">
        <f t="shared" si="1"/>
        <v>-6389</v>
      </c>
      <c r="AC8" s="157">
        <f t="shared" si="2"/>
        <v>51378.94</v>
      </c>
      <c r="AD8" s="45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</row>
    <row r="9" spans="1:79" s="42" customFormat="1" ht="24.4" customHeight="1" thickBot="1" x14ac:dyDescent="0.3">
      <c r="A9" s="104" t="s">
        <v>116</v>
      </c>
      <c r="B9" s="142" t="s">
        <v>117</v>
      </c>
      <c r="C9" s="143">
        <v>17820</v>
      </c>
      <c r="D9" s="160">
        <f>E9-C9</f>
        <v>-1980</v>
      </c>
      <c r="E9" s="143">
        <v>15840</v>
      </c>
      <c r="F9" s="146"/>
      <c r="G9" s="114"/>
      <c r="H9" s="115"/>
      <c r="I9" s="146"/>
      <c r="J9" s="114"/>
      <c r="K9" s="115"/>
      <c r="L9" s="146"/>
      <c r="M9" s="114"/>
      <c r="N9" s="115"/>
      <c r="O9" s="146"/>
      <c r="P9" s="114"/>
      <c r="Q9" s="115"/>
      <c r="R9" s="146"/>
      <c r="S9" s="114"/>
      <c r="T9" s="115"/>
      <c r="U9" s="116"/>
      <c r="V9" s="114"/>
      <c r="W9" s="115"/>
      <c r="X9" s="113"/>
      <c r="Y9" s="114"/>
      <c r="Z9" s="144"/>
      <c r="AA9" s="143">
        <f t="shared" si="0"/>
        <v>17820</v>
      </c>
      <c r="AB9" s="143">
        <f t="shared" si="1"/>
        <v>-1980</v>
      </c>
      <c r="AC9" s="147">
        <f t="shared" si="2"/>
        <v>15840</v>
      </c>
      <c r="AD9" s="45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</row>
    <row r="10" spans="1:79" s="49" customFormat="1" ht="24.4" customHeight="1" thickBot="1" x14ac:dyDescent="0.3">
      <c r="A10" s="48"/>
      <c r="B10" s="131" t="s">
        <v>178</v>
      </c>
      <c r="C10" s="161"/>
      <c r="D10" s="137"/>
      <c r="E10" s="133"/>
      <c r="F10" s="161"/>
      <c r="G10" s="135"/>
      <c r="H10" s="136"/>
      <c r="I10" s="161"/>
      <c r="J10" s="135"/>
      <c r="K10" s="136"/>
      <c r="L10" s="161"/>
      <c r="M10" s="135"/>
      <c r="N10" s="136"/>
      <c r="O10" s="161"/>
      <c r="P10" s="135"/>
      <c r="Q10" s="136"/>
      <c r="R10" s="161"/>
      <c r="S10" s="135"/>
      <c r="T10" s="136"/>
      <c r="U10" s="137"/>
      <c r="V10" s="135"/>
      <c r="W10" s="136"/>
      <c r="X10" s="138"/>
      <c r="Y10" s="135"/>
      <c r="Z10" s="132"/>
      <c r="AA10" s="162"/>
      <c r="AB10" s="133"/>
      <c r="AC10" s="163"/>
      <c r="AD10" s="45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</row>
    <row r="11" spans="1:79" s="42" customFormat="1" ht="24.4" customHeight="1" thickBot="1" x14ac:dyDescent="0.3">
      <c r="A11" s="41" t="s">
        <v>180</v>
      </c>
      <c r="B11" s="142" t="s">
        <v>179</v>
      </c>
      <c r="C11" s="115">
        <v>13539.27</v>
      </c>
      <c r="D11" s="114">
        <f>E11-C11</f>
        <v>-2114.0100000000002</v>
      </c>
      <c r="E11" s="115">
        <v>11425.26</v>
      </c>
      <c r="F11" s="146"/>
      <c r="G11" s="114"/>
      <c r="H11" s="115"/>
      <c r="I11" s="146"/>
      <c r="J11" s="114"/>
      <c r="K11" s="115"/>
      <c r="L11" s="146"/>
      <c r="M11" s="114"/>
      <c r="N11" s="115"/>
      <c r="O11" s="146"/>
      <c r="P11" s="114"/>
      <c r="Q11" s="115"/>
      <c r="R11" s="146">
        <v>2000</v>
      </c>
      <c r="S11" s="114">
        <f>T11-R11</f>
        <v>0</v>
      </c>
      <c r="T11" s="115">
        <v>2000</v>
      </c>
      <c r="U11" s="116"/>
      <c r="V11" s="114"/>
      <c r="W11" s="115"/>
      <c r="X11" s="113"/>
      <c r="Y11" s="114"/>
      <c r="Z11" s="144"/>
      <c r="AA11" s="143">
        <f t="shared" si="0"/>
        <v>15539.27</v>
      </c>
      <c r="AB11" s="143">
        <f t="shared" si="1"/>
        <v>-2114.0100000000002</v>
      </c>
      <c r="AC11" s="147">
        <f t="shared" si="2"/>
        <v>13425.26</v>
      </c>
      <c r="AD11" s="45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</row>
    <row r="12" spans="1:79" s="42" customFormat="1" ht="24.4" customHeight="1" thickBot="1" x14ac:dyDescent="0.3">
      <c r="A12" s="41" t="s">
        <v>181</v>
      </c>
      <c r="B12" s="142" t="s">
        <v>182</v>
      </c>
      <c r="C12" s="146">
        <v>0</v>
      </c>
      <c r="D12" s="114">
        <f>E12-C12</f>
        <v>0</v>
      </c>
      <c r="E12" s="115">
        <v>0</v>
      </c>
      <c r="F12" s="146"/>
      <c r="G12" s="114"/>
      <c r="H12" s="115"/>
      <c r="I12" s="146"/>
      <c r="J12" s="114">
        <f>K12-I12</f>
        <v>0</v>
      </c>
      <c r="K12" s="115"/>
      <c r="L12" s="146">
        <v>2000</v>
      </c>
      <c r="M12" s="114">
        <f>N12-L12</f>
        <v>-500</v>
      </c>
      <c r="N12" s="115">
        <v>1500</v>
      </c>
      <c r="O12" s="146">
        <v>5000</v>
      </c>
      <c r="P12" s="114">
        <f>Q12-O12</f>
        <v>-1000</v>
      </c>
      <c r="Q12" s="115">
        <v>4000</v>
      </c>
      <c r="R12" s="146">
        <v>5000</v>
      </c>
      <c r="S12" s="114">
        <f>T12-R12</f>
        <v>-1000</v>
      </c>
      <c r="T12" s="115">
        <v>4000</v>
      </c>
      <c r="U12" s="116">
        <v>5000</v>
      </c>
      <c r="V12" s="114">
        <f>W12-U12</f>
        <v>-1000</v>
      </c>
      <c r="W12" s="115">
        <v>4000</v>
      </c>
      <c r="X12" s="113"/>
      <c r="Y12" s="114"/>
      <c r="Z12" s="144"/>
      <c r="AA12" s="143">
        <f t="shared" si="0"/>
        <v>17000</v>
      </c>
      <c r="AB12" s="143">
        <f t="shared" si="1"/>
        <v>-3500</v>
      </c>
      <c r="AC12" s="147">
        <f t="shared" si="2"/>
        <v>13500</v>
      </c>
      <c r="AD12" s="45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</row>
    <row r="13" spans="1:79" s="49" customFormat="1" ht="24.4" customHeight="1" thickBot="1" x14ac:dyDescent="0.3">
      <c r="A13" s="48"/>
      <c r="B13" s="131" t="s">
        <v>118</v>
      </c>
      <c r="C13" s="165"/>
      <c r="D13" s="169"/>
      <c r="E13" s="163"/>
      <c r="F13" s="161"/>
      <c r="G13" s="135"/>
      <c r="H13" s="136"/>
      <c r="I13" s="161"/>
      <c r="J13" s="135"/>
      <c r="K13" s="136"/>
      <c r="L13" s="161"/>
      <c r="M13" s="135"/>
      <c r="N13" s="136"/>
      <c r="O13" s="161"/>
      <c r="P13" s="135"/>
      <c r="Q13" s="136"/>
      <c r="R13" s="161"/>
      <c r="S13" s="135"/>
      <c r="T13" s="136"/>
      <c r="U13" s="137"/>
      <c r="V13" s="135"/>
      <c r="W13" s="136"/>
      <c r="X13" s="138"/>
      <c r="Y13" s="135"/>
      <c r="Z13" s="132"/>
      <c r="AA13" s="162"/>
      <c r="AB13" s="133"/>
      <c r="AC13" s="163"/>
      <c r="AD13" s="45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</row>
    <row r="14" spans="1:79" s="42" customFormat="1" ht="24.4" customHeight="1" thickBot="1" x14ac:dyDescent="0.3">
      <c r="A14" s="41" t="s">
        <v>119</v>
      </c>
      <c r="B14" s="142" t="s">
        <v>120</v>
      </c>
      <c r="C14" s="166">
        <v>3095</v>
      </c>
      <c r="D14" s="145">
        <f>E14-C14</f>
        <v>2886.09</v>
      </c>
      <c r="E14" s="147">
        <v>5981.09</v>
      </c>
      <c r="F14" s="146"/>
      <c r="G14" s="114"/>
      <c r="H14" s="115"/>
      <c r="I14" s="146"/>
      <c r="J14" s="114"/>
      <c r="K14" s="115"/>
      <c r="L14" s="146"/>
      <c r="M14" s="114"/>
      <c r="N14" s="115"/>
      <c r="O14" s="146"/>
      <c r="P14" s="114"/>
      <c r="Q14" s="115"/>
      <c r="R14" s="146"/>
      <c r="S14" s="114"/>
      <c r="T14" s="115"/>
      <c r="U14" s="116"/>
      <c r="V14" s="114"/>
      <c r="W14" s="115"/>
      <c r="X14" s="113"/>
      <c r="Y14" s="114"/>
      <c r="Z14" s="144"/>
      <c r="AA14" s="166">
        <f>I14+L14+O14+R14+U14+C14+F14+X14</f>
        <v>3095</v>
      </c>
      <c r="AB14" s="143">
        <f>J14+M14+P14+S14+V14+D14+G14+Y14</f>
        <v>2886.09</v>
      </c>
      <c r="AC14" s="147">
        <f>K14+N14+Q14+T14+W14+E14+H14+Z14</f>
        <v>5981.09</v>
      </c>
      <c r="AD14" s="45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</row>
    <row r="15" spans="1:79" s="42" customFormat="1" ht="24.4" customHeight="1" thickBot="1" x14ac:dyDescent="0.3">
      <c r="A15" s="41" t="s">
        <v>121</v>
      </c>
      <c r="B15" s="148" t="s">
        <v>122</v>
      </c>
      <c r="C15" s="170">
        <v>0</v>
      </c>
      <c r="D15" s="151">
        <f>E15-C15</f>
        <v>0</v>
      </c>
      <c r="E15" s="171">
        <f>'[3]tegoeden-tebetalen'!B34</f>
        <v>0</v>
      </c>
      <c r="F15" s="152"/>
      <c r="G15" s="153"/>
      <c r="H15" s="154"/>
      <c r="I15" s="152"/>
      <c r="J15" s="153"/>
      <c r="K15" s="154">
        <v>0</v>
      </c>
      <c r="L15" s="152"/>
      <c r="M15" s="153"/>
      <c r="N15" s="154"/>
      <c r="O15" s="152"/>
      <c r="P15" s="153"/>
      <c r="Q15" s="154"/>
      <c r="R15" s="152"/>
      <c r="S15" s="153"/>
      <c r="T15" s="154"/>
      <c r="U15" s="155"/>
      <c r="V15" s="153"/>
      <c r="W15" s="154"/>
      <c r="X15" s="156"/>
      <c r="Y15" s="153"/>
      <c r="Z15" s="150"/>
      <c r="AA15" s="170">
        <f t="shared" ref="AA15:AA17" si="3">I15+L15+O15+R15+U15+C15+F15+X15</f>
        <v>0</v>
      </c>
      <c r="AB15" s="149">
        <f t="shared" ref="AB15:AB17" si="4">J15+M15+P15+S15+V15+D15+G15+Y15</f>
        <v>0</v>
      </c>
      <c r="AC15" s="157">
        <f t="shared" ref="AC15:AC17" si="5">K15+N15+Q15+T15+W15+E15+H15+Z15</f>
        <v>0</v>
      </c>
      <c r="AD15" s="45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</row>
    <row r="16" spans="1:79" s="42" customFormat="1" ht="24.4" customHeight="1" thickBot="1" x14ac:dyDescent="0.3">
      <c r="A16" s="41" t="s">
        <v>194</v>
      </c>
      <c r="B16" s="142" t="s">
        <v>195</v>
      </c>
      <c r="C16" s="172">
        <v>13764.55</v>
      </c>
      <c r="D16" s="145">
        <f>E16-C16</f>
        <v>7318.25</v>
      </c>
      <c r="E16" s="147">
        <v>21082.799999999999</v>
      </c>
      <c r="F16" s="146">
        <v>0</v>
      </c>
      <c r="G16" s="114">
        <f>H16-F16</f>
        <v>0</v>
      </c>
      <c r="H16" s="115">
        <v>0</v>
      </c>
      <c r="I16" s="115">
        <v>1344.4</v>
      </c>
      <c r="J16" s="114">
        <f>K16-I16</f>
        <v>268.39999999999986</v>
      </c>
      <c r="K16" s="115">
        <f>1502.8+110</f>
        <v>1612.8</v>
      </c>
      <c r="L16" s="146">
        <v>240</v>
      </c>
      <c r="M16" s="114">
        <f>N16-L16</f>
        <v>-96.800000000000011</v>
      </c>
      <c r="N16" s="115">
        <v>143.19999999999999</v>
      </c>
      <c r="O16" s="146">
        <v>181.8</v>
      </c>
      <c r="P16" s="114">
        <f>Q16-O16</f>
        <v>-181.8</v>
      </c>
      <c r="Q16" s="115">
        <v>0</v>
      </c>
      <c r="R16" s="146">
        <v>2390</v>
      </c>
      <c r="S16" s="114">
        <f>T16-R16</f>
        <v>112.48000000000002</v>
      </c>
      <c r="T16" s="115">
        <v>2502.48</v>
      </c>
      <c r="U16" s="116">
        <v>498</v>
      </c>
      <c r="V16" s="114">
        <f>W16-U16</f>
        <v>30.799999999999955</v>
      </c>
      <c r="W16" s="115">
        <v>528.79999999999995</v>
      </c>
      <c r="X16" s="113">
        <v>196</v>
      </c>
      <c r="Y16" s="114">
        <f>Z16-X16</f>
        <v>-196</v>
      </c>
      <c r="Z16" s="144">
        <v>0</v>
      </c>
      <c r="AA16" s="166">
        <f t="shared" si="3"/>
        <v>18614.75</v>
      </c>
      <c r="AB16" s="143">
        <f t="shared" si="4"/>
        <v>7255.33</v>
      </c>
      <c r="AC16" s="147">
        <f t="shared" si="5"/>
        <v>25870.079999999998</v>
      </c>
      <c r="AD16" s="45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</row>
    <row r="17" spans="1:79" s="42" customFormat="1" ht="24.4" customHeight="1" thickBot="1" x14ac:dyDescent="0.3">
      <c r="A17" s="41" t="s">
        <v>123</v>
      </c>
      <c r="B17" s="148" t="s">
        <v>124</v>
      </c>
      <c r="C17" s="171">
        <v>5731.48</v>
      </c>
      <c r="D17" s="151">
        <f>E17-C17</f>
        <v>1245.8700000000008</v>
      </c>
      <c r="E17" s="157">
        <v>6977.35</v>
      </c>
      <c r="F17" s="154">
        <v>15736.1</v>
      </c>
      <c r="G17" s="153">
        <f>H17-F17</f>
        <v>-610.40999999999985</v>
      </c>
      <c r="H17" s="154">
        <v>15125.69</v>
      </c>
      <c r="I17" s="152">
        <v>123.7</v>
      </c>
      <c r="J17" s="153">
        <f>K17-I17</f>
        <v>361.3</v>
      </c>
      <c r="K17" s="154">
        <v>485</v>
      </c>
      <c r="L17" s="152"/>
      <c r="M17" s="153"/>
      <c r="N17" s="154"/>
      <c r="O17" s="152"/>
      <c r="P17" s="153"/>
      <c r="Q17" s="154"/>
      <c r="R17" s="152">
        <v>0</v>
      </c>
      <c r="S17" s="153">
        <f>T17-R17</f>
        <v>0</v>
      </c>
      <c r="T17" s="154">
        <v>0</v>
      </c>
      <c r="U17" s="155"/>
      <c r="V17" s="153"/>
      <c r="W17" s="154"/>
      <c r="X17" s="156"/>
      <c r="Y17" s="114">
        <f>Z17-X17</f>
        <v>1140.77</v>
      </c>
      <c r="Z17" s="150">
        <v>1140.77</v>
      </c>
      <c r="AA17" s="170">
        <f t="shared" si="3"/>
        <v>21591.279999999999</v>
      </c>
      <c r="AB17" s="149">
        <f t="shared" si="4"/>
        <v>2137.5300000000007</v>
      </c>
      <c r="AC17" s="141">
        <f t="shared" si="5"/>
        <v>23728.81</v>
      </c>
      <c r="AD17" s="45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</row>
    <row r="18" spans="1:79" s="49" customFormat="1" ht="24.4" customHeight="1" thickBot="1" x14ac:dyDescent="0.3">
      <c r="A18" s="48"/>
      <c r="B18" s="173" t="s">
        <v>125</v>
      </c>
      <c r="C18" s="174"/>
      <c r="D18" s="175"/>
      <c r="E18" s="176"/>
      <c r="F18" s="177"/>
      <c r="G18" s="178"/>
      <c r="H18" s="179"/>
      <c r="I18" s="177"/>
      <c r="J18" s="178"/>
      <c r="K18" s="179"/>
      <c r="L18" s="177"/>
      <c r="M18" s="178"/>
      <c r="N18" s="179"/>
      <c r="O18" s="177"/>
      <c r="P18" s="178"/>
      <c r="Q18" s="179"/>
      <c r="R18" s="177"/>
      <c r="S18" s="178"/>
      <c r="T18" s="179"/>
      <c r="U18" s="180"/>
      <c r="V18" s="178"/>
      <c r="W18" s="179"/>
      <c r="X18" s="181"/>
      <c r="Y18" s="178"/>
      <c r="Z18" s="182"/>
      <c r="AA18" s="174"/>
      <c r="AB18" s="175"/>
      <c r="AC18" s="130"/>
      <c r="AD18" s="45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</row>
    <row r="19" spans="1:79" s="42" customFormat="1" ht="24.4" customHeight="1" thickBot="1" x14ac:dyDescent="0.3">
      <c r="A19" s="41" t="s">
        <v>126</v>
      </c>
      <c r="B19" s="148" t="s">
        <v>127</v>
      </c>
      <c r="C19" s="170">
        <v>0</v>
      </c>
      <c r="D19" s="151">
        <f>E19-C19</f>
        <v>0</v>
      </c>
      <c r="E19" s="171">
        <v>0</v>
      </c>
      <c r="F19" s="152"/>
      <c r="G19" s="151">
        <f>H19-F19</f>
        <v>521.15</v>
      </c>
      <c r="H19" s="154">
        <v>521.15</v>
      </c>
      <c r="I19" s="152"/>
      <c r="J19" s="153"/>
      <c r="K19" s="154"/>
      <c r="L19" s="152"/>
      <c r="M19" s="153"/>
      <c r="N19" s="154"/>
      <c r="O19" s="154">
        <v>351.65</v>
      </c>
      <c r="P19" s="153">
        <f>Q19-O19</f>
        <v>-9.0999999999999659</v>
      </c>
      <c r="Q19" s="154">
        <v>342.55</v>
      </c>
      <c r="R19" s="152">
        <v>169.5</v>
      </c>
      <c r="S19" s="153">
        <f>T19-R19</f>
        <v>-81.5</v>
      </c>
      <c r="T19" s="154">
        <f>228-140</f>
        <v>88</v>
      </c>
      <c r="U19" s="155"/>
      <c r="V19" s="153"/>
      <c r="W19" s="154"/>
      <c r="X19" s="156"/>
      <c r="Y19" s="153"/>
      <c r="Z19" s="150"/>
      <c r="AA19" s="170">
        <f t="shared" ref="AA19:AC20" si="6">I19+L19+O19+R19+U19+C19+F19+X19</f>
        <v>521.15</v>
      </c>
      <c r="AB19" s="149">
        <f t="shared" si="6"/>
        <v>430.55</v>
      </c>
      <c r="AC19" s="183">
        <f t="shared" si="6"/>
        <v>951.7</v>
      </c>
      <c r="AD19" s="45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</row>
    <row r="20" spans="1:79" s="42" customFormat="1" ht="24.4" customHeight="1" thickBot="1" x14ac:dyDescent="0.3">
      <c r="A20" s="41" t="s">
        <v>128</v>
      </c>
      <c r="B20" s="142" t="s">
        <v>129</v>
      </c>
      <c r="C20" s="172">
        <v>5017.25</v>
      </c>
      <c r="D20" s="145">
        <f>E20-C20</f>
        <v>-2823.5499999999997</v>
      </c>
      <c r="E20" s="172">
        <f>2193.42+0.28</f>
        <v>2193.7000000000003</v>
      </c>
      <c r="F20" s="115">
        <v>13754.619999999999</v>
      </c>
      <c r="G20" s="114">
        <f>H20-F20</f>
        <v>-4707.2000000000007</v>
      </c>
      <c r="H20" s="254">
        <f>13362.71-4315.29</f>
        <v>9047.4199999999983</v>
      </c>
      <c r="I20" s="115">
        <v>10071.540000000001</v>
      </c>
      <c r="J20" s="114">
        <f>K20-I20</f>
        <v>383.7599999999984</v>
      </c>
      <c r="K20" s="115">
        <v>10455.299999999999</v>
      </c>
      <c r="L20" s="146">
        <v>10263</v>
      </c>
      <c r="M20" s="114">
        <f>N20-L20</f>
        <v>5192.8099999999995</v>
      </c>
      <c r="N20" s="115">
        <v>15455.81</v>
      </c>
      <c r="O20" s="146">
        <v>9620.1</v>
      </c>
      <c r="P20" s="114">
        <f>Q20-O20</f>
        <v>3099.119999999999</v>
      </c>
      <c r="Q20" s="115">
        <v>12719.22</v>
      </c>
      <c r="R20" s="115">
        <v>15421.31</v>
      </c>
      <c r="S20" s="114">
        <f>T20-R20</f>
        <v>5348.840000000002</v>
      </c>
      <c r="T20" s="112">
        <v>20770.150000000001</v>
      </c>
      <c r="U20" s="116">
        <v>12056</v>
      </c>
      <c r="V20" s="114">
        <f>W20-U20</f>
        <v>2410</v>
      </c>
      <c r="W20" s="115">
        <v>14466</v>
      </c>
      <c r="X20" s="113">
        <v>730</v>
      </c>
      <c r="Y20" s="114">
        <f>Z20-X20</f>
        <v>1009.45</v>
      </c>
      <c r="Z20" s="144">
        <v>1739.45</v>
      </c>
      <c r="AA20" s="166">
        <f t="shared" si="6"/>
        <v>76933.819999999992</v>
      </c>
      <c r="AB20" s="143">
        <f t="shared" si="6"/>
        <v>9913.23</v>
      </c>
      <c r="AC20" s="147">
        <f t="shared" si="6"/>
        <v>86847.05</v>
      </c>
      <c r="AD20" s="45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</row>
    <row r="21" spans="1:79" s="52" customFormat="1" ht="24.4" customHeight="1" thickBot="1" x14ac:dyDescent="0.3">
      <c r="A21" s="51"/>
      <c r="B21" s="162"/>
      <c r="C21" s="165"/>
      <c r="D21" s="133"/>
      <c r="E21" s="163"/>
      <c r="F21" s="161"/>
      <c r="G21" s="135"/>
      <c r="H21" s="136"/>
      <c r="I21" s="161"/>
      <c r="J21" s="135"/>
      <c r="K21" s="136"/>
      <c r="L21" s="161"/>
      <c r="M21" s="135"/>
      <c r="N21" s="136"/>
      <c r="O21" s="161"/>
      <c r="P21" s="135"/>
      <c r="Q21" s="136"/>
      <c r="R21" s="161"/>
      <c r="S21" s="135"/>
      <c r="T21" s="136"/>
      <c r="U21" s="137"/>
      <c r="V21" s="135"/>
      <c r="W21" s="184"/>
      <c r="X21" s="185"/>
      <c r="Y21" s="186"/>
      <c r="Z21" s="187"/>
      <c r="AA21" s="188"/>
      <c r="AB21" s="159"/>
      <c r="AC21" s="187"/>
      <c r="AD21" s="53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</row>
    <row r="22" spans="1:79" s="59" customFormat="1" ht="24.4" customHeight="1" thickBot="1" x14ac:dyDescent="0.3">
      <c r="A22" s="56"/>
      <c r="B22" s="57" t="s">
        <v>130</v>
      </c>
      <c r="C22" s="167">
        <f>SUM(C5:C20)</f>
        <v>280608.49</v>
      </c>
      <c r="D22" s="121">
        <f>SUM(D4:D20)</f>
        <v>-1856.349999999999</v>
      </c>
      <c r="E22" s="168">
        <f>SUM(E4:E20)</f>
        <v>278752.14</v>
      </c>
      <c r="F22" s="108">
        <f>SUM(F5:F20)</f>
        <v>29490.720000000001</v>
      </c>
      <c r="G22" s="109">
        <f>SUM(G4:G20)</f>
        <v>-4796.4600000000009</v>
      </c>
      <c r="H22" s="110">
        <f>SUM(H4:H20)</f>
        <v>24694.26</v>
      </c>
      <c r="I22" s="108">
        <f>SUM(I5:I20)</f>
        <v>11539.640000000001</v>
      </c>
      <c r="J22" s="109">
        <f>SUM(J4:J20)</f>
        <v>1013.4599999999982</v>
      </c>
      <c r="K22" s="110">
        <f>SUM(K4:K20)</f>
        <v>12553.099999999999</v>
      </c>
      <c r="L22" s="108">
        <f>SUM(L5:L20)</f>
        <v>12503</v>
      </c>
      <c r="M22" s="109">
        <f>SUM(M4:M20)</f>
        <v>4596.0099999999993</v>
      </c>
      <c r="N22" s="110">
        <f>SUM(N4:N20)</f>
        <v>17099.009999999998</v>
      </c>
      <c r="O22" s="108">
        <f>SUM(O5:O20)</f>
        <v>15153.55</v>
      </c>
      <c r="P22" s="109">
        <f>SUM(P4:P20)</f>
        <v>1908.2199999999991</v>
      </c>
      <c r="Q22" s="110">
        <f>SUM(Q4:Q20)</f>
        <v>17061.77</v>
      </c>
      <c r="R22" s="108">
        <f>SUM(R5:R20)</f>
        <v>24980.809999999998</v>
      </c>
      <c r="S22" s="109">
        <f t="shared" ref="S22:X22" si="7">SUM(S4:S20)</f>
        <v>4379.8200000000015</v>
      </c>
      <c r="T22" s="110">
        <f t="shared" si="7"/>
        <v>29360.63</v>
      </c>
      <c r="U22" s="111">
        <f t="shared" si="7"/>
        <v>17554</v>
      </c>
      <c r="V22" s="109">
        <f t="shared" si="7"/>
        <v>1440.8</v>
      </c>
      <c r="W22" s="110">
        <f t="shared" si="7"/>
        <v>18994.8</v>
      </c>
      <c r="X22" s="111">
        <f t="shared" si="7"/>
        <v>926</v>
      </c>
      <c r="Y22" s="111">
        <f>SUM(Y4:Y20)</f>
        <v>1954.22</v>
      </c>
      <c r="Z22" s="110">
        <f t="shared" ref="Z22" si="8">SUM(Z4:Z20)</f>
        <v>2880.2200000000003</v>
      </c>
      <c r="AA22" s="117">
        <f>I22+L22+O22+R22+U22+C22+F22+X22</f>
        <v>392756.20999999996</v>
      </c>
      <c r="AB22" s="118">
        <f>J22+M22+P22+S22+V22+D22+G22+Y22</f>
        <v>8639.7199999999975</v>
      </c>
      <c r="AC22" s="119">
        <f>K22+N22+Q22+T22+W22+E22+H22+Z22</f>
        <v>401395.93</v>
      </c>
      <c r="AD22" s="58"/>
    </row>
    <row r="23" spans="1:79" s="62" customFormat="1" ht="24.4" customHeight="1" thickBot="1" x14ac:dyDescent="0.3">
      <c r="A23" s="107"/>
      <c r="B23" s="230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7"/>
      <c r="AB23" s="127"/>
      <c r="AC23" s="233"/>
      <c r="AD23" s="61"/>
    </row>
    <row r="24" spans="1:79" s="30" customFormat="1" ht="30" customHeight="1" thickBot="1" x14ac:dyDescent="0.3">
      <c r="A24" s="261" t="s">
        <v>107</v>
      </c>
      <c r="B24" s="261" t="s">
        <v>131</v>
      </c>
      <c r="C24" s="26" t="s">
        <v>80</v>
      </c>
      <c r="D24" s="27"/>
      <c r="E24" s="28"/>
      <c r="F24" s="26" t="s">
        <v>83</v>
      </c>
      <c r="G24" s="27"/>
      <c r="H24" s="28"/>
      <c r="I24" s="26" t="s">
        <v>87</v>
      </c>
      <c r="J24" s="27"/>
      <c r="K24" s="28"/>
      <c r="L24" s="26" t="s">
        <v>88</v>
      </c>
      <c r="M24" s="27"/>
      <c r="N24" s="28"/>
      <c r="O24" s="26" t="s">
        <v>89</v>
      </c>
      <c r="P24" s="27"/>
      <c r="Q24" s="28"/>
      <c r="R24" s="26" t="s">
        <v>90</v>
      </c>
      <c r="S24" s="27"/>
      <c r="T24" s="28"/>
      <c r="U24" s="265" t="s">
        <v>91</v>
      </c>
      <c r="V24" s="266"/>
      <c r="W24" s="267"/>
      <c r="X24" s="94" t="s">
        <v>92</v>
      </c>
      <c r="Y24" s="94"/>
      <c r="Z24" s="94"/>
      <c r="AA24" s="26" t="s">
        <v>23</v>
      </c>
      <c r="AB24" s="27"/>
      <c r="AC24" s="28"/>
      <c r="AD24" s="29"/>
    </row>
    <row r="25" spans="1:79" s="36" customFormat="1" ht="30" customHeight="1" thickBot="1" x14ac:dyDescent="0.3">
      <c r="A25" s="262"/>
      <c r="B25" s="262"/>
      <c r="C25" s="31">
        <v>43281</v>
      </c>
      <c r="D25" s="32" t="s">
        <v>208</v>
      </c>
      <c r="E25" s="95">
        <v>43646</v>
      </c>
      <c r="F25" s="31">
        <v>43281</v>
      </c>
      <c r="G25" s="32" t="s">
        <v>208</v>
      </c>
      <c r="H25" s="95">
        <v>43646</v>
      </c>
      <c r="I25" s="31">
        <v>43281</v>
      </c>
      <c r="J25" s="32" t="s">
        <v>208</v>
      </c>
      <c r="K25" s="95">
        <v>43646</v>
      </c>
      <c r="L25" s="31">
        <v>43281</v>
      </c>
      <c r="M25" s="32" t="s">
        <v>208</v>
      </c>
      <c r="N25" s="95">
        <v>43646</v>
      </c>
      <c r="O25" s="31">
        <v>43281</v>
      </c>
      <c r="P25" s="32" t="s">
        <v>208</v>
      </c>
      <c r="Q25" s="95">
        <v>43646</v>
      </c>
      <c r="R25" s="31">
        <v>43281</v>
      </c>
      <c r="S25" s="32" t="s">
        <v>208</v>
      </c>
      <c r="T25" s="95">
        <v>43646</v>
      </c>
      <c r="U25" s="31">
        <v>43281</v>
      </c>
      <c r="V25" s="32" t="s">
        <v>208</v>
      </c>
      <c r="W25" s="95">
        <v>43646</v>
      </c>
      <c r="X25" s="31">
        <v>43281</v>
      </c>
      <c r="Y25" s="32" t="s">
        <v>208</v>
      </c>
      <c r="Z25" s="95">
        <v>43646</v>
      </c>
      <c r="AA25" s="31">
        <v>43281</v>
      </c>
      <c r="AB25" s="32" t="s">
        <v>208</v>
      </c>
      <c r="AC25" s="33">
        <v>43646</v>
      </c>
      <c r="AD25" s="34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</row>
    <row r="26" spans="1:79" s="37" customFormat="1" ht="24.4" customHeight="1" thickBot="1" x14ac:dyDescent="0.3">
      <c r="A26" s="189"/>
      <c r="B26" s="195" t="s">
        <v>132</v>
      </c>
      <c r="C26" s="196"/>
      <c r="D26" s="197"/>
      <c r="E26" s="136"/>
      <c r="F26" s="198"/>
      <c r="G26" s="135"/>
      <c r="H26" s="136"/>
      <c r="I26" s="198"/>
      <c r="J26" s="135"/>
      <c r="K26" s="136"/>
      <c r="L26" s="198"/>
      <c r="M26" s="135"/>
      <c r="N26" s="136"/>
      <c r="O26" s="198"/>
      <c r="P26" s="135"/>
      <c r="Q26" s="136"/>
      <c r="R26" s="198"/>
      <c r="S26" s="135"/>
      <c r="T26" s="136"/>
      <c r="U26" s="137"/>
      <c r="V26" s="135"/>
      <c r="W26" s="199"/>
      <c r="X26" s="138"/>
      <c r="Y26" s="197"/>
      <c r="Z26" s="132"/>
      <c r="AA26" s="200"/>
      <c r="AB26" s="201"/>
      <c r="AC26" s="199"/>
      <c r="AD26" s="38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</row>
    <row r="27" spans="1:79" s="42" customFormat="1" ht="24.4" customHeight="1" thickBot="1" x14ac:dyDescent="0.3">
      <c r="A27" s="41" t="s">
        <v>133</v>
      </c>
      <c r="B27" s="202" t="s">
        <v>134</v>
      </c>
      <c r="C27" s="203">
        <v>256654</v>
      </c>
      <c r="D27" s="114">
        <v>271.27999999999997</v>
      </c>
      <c r="E27" s="115">
        <f>E22-E29-E31-E32-E33-E35-E37-E38-E39-E40</f>
        <v>256926.31000000003</v>
      </c>
      <c r="F27" s="205">
        <v>1675</v>
      </c>
      <c r="G27" s="114">
        <v>8417</v>
      </c>
      <c r="H27" s="115">
        <f>H22-H29-H37-H39-H40</f>
        <v>10092.349999999997</v>
      </c>
      <c r="I27" s="115">
        <v>11088.31</v>
      </c>
      <c r="J27" s="114">
        <f>K27-I27</f>
        <v>1464.7899999999991</v>
      </c>
      <c r="K27" s="115">
        <f>K22-K39</f>
        <v>12553.099999999999</v>
      </c>
      <c r="L27" s="205">
        <v>12503</v>
      </c>
      <c r="M27" s="114">
        <f>N27-L27</f>
        <v>4596.0099999999984</v>
      </c>
      <c r="N27" s="115">
        <f>N22-N39</f>
        <v>17099.009999999998</v>
      </c>
      <c r="O27" s="205">
        <v>15154</v>
      </c>
      <c r="P27" s="114">
        <f>Q27-O27</f>
        <v>1907.7700000000004</v>
      </c>
      <c r="Q27" s="115">
        <f>Q22-Q39</f>
        <v>17061.77</v>
      </c>
      <c r="R27" s="205">
        <v>24981</v>
      </c>
      <c r="S27" s="114">
        <f>T27-R27</f>
        <v>4379.630000000001</v>
      </c>
      <c r="T27" s="115">
        <f>T22-T39</f>
        <v>29360.63</v>
      </c>
      <c r="U27" s="116">
        <f>U22-U39</f>
        <v>17554</v>
      </c>
      <c r="V27" s="114">
        <f>W27-U27</f>
        <v>1440.7999999999993</v>
      </c>
      <c r="W27" s="115">
        <f>W22-W39</f>
        <v>18994.8</v>
      </c>
      <c r="X27" s="113">
        <v>926</v>
      </c>
      <c r="Y27" s="114">
        <f>Z27-X27</f>
        <v>-528.54</v>
      </c>
      <c r="Z27" s="144">
        <v>397.46</v>
      </c>
      <c r="AA27" s="146">
        <f>I27+L27+O27+R27+U27+C27+F27+X27</f>
        <v>340535.31</v>
      </c>
      <c r="AB27" s="164">
        <f>J27+M27+P27+S27+V27+D27+G27+Y27</f>
        <v>21948.739999999998</v>
      </c>
      <c r="AC27" s="112">
        <f>K27+N27+Q27+T27+W27+E27+H27+Z27</f>
        <v>362485.43</v>
      </c>
      <c r="AD27" s="45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</row>
    <row r="28" spans="1:79" s="49" customFormat="1" ht="24.4" customHeight="1" thickBot="1" x14ac:dyDescent="0.3">
      <c r="A28" s="48"/>
      <c r="B28" s="195" t="s">
        <v>28</v>
      </c>
      <c r="C28" s="206"/>
      <c r="D28" s="197"/>
      <c r="E28" s="136"/>
      <c r="F28" s="198"/>
      <c r="G28" s="135"/>
      <c r="H28" s="136"/>
      <c r="I28" s="198"/>
      <c r="J28" s="135"/>
      <c r="K28" s="136"/>
      <c r="L28" s="198"/>
      <c r="M28" s="135"/>
      <c r="N28" s="136"/>
      <c r="O28" s="198"/>
      <c r="P28" s="135"/>
      <c r="Q28" s="136"/>
      <c r="R28" s="198"/>
      <c r="S28" s="135"/>
      <c r="T28" s="136"/>
      <c r="U28" s="137"/>
      <c r="V28" s="135"/>
      <c r="W28" s="136"/>
      <c r="X28" s="138"/>
      <c r="Y28" s="197"/>
      <c r="Z28" s="132"/>
      <c r="AA28" s="138"/>
      <c r="AB28" s="135"/>
      <c r="AC28" s="136"/>
      <c r="AD28" s="45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</row>
    <row r="29" spans="1:79" s="42" customFormat="1" ht="24.4" customHeight="1" thickBot="1" x14ac:dyDescent="0.3">
      <c r="A29" s="41" t="s">
        <v>135</v>
      </c>
      <c r="B29" s="202" t="s">
        <v>136</v>
      </c>
      <c r="C29" s="203">
        <v>0</v>
      </c>
      <c r="D29" s="204">
        <f>E29-C29</f>
        <v>0</v>
      </c>
      <c r="E29" s="115">
        <v>0</v>
      </c>
      <c r="F29" s="205">
        <v>3340</v>
      </c>
      <c r="G29" s="114">
        <f>H29-F29</f>
        <v>12.309999999999945</v>
      </c>
      <c r="H29" s="254">
        <v>3352.31</v>
      </c>
      <c r="I29" s="205"/>
      <c r="J29" s="114"/>
      <c r="K29" s="115"/>
      <c r="L29" s="205"/>
      <c r="M29" s="114"/>
      <c r="N29" s="115"/>
      <c r="O29" s="205"/>
      <c r="P29" s="114"/>
      <c r="Q29" s="115"/>
      <c r="R29" s="205"/>
      <c r="S29" s="114"/>
      <c r="T29" s="115"/>
      <c r="U29" s="116"/>
      <c r="V29" s="114"/>
      <c r="W29" s="115"/>
      <c r="X29" s="113"/>
      <c r="Y29" s="204"/>
      <c r="Z29" s="144"/>
      <c r="AA29" s="146">
        <f>I29+L29+O29+R29+U29+C29+F29+X29</f>
        <v>3340</v>
      </c>
      <c r="AB29" s="164">
        <f>J29+M29+P29+S29+V29+D29+G29+Y29</f>
        <v>12.309999999999945</v>
      </c>
      <c r="AC29" s="112">
        <f>K29+N29+Q29+T29+W29+E29+H29+Z29</f>
        <v>3352.31</v>
      </c>
      <c r="AD29" s="45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</row>
    <row r="30" spans="1:79" s="49" customFormat="1" ht="24.4" customHeight="1" thickBot="1" x14ac:dyDescent="0.3">
      <c r="A30" s="48"/>
      <c r="B30" s="195" t="s">
        <v>183</v>
      </c>
      <c r="C30" s="206"/>
      <c r="D30" s="197"/>
      <c r="E30" s="136"/>
      <c r="F30" s="198"/>
      <c r="G30" s="135"/>
      <c r="H30" s="136"/>
      <c r="I30" s="198"/>
      <c r="J30" s="135"/>
      <c r="K30" s="136"/>
      <c r="L30" s="198"/>
      <c r="M30" s="135"/>
      <c r="N30" s="136"/>
      <c r="O30" s="198"/>
      <c r="P30" s="135"/>
      <c r="Q30" s="136"/>
      <c r="R30" s="198"/>
      <c r="S30" s="135"/>
      <c r="T30" s="136"/>
      <c r="U30" s="137"/>
      <c r="V30" s="135"/>
      <c r="W30" s="136"/>
      <c r="X30" s="138"/>
      <c r="Y30" s="197"/>
      <c r="Z30" s="132"/>
      <c r="AA30" s="138"/>
      <c r="AB30" s="135"/>
      <c r="AC30" s="136"/>
      <c r="AD30" s="45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</row>
    <row r="31" spans="1:79" s="42" customFormat="1" ht="24.4" customHeight="1" thickBot="1" x14ac:dyDescent="0.3">
      <c r="A31" s="41" t="s">
        <v>185</v>
      </c>
      <c r="B31" s="202" t="s">
        <v>184</v>
      </c>
      <c r="C31" s="203">
        <v>5000</v>
      </c>
      <c r="D31" s="172">
        <f>E31-C31</f>
        <v>-1000</v>
      </c>
      <c r="E31" s="172">
        <v>4000</v>
      </c>
      <c r="F31" s="205"/>
      <c r="G31" s="114"/>
      <c r="H31" s="115"/>
      <c r="I31" s="205"/>
      <c r="J31" s="114"/>
      <c r="K31" s="115"/>
      <c r="L31" s="205"/>
      <c r="M31" s="114"/>
      <c r="N31" s="115"/>
      <c r="O31" s="205"/>
      <c r="P31" s="114"/>
      <c r="Q31" s="115"/>
      <c r="R31" s="205"/>
      <c r="S31" s="114"/>
      <c r="T31" s="115"/>
      <c r="U31" s="116"/>
      <c r="V31" s="114"/>
      <c r="W31" s="115"/>
      <c r="X31" s="113"/>
      <c r="Y31" s="204"/>
      <c r="Z31" s="144"/>
      <c r="AA31" s="166">
        <f>I31+L31+O31+R31+U31+C31+F31+X31</f>
        <v>5000</v>
      </c>
      <c r="AB31" s="143">
        <f>J31+M31+P31+S31+V31+D31+G31+Y31</f>
        <v>-1000</v>
      </c>
      <c r="AC31" s="147">
        <f>K31+N31+Q31+T31+W31+E31+H31+Z31</f>
        <v>4000</v>
      </c>
      <c r="AD31" s="45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</row>
    <row r="32" spans="1:79" s="42" customFormat="1" ht="24.4" customHeight="1" thickBot="1" x14ac:dyDescent="0.3">
      <c r="A32" s="41" t="s">
        <v>186</v>
      </c>
      <c r="B32" s="215" t="s">
        <v>187</v>
      </c>
      <c r="C32" s="216">
        <v>5000</v>
      </c>
      <c r="D32" s="212">
        <f>E32-C32</f>
        <v>-1000</v>
      </c>
      <c r="E32" s="212">
        <v>4000</v>
      </c>
      <c r="F32" s="217"/>
      <c r="G32" s="218"/>
      <c r="H32" s="219"/>
      <c r="I32" s="217"/>
      <c r="J32" s="218"/>
      <c r="K32" s="219"/>
      <c r="L32" s="217"/>
      <c r="M32" s="218"/>
      <c r="N32" s="219"/>
      <c r="O32" s="217"/>
      <c r="P32" s="218"/>
      <c r="Q32" s="219"/>
      <c r="R32" s="217"/>
      <c r="S32" s="218"/>
      <c r="T32" s="219"/>
      <c r="U32" s="220"/>
      <c r="V32" s="218"/>
      <c r="W32" s="219"/>
      <c r="X32" s="221"/>
      <c r="Y32" s="222"/>
      <c r="Z32" s="223"/>
      <c r="AA32" s="224">
        <f t="shared" ref="AA32:AA35" si="9">I32+L32+O32+R32+U32+C32+F32+X32</f>
        <v>5000</v>
      </c>
      <c r="AB32" s="225">
        <f t="shared" ref="AB32:AB35" si="10">J32+M32+P32+S32+V32+D32+G32+Y32</f>
        <v>-1000</v>
      </c>
      <c r="AC32" s="226">
        <f t="shared" ref="AC32:AC35" si="11">K32+N32+Q32+T32+W32+E32+H32+Z32</f>
        <v>4000</v>
      </c>
      <c r="AD32" s="45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</row>
    <row r="33" spans="1:79" s="42" customFormat="1" ht="24.4" customHeight="1" thickBot="1" x14ac:dyDescent="0.3">
      <c r="A33" s="41" t="s">
        <v>188</v>
      </c>
      <c r="B33" s="202" t="s">
        <v>189</v>
      </c>
      <c r="C33" s="211">
        <v>5000</v>
      </c>
      <c r="D33" s="145">
        <f>E33-C33</f>
        <v>-1000</v>
      </c>
      <c r="E33" s="172">
        <v>4000</v>
      </c>
      <c r="F33" s="205"/>
      <c r="G33" s="114"/>
      <c r="H33" s="115"/>
      <c r="I33" s="205"/>
      <c r="J33" s="114"/>
      <c r="K33" s="115"/>
      <c r="L33" s="205"/>
      <c r="M33" s="114"/>
      <c r="N33" s="115"/>
      <c r="O33" s="205"/>
      <c r="P33" s="114"/>
      <c r="Q33" s="115"/>
      <c r="R33" s="205"/>
      <c r="S33" s="114"/>
      <c r="T33" s="115"/>
      <c r="U33" s="116"/>
      <c r="V33" s="114"/>
      <c r="W33" s="115"/>
      <c r="X33" s="113"/>
      <c r="Y33" s="204"/>
      <c r="Z33" s="144"/>
      <c r="AA33" s="166">
        <f t="shared" si="9"/>
        <v>5000</v>
      </c>
      <c r="AB33" s="143">
        <f t="shared" si="10"/>
        <v>-1000</v>
      </c>
      <c r="AC33" s="147">
        <f t="shared" si="11"/>
        <v>4000</v>
      </c>
      <c r="AD33" s="45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</row>
    <row r="34" spans="1:79" s="42" customFormat="1" ht="24.4" customHeight="1" thickBot="1" x14ac:dyDescent="0.3">
      <c r="A34" s="41" t="s">
        <v>190</v>
      </c>
      <c r="B34" s="207" t="s">
        <v>191</v>
      </c>
      <c r="C34" s="210">
        <v>0</v>
      </c>
      <c r="D34" s="151">
        <f>E34-C34</f>
        <v>0</v>
      </c>
      <c r="E34" s="171">
        <v>0</v>
      </c>
      <c r="F34" s="208"/>
      <c r="G34" s="153"/>
      <c r="H34" s="154"/>
      <c r="I34" s="208"/>
      <c r="J34" s="153"/>
      <c r="K34" s="154"/>
      <c r="L34" s="208"/>
      <c r="M34" s="153"/>
      <c r="N34" s="154"/>
      <c r="O34" s="208"/>
      <c r="P34" s="153"/>
      <c r="Q34" s="154"/>
      <c r="R34" s="208"/>
      <c r="S34" s="153"/>
      <c r="T34" s="154"/>
      <c r="U34" s="155"/>
      <c r="V34" s="153"/>
      <c r="W34" s="154"/>
      <c r="X34" s="156"/>
      <c r="Y34" s="209"/>
      <c r="Z34" s="150"/>
      <c r="AA34" s="170">
        <f t="shared" si="9"/>
        <v>0</v>
      </c>
      <c r="AB34" s="149">
        <f t="shared" si="10"/>
        <v>0</v>
      </c>
      <c r="AC34" s="157">
        <f t="shared" si="11"/>
        <v>0</v>
      </c>
      <c r="AD34" s="45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</row>
    <row r="35" spans="1:79" s="42" customFormat="1" ht="24.4" customHeight="1" thickBot="1" x14ac:dyDescent="0.3">
      <c r="A35" s="41" t="s">
        <v>192</v>
      </c>
      <c r="B35" s="202" t="s">
        <v>193</v>
      </c>
      <c r="C35" s="211">
        <v>2000</v>
      </c>
      <c r="D35" s="145">
        <f>E35-C35</f>
        <v>-500</v>
      </c>
      <c r="E35" s="172">
        <v>1500</v>
      </c>
      <c r="F35" s="205"/>
      <c r="G35" s="114"/>
      <c r="H35" s="115"/>
      <c r="I35" s="205"/>
      <c r="J35" s="114"/>
      <c r="K35" s="115"/>
      <c r="L35" s="205"/>
      <c r="M35" s="114"/>
      <c r="N35" s="115"/>
      <c r="O35" s="205"/>
      <c r="P35" s="114"/>
      <c r="Q35" s="115"/>
      <c r="R35" s="205"/>
      <c r="S35" s="114"/>
      <c r="T35" s="115"/>
      <c r="U35" s="116"/>
      <c r="V35" s="114"/>
      <c r="W35" s="115"/>
      <c r="X35" s="113"/>
      <c r="Y35" s="204"/>
      <c r="Z35" s="144"/>
      <c r="AA35" s="166">
        <f t="shared" si="9"/>
        <v>2000</v>
      </c>
      <c r="AB35" s="143">
        <f t="shared" si="10"/>
        <v>-500</v>
      </c>
      <c r="AC35" s="147">
        <f t="shared" si="11"/>
        <v>1500</v>
      </c>
      <c r="AD35" s="45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</row>
    <row r="36" spans="1:79" s="49" customFormat="1" ht="24.4" customHeight="1" thickBot="1" x14ac:dyDescent="0.3">
      <c r="A36" s="48"/>
      <c r="B36" s="195" t="s">
        <v>137</v>
      </c>
      <c r="C36" s="213"/>
      <c r="D36" s="133"/>
      <c r="E36" s="163"/>
      <c r="F36" s="198"/>
      <c r="G36" s="135"/>
      <c r="H36" s="136"/>
      <c r="I36" s="198"/>
      <c r="J36" s="135"/>
      <c r="K36" s="136"/>
      <c r="L36" s="198"/>
      <c r="M36" s="135"/>
      <c r="N36" s="136"/>
      <c r="O36" s="198"/>
      <c r="P36" s="135"/>
      <c r="Q36" s="136"/>
      <c r="R36" s="198"/>
      <c r="S36" s="135"/>
      <c r="T36" s="136"/>
      <c r="U36" s="137"/>
      <c r="V36" s="135"/>
      <c r="W36" s="136"/>
      <c r="X36" s="138"/>
      <c r="Y36" s="197"/>
      <c r="Z36" s="132"/>
      <c r="AA36" s="214"/>
      <c r="AB36" s="133"/>
      <c r="AC36" s="163"/>
      <c r="AD36" s="45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</row>
    <row r="37" spans="1:79" s="42" customFormat="1" ht="24.4" customHeight="1" thickBot="1" x14ac:dyDescent="0.3">
      <c r="A37" s="41" t="s">
        <v>138</v>
      </c>
      <c r="B37" s="142" t="s">
        <v>139</v>
      </c>
      <c r="C37" s="172">
        <f>2309.15+47269.96-6.6+28264.25-49161.79+2369.12-5181.13-40773</f>
        <v>-14910.039999999994</v>
      </c>
      <c r="D37" s="145">
        <f>E37-C37</f>
        <v>2923.5799999999872</v>
      </c>
      <c r="E37" s="147">
        <f>1813+952.9-2177.9+23200.23-5.83+15003.14-27248.09+395.48-1024.2-22895.19</f>
        <v>-11986.460000000006</v>
      </c>
      <c r="F37" s="115">
        <v>9680.48</v>
      </c>
      <c r="G37" s="114">
        <f>H37-F37</f>
        <v>-3211.8799999999992</v>
      </c>
      <c r="H37" s="254">
        <v>6468.6</v>
      </c>
      <c r="I37" s="146"/>
      <c r="J37" s="114"/>
      <c r="K37" s="115"/>
      <c r="L37" s="146"/>
      <c r="M37" s="114"/>
      <c r="N37" s="115"/>
      <c r="O37" s="146"/>
      <c r="P37" s="114"/>
      <c r="Q37" s="115"/>
      <c r="R37" s="146"/>
      <c r="S37" s="114"/>
      <c r="T37" s="115"/>
      <c r="U37" s="116"/>
      <c r="V37" s="114"/>
      <c r="W37" s="115"/>
      <c r="X37" s="113"/>
      <c r="Y37" s="204"/>
      <c r="Z37" s="144"/>
      <c r="AA37" s="166">
        <f t="shared" ref="AA37:AC38" si="12">I37+L37+O37+R37+U37+C37+F37+X37</f>
        <v>-5229.559999999994</v>
      </c>
      <c r="AB37" s="143">
        <f t="shared" si="12"/>
        <v>-288.30000000001201</v>
      </c>
      <c r="AC37" s="147">
        <f t="shared" si="12"/>
        <v>-5517.860000000006</v>
      </c>
      <c r="AD37" s="45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</row>
    <row r="38" spans="1:79" s="42" customFormat="1" ht="24.4" customHeight="1" thickBot="1" x14ac:dyDescent="0.3">
      <c r="A38" s="41" t="s">
        <v>202</v>
      </c>
      <c r="B38" s="148" t="s">
        <v>201</v>
      </c>
      <c r="C38" s="170">
        <v>285.52999999999997</v>
      </c>
      <c r="D38" s="151">
        <f>E38-C38</f>
        <v>-28.769999999999982</v>
      </c>
      <c r="E38" s="157">
        <v>256.76</v>
      </c>
      <c r="F38" s="152"/>
      <c r="G38" s="153"/>
      <c r="H38" s="154"/>
      <c r="I38" s="152"/>
      <c r="J38" s="153"/>
      <c r="K38" s="154"/>
      <c r="L38" s="152"/>
      <c r="M38" s="153"/>
      <c r="N38" s="154"/>
      <c r="O38" s="152"/>
      <c r="P38" s="153"/>
      <c r="Q38" s="154"/>
      <c r="R38" s="152"/>
      <c r="S38" s="153"/>
      <c r="T38" s="154"/>
      <c r="U38" s="155"/>
      <c r="V38" s="153"/>
      <c r="W38" s="154"/>
      <c r="X38" s="156"/>
      <c r="Y38" s="209"/>
      <c r="Z38" s="150"/>
      <c r="AA38" s="166">
        <f t="shared" si="12"/>
        <v>285.52999999999997</v>
      </c>
      <c r="AB38" s="143">
        <f t="shared" si="12"/>
        <v>-28.769999999999982</v>
      </c>
      <c r="AC38" s="147">
        <f t="shared" si="12"/>
        <v>256.76</v>
      </c>
      <c r="AD38" s="45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</row>
    <row r="39" spans="1:79" s="42" customFormat="1" ht="24.4" customHeight="1" thickBot="1" x14ac:dyDescent="0.3">
      <c r="A39" s="41" t="s">
        <v>140</v>
      </c>
      <c r="B39" s="202" t="s">
        <v>141</v>
      </c>
      <c r="C39" s="172">
        <f>11507.93</f>
        <v>11507.93</v>
      </c>
      <c r="D39" s="145">
        <f>E39-C39</f>
        <v>-1917.0699999999997</v>
      </c>
      <c r="E39" s="172">
        <v>9590.86</v>
      </c>
      <c r="F39" s="115">
        <v>11829</v>
      </c>
      <c r="G39" s="114">
        <f>H39-F39</f>
        <v>-11809</v>
      </c>
      <c r="H39" s="254">
        <v>20</v>
      </c>
      <c r="I39" s="205">
        <v>451.2</v>
      </c>
      <c r="J39" s="114">
        <f>K39-I39</f>
        <v>-451.2</v>
      </c>
      <c r="K39" s="115">
        <v>0</v>
      </c>
      <c r="L39" s="205"/>
      <c r="M39" s="114"/>
      <c r="N39" s="115"/>
      <c r="O39" s="205"/>
      <c r="P39" s="114"/>
      <c r="Q39" s="115"/>
      <c r="R39" s="205"/>
      <c r="S39" s="114"/>
      <c r="T39" s="115"/>
      <c r="U39" s="116"/>
      <c r="V39" s="114"/>
      <c r="W39" s="115"/>
      <c r="X39" s="113">
        <v>0</v>
      </c>
      <c r="Y39" s="204">
        <f>Z39-X39</f>
        <v>2482.7400000000002</v>
      </c>
      <c r="Z39" s="253">
        <f>799.34+1140.77+197.63+345</f>
        <v>2482.7400000000002</v>
      </c>
      <c r="AA39" s="166">
        <f t="shared" ref="AA39:AC40" si="13">I39+L39+O39+R39+U39+C39+F39+X39</f>
        <v>23788.13</v>
      </c>
      <c r="AB39" s="143">
        <f t="shared" si="13"/>
        <v>-11694.53</v>
      </c>
      <c r="AC39" s="147">
        <f t="shared" si="13"/>
        <v>12093.6</v>
      </c>
      <c r="AD39" s="45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</row>
    <row r="40" spans="1:79" s="55" customFormat="1" ht="24.4" customHeight="1" thickBot="1" x14ac:dyDescent="0.3">
      <c r="A40" s="41" t="s">
        <v>196</v>
      </c>
      <c r="B40" s="202" t="s">
        <v>197</v>
      </c>
      <c r="C40" s="172">
        <v>10070.11</v>
      </c>
      <c r="D40" s="145">
        <f>E40-C40</f>
        <v>394.55999999999949</v>
      </c>
      <c r="E40" s="172">
        <v>10464.67</v>
      </c>
      <c r="F40" s="115">
        <f>2966.15</f>
        <v>2966.15</v>
      </c>
      <c r="G40" s="114">
        <f>H40-F40</f>
        <v>1794.85</v>
      </c>
      <c r="H40" s="254">
        <v>4761</v>
      </c>
      <c r="I40" s="205"/>
      <c r="J40" s="114"/>
      <c r="K40" s="115"/>
      <c r="L40" s="205"/>
      <c r="M40" s="114"/>
      <c r="N40" s="115"/>
      <c r="O40" s="205"/>
      <c r="P40" s="114"/>
      <c r="Q40" s="115"/>
      <c r="R40" s="205"/>
      <c r="S40" s="114"/>
      <c r="T40" s="115"/>
      <c r="U40" s="116"/>
      <c r="V40" s="114"/>
      <c r="W40" s="115"/>
      <c r="X40" s="113">
        <v>0</v>
      </c>
      <c r="Y40" s="204">
        <f>Z40-X40</f>
        <v>0</v>
      </c>
      <c r="Z40" s="144">
        <v>0</v>
      </c>
      <c r="AA40" s="166">
        <f t="shared" si="13"/>
        <v>13036.26</v>
      </c>
      <c r="AB40" s="143">
        <f t="shared" si="13"/>
        <v>2189.4099999999994</v>
      </c>
      <c r="AC40" s="147">
        <f t="shared" si="13"/>
        <v>15225.67</v>
      </c>
      <c r="AD40" s="53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</row>
    <row r="41" spans="1:79" s="52" customFormat="1" ht="24.4" customHeight="1" thickBot="1" x14ac:dyDescent="0.3">
      <c r="A41" s="51"/>
      <c r="B41" s="162"/>
      <c r="C41" s="227"/>
      <c r="D41" s="184"/>
      <c r="E41" s="163"/>
      <c r="F41" s="161"/>
      <c r="G41" s="135"/>
      <c r="H41" s="136"/>
      <c r="I41" s="161"/>
      <c r="J41" s="135"/>
      <c r="K41" s="136"/>
      <c r="L41" s="161"/>
      <c r="M41" s="135"/>
      <c r="N41" s="136"/>
      <c r="O41" s="161"/>
      <c r="P41" s="135"/>
      <c r="Q41" s="136"/>
      <c r="R41" s="161"/>
      <c r="S41" s="135"/>
      <c r="T41" s="136"/>
      <c r="U41" s="137"/>
      <c r="V41" s="135"/>
      <c r="W41" s="136"/>
      <c r="X41" s="185"/>
      <c r="Y41" s="228"/>
      <c r="Z41" s="187"/>
      <c r="AA41" s="229"/>
      <c r="AB41" s="159"/>
      <c r="AC41" s="187"/>
      <c r="AD41" s="53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</row>
    <row r="42" spans="1:79" s="59" customFormat="1" ht="24.4" customHeight="1" thickBot="1" x14ac:dyDescent="0.3">
      <c r="A42" s="120"/>
      <c r="B42" s="121" t="s">
        <v>142</v>
      </c>
      <c r="C42" s="122">
        <f>SUM(C27:C40)</f>
        <v>280607.53000000003</v>
      </c>
      <c r="D42" s="122">
        <f>ROUNDUP(SUM(D26:D41),1)</f>
        <v>-1856.5</v>
      </c>
      <c r="E42" s="122">
        <f>SUM(E26:E41)</f>
        <v>278752.14</v>
      </c>
      <c r="F42" s="122">
        <f>SUM(F27:F40)</f>
        <v>29490.63</v>
      </c>
      <c r="G42" s="122">
        <f>SUM(G26:G41)</f>
        <v>-4796.7199999999993</v>
      </c>
      <c r="H42" s="122">
        <f>SUM(H26:H41)</f>
        <v>24694.259999999995</v>
      </c>
      <c r="I42" s="122">
        <f>SUM(I27:I40)</f>
        <v>11539.51</v>
      </c>
      <c r="J42" s="122">
        <f>SUM(J26:J41)</f>
        <v>1013.589999999999</v>
      </c>
      <c r="K42" s="122">
        <f>SUM(K26:K41)</f>
        <v>12553.099999999999</v>
      </c>
      <c r="L42" s="122">
        <f>SUM(L27:L40)</f>
        <v>12503</v>
      </c>
      <c r="M42" s="122">
        <f>SUM(M26:M41)</f>
        <v>4596.0099999999984</v>
      </c>
      <c r="N42" s="122">
        <f>SUM(N26:N41)</f>
        <v>17099.009999999998</v>
      </c>
      <c r="O42" s="122">
        <f>SUM(O27:O40)</f>
        <v>15154</v>
      </c>
      <c r="P42" s="122">
        <f>SUM(P26:P41)</f>
        <v>1907.7700000000004</v>
      </c>
      <c r="Q42" s="122">
        <f>SUM(Q26:Q41)</f>
        <v>17061.77</v>
      </c>
      <c r="R42" s="122">
        <f>SUM(R27:R40)</f>
        <v>24981</v>
      </c>
      <c r="S42" s="122">
        <f t="shared" ref="S42:Z42" si="14">SUM(S26:S41)</f>
        <v>4379.630000000001</v>
      </c>
      <c r="T42" s="122">
        <f t="shared" si="14"/>
        <v>29360.63</v>
      </c>
      <c r="U42" s="122">
        <f t="shared" si="14"/>
        <v>17554</v>
      </c>
      <c r="V42" s="122">
        <f t="shared" si="14"/>
        <v>1440.7999999999993</v>
      </c>
      <c r="W42" s="123">
        <f t="shared" si="14"/>
        <v>18994.8</v>
      </c>
      <c r="X42" s="122">
        <f t="shared" si="14"/>
        <v>926</v>
      </c>
      <c r="Y42" s="122">
        <f>SUM(Y26:Y41)</f>
        <v>1954.2000000000003</v>
      </c>
      <c r="Z42" s="122">
        <f t="shared" si="14"/>
        <v>2880.2000000000003</v>
      </c>
      <c r="AA42" s="124">
        <f>I42+L42+O42+R42+U42+C42+F42+X42</f>
        <v>392755.67000000004</v>
      </c>
      <c r="AB42" s="125">
        <f>J42+M42+P42+S42+V42+D42+G42+Y42</f>
        <v>8638.7800000000007</v>
      </c>
      <c r="AC42" s="125">
        <f>K42+N42+Q42+T42+W42+E42+H42+Z42</f>
        <v>401395.91000000003</v>
      </c>
      <c r="AD42" s="58"/>
    </row>
    <row r="43" spans="1:79" s="69" customFormat="1" ht="24.4" customHeight="1" thickBot="1" x14ac:dyDescent="0.3">
      <c r="A43" s="60"/>
      <c r="B43" s="63" t="s">
        <v>143</v>
      </c>
      <c r="C43" s="64"/>
      <c r="D43" s="64">
        <f>D27</f>
        <v>271.27999999999997</v>
      </c>
      <c r="E43" s="64"/>
      <c r="F43" s="65"/>
      <c r="G43" s="64">
        <f>G27</f>
        <v>8417</v>
      </c>
      <c r="H43" s="62"/>
      <c r="I43" s="65"/>
      <c r="J43" s="64">
        <f>J27</f>
        <v>1464.7899999999991</v>
      </c>
      <c r="K43" s="62"/>
      <c r="L43" s="65"/>
      <c r="M43" s="64">
        <f>M42</f>
        <v>4596.0099999999984</v>
      </c>
      <c r="N43" s="62"/>
      <c r="O43" s="65"/>
      <c r="P43" s="64">
        <f>P42</f>
        <v>1907.7700000000004</v>
      </c>
      <c r="Q43" s="62"/>
      <c r="R43" s="65"/>
      <c r="S43" s="64">
        <f>S42</f>
        <v>4379.630000000001</v>
      </c>
      <c r="T43" s="62"/>
      <c r="U43" s="61"/>
      <c r="V43" s="69">
        <f>V42</f>
        <v>1440.7999999999993</v>
      </c>
      <c r="W43" s="100"/>
      <c r="X43" s="66"/>
      <c r="Y43" s="64">
        <f>Y27</f>
        <v>-528.54</v>
      </c>
      <c r="Z43" s="62"/>
      <c r="AA43" s="66"/>
      <c r="AB43" s="67">
        <f>AB27</f>
        <v>21948.739999999998</v>
      </c>
      <c r="AC43" s="68"/>
      <c r="AD43" s="64"/>
    </row>
    <row r="44" spans="1:79" s="69" customFormat="1" ht="24.4" customHeight="1" thickBot="1" x14ac:dyDescent="0.3">
      <c r="A44" s="60"/>
      <c r="B44" s="57" t="s">
        <v>144</v>
      </c>
      <c r="C44" s="66"/>
      <c r="D44" s="69">
        <f>Exploitatierekening!D89</f>
        <v>271.13000000000466</v>
      </c>
      <c r="E44" s="68"/>
      <c r="F44" s="66"/>
      <c r="G44" s="69">
        <f>Exploitatierekening!H89</f>
        <v>8416.5599999999977</v>
      </c>
      <c r="H44" s="68"/>
      <c r="I44" s="66"/>
      <c r="J44" s="69">
        <f>Exploitatierekening!L89</f>
        <v>1464.5099999999984</v>
      </c>
      <c r="K44" s="68"/>
      <c r="L44" s="66"/>
      <c r="M44" s="69">
        <f>Exploitatierekening!P89</f>
        <v>4595.8400000000038</v>
      </c>
      <c r="N44" s="68"/>
      <c r="O44" s="66"/>
      <c r="P44" s="69">
        <f>Exploitatierekening!T89</f>
        <v>1907.92</v>
      </c>
      <c r="Q44" s="68"/>
      <c r="R44" s="66"/>
      <c r="S44" s="69">
        <f>Exploitatierekening!X89</f>
        <v>4379.5800000000017</v>
      </c>
      <c r="T44" s="68"/>
      <c r="U44" s="70"/>
      <c r="V44" s="69">
        <f>Exploitatierekening!AB89</f>
        <v>1441</v>
      </c>
      <c r="W44" s="68"/>
      <c r="X44" s="71"/>
      <c r="Y44" s="103">
        <f>Exploitatierekening!AF89</f>
        <v>-528.5</v>
      </c>
      <c r="Z44" s="98"/>
      <c r="AA44" s="71"/>
      <c r="AB44" s="72">
        <f>Exploitatierekening!AJ89</f>
        <v>21948.549999999988</v>
      </c>
      <c r="AC44" s="73"/>
      <c r="AD44" s="64"/>
    </row>
    <row r="45" spans="1:79" s="39" customFormat="1" ht="24.4" customHeight="1" thickBot="1" x14ac:dyDescent="0.3">
      <c r="A45" s="60"/>
      <c r="B45" s="57"/>
      <c r="C45" s="66"/>
      <c r="D45" s="69">
        <f>D43-D44</f>
        <v>0.1499999999953161</v>
      </c>
      <c r="E45" s="68"/>
      <c r="F45" s="66"/>
      <c r="G45" s="69">
        <f>G43-G44</f>
        <v>0.44000000000232831</v>
      </c>
      <c r="H45" s="68"/>
      <c r="I45" s="66"/>
      <c r="J45" s="69">
        <f>J43-J44</f>
        <v>0.28000000000065484</v>
      </c>
      <c r="K45" s="68"/>
      <c r="L45" s="66"/>
      <c r="M45" s="69">
        <f>M43-M44</f>
        <v>0.16999999999461579</v>
      </c>
      <c r="N45" s="68"/>
      <c r="O45" s="66"/>
      <c r="P45" s="69">
        <f>P43-P44</f>
        <v>-0.1499999999996362</v>
      </c>
      <c r="Q45" s="68"/>
      <c r="R45" s="66"/>
      <c r="S45" s="69">
        <f>S43-S44</f>
        <v>4.9999999999272404E-2</v>
      </c>
      <c r="T45" s="68"/>
      <c r="U45" s="66"/>
      <c r="V45" s="64">
        <f>V43-V44</f>
        <v>-0.2000000000007276</v>
      </c>
      <c r="W45" s="68"/>
      <c r="X45" s="71"/>
      <c r="Y45" s="64">
        <f>Y43-Y44</f>
        <v>-3.999999999996362E-2</v>
      </c>
      <c r="Z45" s="98"/>
      <c r="AA45" s="71"/>
      <c r="AB45" s="72">
        <f>AB43-AB44</f>
        <v>0.19000000000960426</v>
      </c>
      <c r="AC45" s="73"/>
      <c r="AD45" s="38"/>
    </row>
    <row r="46" spans="1:79" ht="24.4" customHeight="1" x14ac:dyDescent="0.25">
      <c r="A46" s="74"/>
      <c r="B46" s="75"/>
      <c r="C46" s="76"/>
      <c r="D46" s="40"/>
      <c r="E46" s="77"/>
      <c r="F46" s="76"/>
      <c r="G46" s="40"/>
      <c r="H46" s="77"/>
      <c r="I46" s="76"/>
      <c r="J46" s="40"/>
      <c r="K46" s="77"/>
      <c r="L46" s="76"/>
      <c r="M46" s="40"/>
      <c r="N46" s="77"/>
      <c r="O46" s="76"/>
      <c r="P46" s="40"/>
      <c r="Q46" s="77"/>
      <c r="R46" s="76"/>
      <c r="S46" s="40"/>
      <c r="T46" s="77"/>
      <c r="U46" s="76"/>
      <c r="V46" s="101"/>
      <c r="W46" s="77"/>
      <c r="X46" s="76"/>
      <c r="Y46" s="101"/>
      <c r="Z46" s="99"/>
      <c r="AA46" s="76"/>
      <c r="AB46" s="40"/>
      <c r="AC46" s="77"/>
    </row>
    <row r="47" spans="1:79" ht="24.4" customHeight="1" x14ac:dyDescent="0.25">
      <c r="C47" s="81"/>
      <c r="E47" s="47"/>
      <c r="F47" s="81"/>
      <c r="H47" s="47"/>
      <c r="I47" s="81"/>
      <c r="K47" s="47"/>
      <c r="L47" s="81"/>
      <c r="N47" s="47"/>
      <c r="O47" s="81"/>
      <c r="Q47" s="47"/>
      <c r="R47" s="81"/>
      <c r="T47" s="47"/>
      <c r="U47" s="81"/>
      <c r="V47" s="102"/>
      <c r="W47" s="47"/>
      <c r="X47" s="81"/>
      <c r="Y47" s="102"/>
      <c r="Z47" s="97"/>
      <c r="AA47" s="81"/>
      <c r="AB47" s="42"/>
      <c r="AC47" s="47"/>
    </row>
    <row r="48" spans="1:79" ht="24.4" customHeight="1" x14ac:dyDescent="0.25">
      <c r="C48" s="81"/>
      <c r="E48" s="47"/>
      <c r="F48" s="81"/>
      <c r="H48" s="47"/>
      <c r="I48" s="81"/>
      <c r="K48" s="47"/>
      <c r="L48" s="81"/>
      <c r="N48" s="47"/>
      <c r="O48" s="81"/>
      <c r="Q48" s="47"/>
      <c r="R48" s="81"/>
      <c r="T48" s="47"/>
      <c r="U48" s="81"/>
      <c r="V48" s="102"/>
      <c r="W48" s="47"/>
      <c r="X48" s="81"/>
      <c r="Y48" s="102"/>
      <c r="Z48" s="97"/>
      <c r="AA48" s="81"/>
      <c r="AB48" s="42"/>
      <c r="AC48" s="47"/>
    </row>
    <row r="49" spans="3:29" ht="24.4" customHeight="1" x14ac:dyDescent="0.25">
      <c r="C49" s="81"/>
      <c r="E49" s="47"/>
      <c r="F49" s="81"/>
      <c r="H49" s="47"/>
      <c r="I49" s="81"/>
      <c r="K49" s="47"/>
      <c r="L49" s="81"/>
      <c r="N49" s="47"/>
      <c r="O49" s="81"/>
      <c r="Q49" s="47"/>
      <c r="R49" s="81"/>
      <c r="T49" s="47"/>
      <c r="U49" s="81"/>
      <c r="V49" s="102"/>
      <c r="W49" s="47"/>
      <c r="X49" s="81"/>
      <c r="Y49" s="102"/>
      <c r="Z49" s="97"/>
      <c r="AA49" s="81"/>
      <c r="AB49" s="42"/>
      <c r="AC49" s="47"/>
    </row>
    <row r="50" spans="3:29" ht="24.4" customHeight="1" x14ac:dyDescent="0.25">
      <c r="C50" s="81"/>
      <c r="E50" s="47"/>
      <c r="F50" s="81"/>
      <c r="H50" s="47"/>
      <c r="I50" s="81"/>
      <c r="K50" s="47"/>
      <c r="L50" s="81"/>
      <c r="N50" s="47"/>
      <c r="O50" s="81"/>
      <c r="Q50" s="47"/>
      <c r="R50" s="81"/>
      <c r="T50" s="47"/>
      <c r="U50" s="81"/>
      <c r="V50" s="102"/>
      <c r="W50" s="47"/>
      <c r="X50" s="81"/>
      <c r="Y50" s="102"/>
      <c r="Z50" s="97"/>
      <c r="AA50" s="81"/>
      <c r="AB50" s="42"/>
      <c r="AC50" s="47"/>
    </row>
    <row r="51" spans="3:29" ht="24.4" customHeight="1" x14ac:dyDescent="0.25">
      <c r="C51" s="81"/>
      <c r="E51" s="47"/>
      <c r="F51" s="81"/>
      <c r="H51" s="47"/>
      <c r="I51" s="81"/>
      <c r="K51" s="47"/>
      <c r="L51" s="81"/>
      <c r="N51" s="47"/>
      <c r="O51" s="81"/>
      <c r="Q51" s="47"/>
      <c r="R51" s="81"/>
      <c r="T51" s="47"/>
      <c r="U51" s="81"/>
      <c r="V51" s="102"/>
      <c r="W51" s="47"/>
      <c r="X51" s="81"/>
      <c r="Y51" s="102"/>
      <c r="Z51" s="97"/>
      <c r="AA51" s="81"/>
      <c r="AB51" s="42"/>
      <c r="AC51" s="47"/>
    </row>
    <row r="52" spans="3:29" ht="24.4" customHeight="1" x14ac:dyDescent="0.25">
      <c r="C52" s="81"/>
      <c r="E52" s="47"/>
      <c r="F52" s="81"/>
      <c r="H52" s="47"/>
      <c r="I52" s="81"/>
      <c r="K52" s="47"/>
      <c r="L52" s="81"/>
      <c r="N52" s="47"/>
      <c r="O52" s="81"/>
      <c r="Q52" s="47"/>
      <c r="R52" s="81"/>
      <c r="T52" s="47"/>
      <c r="U52" s="81"/>
      <c r="V52" s="102"/>
      <c r="W52" s="47"/>
      <c r="X52" s="81"/>
      <c r="Y52" s="102"/>
      <c r="Z52" s="97"/>
      <c r="AA52" s="81"/>
      <c r="AB52" s="42"/>
      <c r="AC52" s="47"/>
    </row>
    <row r="53" spans="3:29" ht="24.4" customHeight="1" x14ac:dyDescent="0.25">
      <c r="C53" s="81"/>
      <c r="E53" s="47"/>
      <c r="F53" s="81"/>
      <c r="H53" s="47"/>
      <c r="I53" s="81"/>
      <c r="K53" s="47"/>
      <c r="L53" s="81"/>
      <c r="N53" s="47"/>
      <c r="O53" s="81"/>
      <c r="Q53" s="47"/>
      <c r="R53" s="81"/>
      <c r="T53" s="47"/>
      <c r="U53" s="81"/>
      <c r="V53" s="102"/>
      <c r="W53" s="47"/>
      <c r="X53" s="81"/>
      <c r="Y53" s="102"/>
      <c r="Z53" s="97"/>
      <c r="AA53" s="81"/>
      <c r="AB53" s="42"/>
      <c r="AC53" s="47"/>
    </row>
    <row r="54" spans="3:29" ht="24.4" customHeight="1" x14ac:dyDescent="0.25">
      <c r="C54" s="81"/>
      <c r="E54" s="47"/>
      <c r="F54" s="81"/>
      <c r="H54" s="47"/>
      <c r="I54" s="81"/>
      <c r="K54" s="47"/>
      <c r="L54" s="81"/>
      <c r="N54" s="47"/>
      <c r="O54" s="81"/>
      <c r="Q54" s="47"/>
      <c r="R54" s="81"/>
      <c r="T54" s="47"/>
      <c r="U54" s="81"/>
      <c r="V54" s="102"/>
      <c r="W54" s="47"/>
      <c r="X54" s="81"/>
      <c r="Y54" s="102"/>
      <c r="Z54" s="97"/>
      <c r="AA54" s="81"/>
      <c r="AB54" s="42"/>
      <c r="AC54" s="47"/>
    </row>
    <row r="55" spans="3:29" ht="24.4" customHeight="1" x14ac:dyDescent="0.25">
      <c r="C55" s="81"/>
      <c r="E55" s="47"/>
      <c r="F55" s="81"/>
      <c r="H55" s="47"/>
      <c r="I55" s="81"/>
      <c r="K55" s="47"/>
      <c r="L55" s="81"/>
      <c r="N55" s="47"/>
      <c r="O55" s="81"/>
      <c r="Q55" s="47"/>
      <c r="R55" s="81"/>
      <c r="T55" s="47"/>
      <c r="U55" s="50"/>
      <c r="W55" s="47"/>
      <c r="X55" s="81"/>
      <c r="Y55" s="102"/>
      <c r="Z55" s="97"/>
      <c r="AA55" s="81"/>
      <c r="AB55" s="42"/>
      <c r="AC55" s="47"/>
    </row>
    <row r="56" spans="3:29" ht="24.4" customHeight="1" x14ac:dyDescent="0.25">
      <c r="C56" s="81"/>
      <c r="E56" s="47"/>
      <c r="F56" s="81"/>
      <c r="H56" s="47"/>
      <c r="I56" s="81"/>
      <c r="K56" s="47"/>
      <c r="L56" s="81"/>
      <c r="N56" s="47"/>
      <c r="O56" s="81"/>
      <c r="Q56" s="47"/>
      <c r="R56" s="81"/>
      <c r="T56" s="47"/>
      <c r="U56" s="81"/>
      <c r="V56" s="102"/>
      <c r="W56" s="47"/>
      <c r="X56" s="81"/>
      <c r="Y56" s="102"/>
      <c r="Z56" s="97"/>
      <c r="AA56" s="81"/>
      <c r="AB56" s="42"/>
      <c r="AC56" s="47"/>
    </row>
    <row r="57" spans="3:29" ht="24.4" customHeight="1" x14ac:dyDescent="0.25">
      <c r="C57" s="81"/>
      <c r="E57" s="47"/>
      <c r="F57" s="81"/>
      <c r="H57" s="47"/>
      <c r="I57" s="81"/>
      <c r="K57" s="47"/>
      <c r="L57" s="81"/>
      <c r="N57" s="47"/>
      <c r="O57" s="81"/>
      <c r="Q57" s="47"/>
      <c r="R57" s="81"/>
      <c r="T57" s="47"/>
      <c r="U57" s="81"/>
      <c r="V57" s="102"/>
      <c r="W57" s="47"/>
      <c r="X57" s="81"/>
      <c r="Y57" s="102"/>
      <c r="Z57" s="97"/>
      <c r="AA57" s="81"/>
      <c r="AB57" s="42"/>
      <c r="AC57" s="47"/>
    </row>
    <row r="58" spans="3:29" ht="24.4" customHeight="1" x14ac:dyDescent="0.25">
      <c r="C58" s="81"/>
      <c r="E58" s="47"/>
      <c r="F58" s="81"/>
      <c r="H58" s="47"/>
      <c r="I58" s="81"/>
      <c r="K58" s="47"/>
      <c r="L58" s="81"/>
      <c r="N58" s="47"/>
      <c r="O58" s="81"/>
      <c r="Q58" s="47"/>
      <c r="R58" s="81"/>
      <c r="T58" s="47"/>
      <c r="U58" s="81"/>
      <c r="V58" s="102"/>
      <c r="W58" s="47"/>
      <c r="X58" s="81"/>
      <c r="Y58" s="102"/>
      <c r="Z58" s="97"/>
      <c r="AA58" s="81"/>
      <c r="AB58" s="42"/>
      <c r="AC58" s="47"/>
    </row>
    <row r="59" spans="3:29" ht="24.4" customHeight="1" x14ac:dyDescent="0.25">
      <c r="C59" s="81"/>
      <c r="E59" s="47"/>
      <c r="F59" s="81"/>
      <c r="H59" s="47"/>
      <c r="I59" s="81"/>
      <c r="K59" s="47"/>
      <c r="L59" s="81"/>
      <c r="N59" s="47"/>
      <c r="O59" s="81"/>
      <c r="Q59" s="47"/>
      <c r="R59" s="81"/>
      <c r="T59" s="47"/>
      <c r="U59" s="81"/>
      <c r="V59" s="102"/>
      <c r="W59" s="47"/>
      <c r="X59" s="81"/>
      <c r="Y59" s="102"/>
      <c r="Z59" s="97"/>
      <c r="AA59" s="81"/>
      <c r="AB59" s="42"/>
      <c r="AC59" s="47"/>
    </row>
    <row r="60" spans="3:29" ht="24.4" customHeight="1" x14ac:dyDescent="0.25">
      <c r="C60" s="81"/>
      <c r="E60" s="47"/>
      <c r="F60" s="81"/>
      <c r="H60" s="47"/>
      <c r="I60" s="81"/>
      <c r="K60" s="47"/>
      <c r="L60" s="81"/>
      <c r="N60" s="47"/>
      <c r="O60" s="81"/>
      <c r="Q60" s="47"/>
      <c r="R60" s="81"/>
      <c r="T60" s="47"/>
      <c r="U60" s="81"/>
      <c r="V60" s="102"/>
      <c r="W60" s="47"/>
      <c r="X60" s="81"/>
      <c r="Y60" s="102"/>
      <c r="Z60" s="97"/>
      <c r="AA60" s="81"/>
      <c r="AB60" s="42"/>
      <c r="AC60" s="47"/>
    </row>
    <row r="61" spans="3:29" ht="24.4" customHeight="1" x14ac:dyDescent="0.25">
      <c r="C61" s="81"/>
      <c r="E61" s="47"/>
      <c r="F61" s="81"/>
      <c r="H61" s="47"/>
      <c r="I61" s="81"/>
      <c r="K61" s="47"/>
      <c r="L61" s="81"/>
      <c r="N61" s="47"/>
      <c r="O61" s="81"/>
      <c r="Q61" s="47"/>
      <c r="R61" s="81"/>
      <c r="T61" s="47"/>
      <c r="U61" s="81"/>
      <c r="V61" s="102"/>
      <c r="W61" s="47"/>
      <c r="X61" s="81"/>
      <c r="Y61" s="102"/>
      <c r="Z61" s="97"/>
      <c r="AA61" s="81"/>
      <c r="AB61" s="42"/>
      <c r="AC61" s="47"/>
    </row>
    <row r="62" spans="3:29" ht="24.4" customHeight="1" x14ac:dyDescent="0.25">
      <c r="C62" s="81"/>
      <c r="E62" s="47"/>
      <c r="F62" s="81"/>
      <c r="H62" s="47"/>
      <c r="I62" s="81"/>
      <c r="K62" s="47"/>
      <c r="L62" s="81"/>
      <c r="N62" s="47"/>
      <c r="O62" s="81"/>
      <c r="Q62" s="47"/>
      <c r="R62" s="81"/>
      <c r="T62" s="47"/>
      <c r="U62" s="81"/>
      <c r="V62" s="102"/>
      <c r="W62" s="47"/>
      <c r="X62" s="81"/>
      <c r="Y62" s="102"/>
      <c r="Z62" s="97"/>
      <c r="AA62" s="81"/>
      <c r="AB62" s="42"/>
      <c r="AC62" s="47"/>
    </row>
    <row r="63" spans="3:29" ht="24.4" customHeight="1" x14ac:dyDescent="0.25">
      <c r="C63" s="81"/>
      <c r="E63" s="47"/>
      <c r="F63" s="81"/>
      <c r="H63" s="47"/>
      <c r="I63" s="81"/>
      <c r="K63" s="47"/>
      <c r="L63" s="81"/>
      <c r="N63" s="47"/>
      <c r="O63" s="81"/>
      <c r="Q63" s="47"/>
      <c r="R63" s="81"/>
      <c r="T63" s="47"/>
      <c r="U63" s="81"/>
      <c r="V63" s="102"/>
      <c r="W63" s="47"/>
      <c r="X63" s="81"/>
      <c r="Y63" s="102"/>
      <c r="Z63" s="97"/>
      <c r="AA63" s="81"/>
      <c r="AB63" s="42"/>
      <c r="AC63" s="47"/>
    </row>
    <row r="64" spans="3:29" ht="24.4" customHeight="1" x14ac:dyDescent="0.25">
      <c r="C64" s="81"/>
      <c r="E64" s="47"/>
      <c r="F64" s="81"/>
      <c r="H64" s="47"/>
      <c r="I64" s="81"/>
      <c r="K64" s="47"/>
      <c r="L64" s="81"/>
      <c r="N64" s="47"/>
      <c r="O64" s="81"/>
      <c r="Q64" s="47"/>
      <c r="R64" s="81"/>
      <c r="T64" s="47"/>
      <c r="U64" s="81"/>
      <c r="V64" s="102"/>
      <c r="W64" s="47"/>
      <c r="X64" s="81"/>
      <c r="Y64" s="102"/>
      <c r="Z64" s="97"/>
      <c r="AA64" s="81"/>
      <c r="AB64" s="42"/>
      <c r="AC64" s="47"/>
    </row>
    <row r="65" spans="3:29" ht="24.4" customHeight="1" x14ac:dyDescent="0.25">
      <c r="C65" s="81"/>
      <c r="E65" s="47"/>
      <c r="F65" s="81"/>
      <c r="H65" s="47"/>
      <c r="I65" s="81"/>
      <c r="K65" s="47"/>
      <c r="L65" s="81"/>
      <c r="N65" s="47"/>
      <c r="O65" s="81"/>
      <c r="Q65" s="47"/>
      <c r="R65" s="81"/>
      <c r="T65" s="47"/>
      <c r="U65" s="81"/>
      <c r="V65" s="102"/>
      <c r="W65" s="47"/>
      <c r="X65" s="81"/>
      <c r="Y65" s="102"/>
      <c r="Z65" s="97"/>
      <c r="AA65" s="81"/>
      <c r="AB65" s="42"/>
      <c r="AC65" s="47"/>
    </row>
    <row r="66" spans="3:29" ht="24.4" customHeight="1" x14ac:dyDescent="0.25">
      <c r="C66" s="81"/>
      <c r="E66" s="47"/>
      <c r="F66" s="81"/>
      <c r="H66" s="47"/>
      <c r="I66" s="81"/>
      <c r="K66" s="47"/>
      <c r="L66" s="81"/>
      <c r="N66" s="47"/>
      <c r="O66" s="81"/>
      <c r="Q66" s="47"/>
      <c r="R66" s="81"/>
      <c r="T66" s="47"/>
      <c r="U66" s="81"/>
      <c r="V66" s="102"/>
      <c r="W66" s="47"/>
      <c r="X66" s="81"/>
      <c r="Y66" s="102"/>
      <c r="Z66" s="97"/>
      <c r="AA66" s="81"/>
      <c r="AB66" s="42"/>
      <c r="AC66" s="47"/>
    </row>
    <row r="67" spans="3:29" ht="24.4" customHeight="1" x14ac:dyDescent="0.25">
      <c r="C67" s="81"/>
      <c r="E67" s="47"/>
      <c r="F67" s="81"/>
      <c r="H67" s="47"/>
      <c r="I67" s="81"/>
      <c r="K67" s="47"/>
      <c r="L67" s="81"/>
      <c r="N67" s="47"/>
      <c r="O67" s="81"/>
      <c r="Q67" s="47"/>
      <c r="R67" s="81"/>
      <c r="T67" s="47"/>
      <c r="U67" s="81"/>
      <c r="V67" s="102"/>
      <c r="W67" s="47"/>
      <c r="X67" s="81"/>
      <c r="Y67" s="102"/>
      <c r="Z67" s="97"/>
      <c r="AA67" s="81"/>
      <c r="AB67" s="42"/>
      <c r="AC67" s="47"/>
    </row>
    <row r="68" spans="3:29" ht="24.4" customHeight="1" x14ac:dyDescent="0.25">
      <c r="C68" s="81"/>
      <c r="E68" s="47"/>
      <c r="F68" s="81"/>
      <c r="H68" s="47"/>
      <c r="I68" s="81"/>
      <c r="K68" s="47"/>
      <c r="L68" s="81"/>
      <c r="N68" s="47"/>
      <c r="O68" s="81"/>
      <c r="Q68" s="47"/>
      <c r="R68" s="81"/>
      <c r="T68" s="47"/>
      <c r="U68" s="81"/>
      <c r="V68" s="102"/>
      <c r="W68" s="47"/>
      <c r="X68" s="81"/>
      <c r="Y68" s="102"/>
      <c r="Z68" s="97"/>
      <c r="AA68" s="81"/>
      <c r="AB68" s="42"/>
      <c r="AC68" s="47"/>
    </row>
    <row r="69" spans="3:29" ht="24.4" customHeight="1" x14ac:dyDescent="0.25">
      <c r="C69" s="81"/>
      <c r="E69" s="47"/>
      <c r="F69" s="81"/>
      <c r="H69" s="47"/>
      <c r="I69" s="81"/>
      <c r="K69" s="47"/>
      <c r="L69" s="81"/>
      <c r="N69" s="47"/>
      <c r="O69" s="81"/>
      <c r="Q69" s="47"/>
      <c r="R69" s="81"/>
      <c r="T69" s="47"/>
      <c r="U69" s="81"/>
      <c r="V69" s="102"/>
      <c r="W69" s="47"/>
      <c r="X69" s="81"/>
      <c r="Y69" s="102"/>
      <c r="Z69" s="97"/>
      <c r="AA69" s="81"/>
      <c r="AB69" s="42"/>
      <c r="AC69" s="47"/>
    </row>
    <row r="70" spans="3:29" ht="24.4" customHeight="1" x14ac:dyDescent="0.25">
      <c r="C70" s="81"/>
      <c r="E70" s="47"/>
      <c r="F70" s="81"/>
      <c r="H70" s="47"/>
      <c r="I70" s="81"/>
      <c r="K70" s="47"/>
      <c r="L70" s="81"/>
      <c r="N70" s="47"/>
      <c r="O70" s="81"/>
      <c r="Q70" s="47"/>
      <c r="R70" s="81"/>
      <c r="T70" s="47"/>
      <c r="U70" s="81"/>
      <c r="V70" s="102"/>
      <c r="W70" s="47"/>
      <c r="X70" s="81"/>
      <c r="Y70" s="102"/>
      <c r="Z70" s="97"/>
      <c r="AA70" s="81"/>
      <c r="AB70" s="42"/>
      <c r="AC70" s="47"/>
    </row>
    <row r="71" spans="3:29" ht="24.4" customHeight="1" x14ac:dyDescent="0.25">
      <c r="C71" s="81"/>
      <c r="E71" s="47"/>
      <c r="F71" s="81"/>
      <c r="H71" s="47"/>
      <c r="I71" s="81"/>
      <c r="K71" s="47"/>
      <c r="L71" s="81"/>
      <c r="N71" s="47"/>
      <c r="O71" s="81"/>
      <c r="Q71" s="47"/>
      <c r="R71" s="81"/>
      <c r="T71" s="47"/>
      <c r="U71" s="81"/>
      <c r="V71" s="102"/>
      <c r="W71" s="47"/>
      <c r="X71" s="81"/>
      <c r="Y71" s="102"/>
      <c r="Z71" s="97"/>
      <c r="AA71" s="81"/>
      <c r="AB71" s="42"/>
      <c r="AC71" s="47"/>
    </row>
    <row r="72" spans="3:29" ht="24.4" customHeight="1" x14ac:dyDescent="0.25">
      <c r="C72" s="81"/>
      <c r="E72" s="47"/>
      <c r="F72" s="81"/>
      <c r="H72" s="47"/>
      <c r="I72" s="81"/>
      <c r="K72" s="47"/>
      <c r="L72" s="81"/>
      <c r="N72" s="47"/>
      <c r="O72" s="81"/>
      <c r="Q72" s="47"/>
      <c r="R72" s="81"/>
      <c r="T72" s="47"/>
      <c r="U72" s="81"/>
      <c r="V72" s="102"/>
      <c r="W72" s="47"/>
      <c r="X72" s="97"/>
      <c r="Y72" s="102"/>
      <c r="Z72" s="97"/>
      <c r="AA72" s="81"/>
      <c r="AB72" s="42"/>
      <c r="AC72" s="47"/>
    </row>
    <row r="73" spans="3:29" ht="24.4" customHeight="1" x14ac:dyDescent="0.25">
      <c r="C73" s="81"/>
      <c r="E73" s="47"/>
      <c r="F73" s="81"/>
      <c r="H73" s="47"/>
      <c r="I73" s="81"/>
      <c r="K73" s="47"/>
      <c r="L73" s="81"/>
      <c r="N73" s="47"/>
      <c r="O73" s="81"/>
      <c r="Q73" s="47"/>
      <c r="R73" s="81"/>
      <c r="T73" s="47"/>
      <c r="U73" s="81"/>
      <c r="V73" s="102"/>
      <c r="W73" s="47"/>
      <c r="X73" s="97"/>
      <c r="Y73" s="102"/>
      <c r="Z73" s="97"/>
      <c r="AA73" s="81"/>
      <c r="AB73" s="42"/>
      <c r="AC73" s="47"/>
    </row>
    <row r="74" spans="3:29" ht="24.4" customHeight="1" x14ac:dyDescent="0.25">
      <c r="C74" s="81"/>
      <c r="E74" s="47"/>
      <c r="F74" s="81"/>
      <c r="H74" s="47"/>
      <c r="I74" s="81"/>
      <c r="K74" s="47"/>
      <c r="L74" s="81"/>
      <c r="N74" s="47"/>
      <c r="O74" s="81"/>
      <c r="Q74" s="47"/>
      <c r="R74" s="81"/>
      <c r="T74" s="47"/>
      <c r="U74" s="81"/>
      <c r="V74" s="102"/>
      <c r="W74" s="47"/>
      <c r="X74" s="97"/>
      <c r="Y74" s="97"/>
      <c r="Z74" s="97"/>
      <c r="AA74" s="81"/>
      <c r="AB74" s="42"/>
      <c r="AC74" s="47"/>
    </row>
    <row r="75" spans="3:29" ht="24.4" customHeight="1" x14ac:dyDescent="0.25">
      <c r="C75" s="81"/>
      <c r="E75" s="47"/>
      <c r="F75" s="81"/>
      <c r="H75" s="47"/>
      <c r="I75" s="81"/>
      <c r="K75" s="47"/>
      <c r="L75" s="81"/>
      <c r="N75" s="47"/>
      <c r="O75" s="81"/>
      <c r="Q75" s="47"/>
      <c r="R75" s="81"/>
      <c r="T75" s="47"/>
      <c r="U75" s="81"/>
      <c r="V75" s="102"/>
      <c r="W75" s="47"/>
      <c r="X75" s="97"/>
      <c r="Y75" s="97"/>
      <c r="Z75" s="97"/>
      <c r="AA75" s="81"/>
      <c r="AB75" s="42"/>
      <c r="AC75" s="47"/>
    </row>
    <row r="76" spans="3:29" ht="24.4" customHeight="1" x14ac:dyDescent="0.25">
      <c r="C76" s="81"/>
      <c r="E76" s="47"/>
      <c r="F76" s="81"/>
      <c r="H76" s="47"/>
      <c r="I76" s="81"/>
      <c r="K76" s="47"/>
      <c r="L76" s="81"/>
      <c r="N76" s="47"/>
      <c r="O76" s="81"/>
      <c r="Q76" s="47"/>
      <c r="R76" s="81"/>
      <c r="T76" s="47"/>
      <c r="U76" s="81"/>
      <c r="V76" s="102"/>
      <c r="W76" s="47"/>
      <c r="X76" s="97"/>
      <c r="Y76" s="97"/>
      <c r="Z76" s="97"/>
      <c r="AA76" s="81"/>
      <c r="AB76" s="42"/>
      <c r="AC76" s="47"/>
    </row>
    <row r="77" spans="3:29" ht="24.4" customHeight="1" x14ac:dyDescent="0.25">
      <c r="C77" s="81"/>
      <c r="E77" s="47"/>
      <c r="F77" s="81"/>
      <c r="H77" s="47"/>
      <c r="I77" s="81"/>
      <c r="K77" s="47"/>
      <c r="L77" s="81"/>
      <c r="N77" s="47"/>
      <c r="O77" s="81"/>
      <c r="Q77" s="47"/>
      <c r="R77" s="81"/>
      <c r="T77" s="47"/>
      <c r="U77" s="81"/>
      <c r="V77" s="102"/>
      <c r="W77" s="47"/>
      <c r="X77" s="97"/>
      <c r="Y77" s="97"/>
      <c r="Z77" s="97"/>
      <c r="AA77" s="81"/>
      <c r="AB77" s="42"/>
      <c r="AC77" s="47"/>
    </row>
    <row r="78" spans="3:29" ht="24.4" customHeight="1" x14ac:dyDescent="0.25">
      <c r="C78" s="81"/>
      <c r="E78" s="47"/>
      <c r="F78" s="81"/>
      <c r="H78" s="47"/>
      <c r="I78" s="81"/>
      <c r="K78" s="47"/>
      <c r="L78" s="81"/>
      <c r="N78" s="47"/>
      <c r="O78" s="81"/>
      <c r="Q78" s="47"/>
      <c r="R78" s="81"/>
      <c r="T78" s="47"/>
      <c r="U78" s="81"/>
      <c r="V78" s="102"/>
      <c r="W78" s="47"/>
      <c r="X78" s="97"/>
      <c r="Y78" s="97"/>
      <c r="Z78" s="97"/>
      <c r="AA78" s="81"/>
      <c r="AB78" s="42"/>
      <c r="AC78" s="47"/>
    </row>
    <row r="79" spans="3:29" ht="24.4" customHeight="1" x14ac:dyDescent="0.25">
      <c r="C79" s="81"/>
      <c r="E79" s="47"/>
      <c r="F79" s="81"/>
      <c r="H79" s="47"/>
      <c r="I79" s="81"/>
      <c r="K79" s="47"/>
      <c r="L79" s="81"/>
      <c r="N79" s="47"/>
      <c r="O79" s="81"/>
      <c r="Q79" s="47"/>
      <c r="R79" s="81"/>
      <c r="T79" s="47"/>
      <c r="U79" s="81"/>
      <c r="V79" s="102"/>
      <c r="W79" s="47"/>
      <c r="X79" s="97"/>
      <c r="Y79" s="97"/>
      <c r="Z79" s="97"/>
      <c r="AA79" s="81"/>
      <c r="AB79" s="42"/>
      <c r="AC79" s="47"/>
    </row>
    <row r="80" spans="3:29" ht="24.4" customHeight="1" x14ac:dyDescent="0.25">
      <c r="C80" s="81"/>
      <c r="E80" s="47"/>
      <c r="F80" s="81"/>
      <c r="H80" s="47"/>
      <c r="I80" s="81"/>
      <c r="K80" s="47"/>
      <c r="L80" s="81"/>
      <c r="N80" s="47"/>
      <c r="O80" s="81"/>
      <c r="Q80" s="47"/>
      <c r="R80" s="81"/>
      <c r="T80" s="47"/>
      <c r="U80" s="47"/>
      <c r="W80" s="47"/>
      <c r="X80" s="97"/>
      <c r="Y80" s="97"/>
      <c r="Z80" s="97"/>
      <c r="AA80" s="81"/>
      <c r="AB80" s="42"/>
      <c r="AC80" s="47"/>
    </row>
    <row r="81" spans="3:29" ht="24.4" customHeight="1" x14ac:dyDescent="0.25">
      <c r="C81" s="81"/>
      <c r="E81" s="47"/>
      <c r="F81" s="81"/>
      <c r="H81" s="47"/>
      <c r="I81" s="81"/>
      <c r="K81" s="47"/>
      <c r="L81" s="81"/>
      <c r="N81" s="47"/>
      <c r="O81" s="81"/>
      <c r="Q81" s="47"/>
      <c r="R81" s="81"/>
      <c r="T81" s="47"/>
      <c r="U81" s="47"/>
      <c r="W81" s="47"/>
      <c r="X81" s="97"/>
      <c r="Y81" s="97"/>
      <c r="Z81" s="97"/>
      <c r="AA81" s="81"/>
      <c r="AB81" s="42"/>
      <c r="AC81" s="47"/>
    </row>
    <row r="82" spans="3:29" ht="24.4" customHeight="1" x14ac:dyDescent="0.25">
      <c r="C82" s="81"/>
      <c r="E82" s="47"/>
      <c r="F82" s="81"/>
      <c r="H82" s="47"/>
      <c r="I82" s="81"/>
      <c r="K82" s="47"/>
      <c r="L82" s="81"/>
      <c r="N82" s="47"/>
      <c r="O82" s="81"/>
      <c r="Q82" s="47"/>
      <c r="R82" s="81"/>
      <c r="T82" s="47"/>
      <c r="U82" s="47"/>
      <c r="W82" s="47"/>
      <c r="X82" s="97"/>
      <c r="Y82" s="97"/>
      <c r="Z82" s="97"/>
      <c r="AA82" s="81"/>
      <c r="AB82" s="42"/>
      <c r="AC82" s="47"/>
    </row>
    <row r="83" spans="3:29" ht="24.4" customHeight="1" x14ac:dyDescent="0.25">
      <c r="C83" s="81"/>
      <c r="E83" s="47"/>
      <c r="F83" s="81"/>
      <c r="H83" s="47"/>
      <c r="I83" s="81"/>
      <c r="K83" s="47"/>
      <c r="L83" s="81"/>
      <c r="N83" s="47"/>
      <c r="O83" s="81"/>
      <c r="Q83" s="47"/>
      <c r="R83" s="81"/>
      <c r="T83" s="47"/>
      <c r="U83" s="47"/>
      <c r="W83" s="47"/>
      <c r="X83" s="97"/>
      <c r="Y83" s="97"/>
      <c r="Z83" s="97"/>
      <c r="AA83" s="81"/>
      <c r="AB83" s="42"/>
      <c r="AC83" s="47"/>
    </row>
    <row r="84" spans="3:29" ht="24.4" customHeight="1" x14ac:dyDescent="0.25">
      <c r="C84" s="81"/>
      <c r="E84" s="47"/>
      <c r="F84" s="81"/>
      <c r="H84" s="47"/>
      <c r="I84" s="81"/>
      <c r="K84" s="47"/>
      <c r="L84" s="81"/>
      <c r="N84" s="47"/>
      <c r="O84" s="81"/>
      <c r="Q84" s="47"/>
      <c r="R84" s="81"/>
      <c r="T84" s="47"/>
      <c r="U84" s="47"/>
      <c r="W84" s="47"/>
      <c r="X84" s="97"/>
      <c r="Y84" s="97"/>
      <c r="Z84" s="97"/>
      <c r="AA84" s="81"/>
      <c r="AB84" s="42"/>
      <c r="AC84" s="47"/>
    </row>
    <row r="85" spans="3:29" ht="24.4" customHeight="1" x14ac:dyDescent="0.25">
      <c r="C85" s="81"/>
      <c r="E85" s="47"/>
      <c r="F85" s="81"/>
      <c r="H85" s="47"/>
      <c r="I85" s="81"/>
      <c r="K85" s="47"/>
      <c r="L85" s="81"/>
      <c r="N85" s="47"/>
      <c r="O85" s="81"/>
      <c r="Q85" s="47"/>
      <c r="R85" s="81"/>
      <c r="T85" s="47"/>
      <c r="U85" s="47"/>
      <c r="W85" s="47"/>
      <c r="X85" s="97"/>
      <c r="Y85" s="97"/>
      <c r="Z85" s="97"/>
      <c r="AA85" s="81"/>
      <c r="AB85" s="42"/>
      <c r="AC85" s="47"/>
    </row>
    <row r="86" spans="3:29" ht="24.4" customHeight="1" x14ac:dyDescent="0.25">
      <c r="C86" s="81"/>
      <c r="E86" s="47"/>
      <c r="F86" s="81"/>
      <c r="H86" s="47"/>
      <c r="I86" s="81"/>
      <c r="K86" s="47"/>
      <c r="L86" s="81"/>
      <c r="N86" s="47"/>
      <c r="O86" s="81"/>
      <c r="Q86" s="47"/>
      <c r="R86" s="81"/>
      <c r="T86" s="47"/>
      <c r="U86" s="47"/>
      <c r="W86" s="47"/>
      <c r="X86" s="97"/>
      <c r="Y86" s="97"/>
      <c r="Z86" s="97"/>
      <c r="AA86" s="81"/>
      <c r="AB86" s="42"/>
      <c r="AC86" s="47"/>
    </row>
    <row r="87" spans="3:29" ht="24.4" customHeight="1" x14ac:dyDescent="0.25">
      <c r="C87" s="81"/>
      <c r="E87" s="47"/>
      <c r="F87" s="81"/>
      <c r="H87" s="47"/>
      <c r="I87" s="81"/>
      <c r="K87" s="47"/>
      <c r="L87" s="81"/>
      <c r="N87" s="47"/>
      <c r="O87" s="81"/>
      <c r="Q87" s="47"/>
      <c r="R87" s="81"/>
      <c r="T87" s="47"/>
      <c r="U87" s="47"/>
      <c r="W87" s="47"/>
      <c r="X87" s="97"/>
      <c r="Y87" s="97"/>
      <c r="Z87" s="97"/>
      <c r="AA87" s="81"/>
      <c r="AB87" s="42"/>
      <c r="AC87" s="47"/>
    </row>
    <row r="88" spans="3:29" ht="24.4" customHeight="1" x14ac:dyDescent="0.25">
      <c r="C88" s="81"/>
      <c r="E88" s="47"/>
      <c r="F88" s="81"/>
      <c r="H88" s="47"/>
      <c r="I88" s="81"/>
      <c r="K88" s="47"/>
      <c r="L88" s="81"/>
      <c r="N88" s="47"/>
      <c r="O88" s="81"/>
      <c r="Q88" s="47"/>
      <c r="R88" s="81"/>
      <c r="T88" s="47"/>
      <c r="U88" s="47"/>
      <c r="W88" s="47"/>
      <c r="X88" s="97"/>
      <c r="Y88" s="97"/>
      <c r="Z88" s="97"/>
      <c r="AA88" s="81"/>
      <c r="AB88" s="42"/>
      <c r="AC88" s="47"/>
    </row>
    <row r="89" spans="3:29" ht="24.4" customHeight="1" x14ac:dyDescent="0.25">
      <c r="C89" s="81"/>
      <c r="E89" s="47"/>
      <c r="F89" s="81"/>
      <c r="H89" s="47"/>
      <c r="I89" s="81"/>
      <c r="K89" s="47"/>
      <c r="L89" s="81"/>
      <c r="N89" s="47"/>
      <c r="O89" s="81"/>
      <c r="Q89" s="47"/>
      <c r="R89" s="81"/>
      <c r="T89" s="47"/>
      <c r="U89" s="47"/>
      <c r="W89" s="47"/>
      <c r="X89" s="97"/>
      <c r="Y89" s="97"/>
      <c r="Z89" s="97"/>
      <c r="AA89" s="81"/>
      <c r="AB89" s="42"/>
      <c r="AC89" s="47"/>
    </row>
    <row r="90" spans="3:29" ht="24.4" customHeight="1" x14ac:dyDescent="0.25">
      <c r="C90" s="81"/>
      <c r="E90" s="47"/>
      <c r="F90" s="81"/>
      <c r="H90" s="47"/>
      <c r="I90" s="81"/>
      <c r="K90" s="47"/>
      <c r="L90" s="81"/>
      <c r="N90" s="47"/>
      <c r="O90" s="81"/>
      <c r="Q90" s="47"/>
      <c r="R90" s="81"/>
      <c r="T90" s="47"/>
      <c r="U90" s="47"/>
      <c r="W90" s="47"/>
      <c r="X90" s="97"/>
      <c r="Y90" s="97"/>
      <c r="Z90" s="97"/>
      <c r="AA90" s="81"/>
      <c r="AB90" s="42"/>
      <c r="AC90" s="47"/>
    </row>
    <row r="91" spans="3:29" ht="24.4" customHeight="1" x14ac:dyDescent="0.25">
      <c r="C91" s="81"/>
      <c r="E91" s="47"/>
      <c r="F91" s="81"/>
      <c r="H91" s="47"/>
      <c r="I91" s="81"/>
      <c r="K91" s="47"/>
      <c r="L91" s="81"/>
      <c r="N91" s="47"/>
      <c r="O91" s="81"/>
      <c r="Q91" s="47"/>
      <c r="R91" s="81"/>
      <c r="T91" s="47"/>
      <c r="U91" s="47"/>
      <c r="W91" s="47"/>
      <c r="X91" s="97"/>
      <c r="Y91" s="97"/>
      <c r="Z91" s="97"/>
      <c r="AA91" s="81"/>
      <c r="AB91" s="42"/>
      <c r="AC91" s="47"/>
    </row>
    <row r="92" spans="3:29" ht="24.4" customHeight="1" x14ac:dyDescent="0.25">
      <c r="C92" s="81"/>
      <c r="E92" s="47"/>
      <c r="F92" s="81"/>
      <c r="H92" s="47"/>
      <c r="I92" s="81"/>
      <c r="K92" s="47"/>
      <c r="L92" s="81"/>
      <c r="N92" s="47"/>
      <c r="O92" s="81"/>
      <c r="Q92" s="47"/>
      <c r="R92" s="81"/>
      <c r="T92" s="47"/>
      <c r="U92" s="47"/>
      <c r="W92" s="47"/>
      <c r="X92" s="97"/>
      <c r="Y92" s="97"/>
      <c r="Z92" s="97"/>
      <c r="AA92" s="81"/>
      <c r="AB92" s="42"/>
      <c r="AC92" s="47"/>
    </row>
    <row r="93" spans="3:29" ht="24.4" customHeight="1" x14ac:dyDescent="0.25">
      <c r="C93" s="81"/>
      <c r="E93" s="47"/>
      <c r="F93" s="81"/>
      <c r="H93" s="47"/>
      <c r="I93" s="81"/>
      <c r="K93" s="47"/>
      <c r="L93" s="81"/>
      <c r="N93" s="47"/>
      <c r="O93" s="81"/>
      <c r="Q93" s="47"/>
      <c r="R93" s="81"/>
      <c r="T93" s="47"/>
      <c r="U93" s="47"/>
      <c r="W93" s="47"/>
      <c r="X93" s="97"/>
      <c r="Y93" s="97"/>
      <c r="Z93" s="97"/>
      <c r="AA93" s="81"/>
      <c r="AB93" s="42"/>
      <c r="AC93" s="47"/>
    </row>
    <row r="94" spans="3:29" ht="24.4" customHeight="1" x14ac:dyDescent="0.25">
      <c r="C94" s="81"/>
      <c r="E94" s="47"/>
      <c r="F94" s="81"/>
      <c r="H94" s="47"/>
      <c r="I94" s="81"/>
      <c r="K94" s="47"/>
      <c r="L94" s="81"/>
      <c r="N94" s="47"/>
      <c r="O94" s="81"/>
      <c r="Q94" s="47"/>
      <c r="R94" s="81"/>
      <c r="T94" s="47"/>
      <c r="U94" s="47"/>
      <c r="W94" s="47"/>
      <c r="X94" s="97"/>
      <c r="Y94" s="97"/>
      <c r="Z94" s="97"/>
      <c r="AA94" s="81"/>
      <c r="AB94" s="42"/>
      <c r="AC94" s="47"/>
    </row>
    <row r="95" spans="3:29" ht="24.4" customHeight="1" x14ac:dyDescent="0.25">
      <c r="C95" s="81"/>
      <c r="E95" s="47"/>
      <c r="F95" s="81"/>
      <c r="H95" s="47"/>
      <c r="I95" s="81"/>
      <c r="K95" s="47"/>
      <c r="L95" s="81"/>
      <c r="N95" s="47"/>
      <c r="O95" s="81"/>
      <c r="Q95" s="47"/>
      <c r="R95" s="81"/>
      <c r="T95" s="47"/>
      <c r="U95" s="47"/>
      <c r="W95" s="47"/>
      <c r="X95" s="97"/>
      <c r="Y95" s="97"/>
      <c r="Z95" s="97"/>
      <c r="AA95" s="81"/>
      <c r="AB95" s="42"/>
      <c r="AC95" s="47"/>
    </row>
    <row r="96" spans="3:29" ht="24.4" customHeight="1" x14ac:dyDescent="0.25">
      <c r="C96" s="81"/>
      <c r="E96" s="47"/>
      <c r="F96" s="81"/>
      <c r="H96" s="47"/>
      <c r="I96" s="81"/>
      <c r="K96" s="47"/>
      <c r="L96" s="81"/>
      <c r="N96" s="47"/>
      <c r="O96" s="81"/>
      <c r="Q96" s="47"/>
      <c r="R96" s="81"/>
      <c r="T96" s="47"/>
      <c r="U96" s="47"/>
      <c r="W96" s="47"/>
      <c r="X96" s="97"/>
      <c r="Y96" s="97"/>
      <c r="Z96" s="97"/>
      <c r="AA96" s="81"/>
      <c r="AB96" s="42"/>
      <c r="AC96" s="47"/>
    </row>
    <row r="97" spans="3:29" ht="24.4" customHeight="1" x14ac:dyDescent="0.25">
      <c r="C97" s="81"/>
      <c r="E97" s="47"/>
      <c r="F97" s="81"/>
      <c r="H97" s="47"/>
      <c r="I97" s="81"/>
      <c r="K97" s="47"/>
      <c r="L97" s="81"/>
      <c r="N97" s="47"/>
      <c r="O97" s="81"/>
      <c r="Q97" s="47"/>
      <c r="R97" s="81"/>
      <c r="T97" s="47"/>
      <c r="U97" s="47"/>
      <c r="W97" s="47"/>
      <c r="X97" s="97"/>
      <c r="Y97" s="97"/>
      <c r="Z97" s="97"/>
      <c r="AA97" s="81"/>
      <c r="AB97" s="42"/>
      <c r="AC97" s="47"/>
    </row>
    <row r="98" spans="3:29" ht="24.4" customHeight="1" x14ac:dyDescent="0.25">
      <c r="C98" s="81"/>
      <c r="E98" s="47"/>
      <c r="F98" s="81"/>
      <c r="H98" s="47"/>
      <c r="I98" s="81"/>
      <c r="K98" s="47"/>
      <c r="L98" s="81"/>
      <c r="N98" s="47"/>
      <c r="O98" s="81"/>
      <c r="Q98" s="47"/>
      <c r="R98" s="81"/>
      <c r="T98" s="47"/>
      <c r="U98" s="47"/>
      <c r="W98" s="47"/>
      <c r="X98" s="97"/>
      <c r="Y98" s="97"/>
      <c r="Z98" s="97"/>
      <c r="AA98" s="81"/>
      <c r="AB98" s="42"/>
      <c r="AC98" s="47"/>
    </row>
    <row r="99" spans="3:29" ht="24.4" customHeight="1" x14ac:dyDescent="0.25">
      <c r="C99" s="81"/>
      <c r="E99" s="47"/>
      <c r="F99" s="81"/>
      <c r="H99" s="47"/>
      <c r="I99" s="81"/>
      <c r="K99" s="47"/>
      <c r="L99" s="81"/>
      <c r="N99" s="47"/>
      <c r="O99" s="81"/>
      <c r="Q99" s="47"/>
      <c r="R99" s="81"/>
      <c r="T99" s="47"/>
      <c r="U99" s="47"/>
      <c r="W99" s="47"/>
      <c r="X99" s="97"/>
      <c r="Y99" s="97"/>
      <c r="Z99" s="97"/>
      <c r="AA99" s="81"/>
      <c r="AB99" s="42"/>
      <c r="AC99" s="47"/>
    </row>
    <row r="100" spans="3:29" ht="24.4" customHeight="1" x14ac:dyDescent="0.25">
      <c r="C100" s="81"/>
      <c r="E100" s="47"/>
      <c r="F100" s="81"/>
      <c r="H100" s="47"/>
      <c r="I100" s="81"/>
      <c r="K100" s="47"/>
      <c r="L100" s="81"/>
      <c r="N100" s="47"/>
      <c r="O100" s="81"/>
      <c r="Q100" s="47"/>
      <c r="R100" s="81"/>
      <c r="T100" s="47"/>
      <c r="U100" s="47"/>
      <c r="W100" s="47"/>
      <c r="X100" s="97"/>
      <c r="Y100" s="97"/>
      <c r="Z100" s="97"/>
      <c r="AA100" s="81"/>
      <c r="AB100" s="42"/>
      <c r="AC100" s="47"/>
    </row>
    <row r="101" spans="3:29" ht="24.4" customHeight="1" x14ac:dyDescent="0.25">
      <c r="C101" s="81"/>
      <c r="E101" s="47"/>
      <c r="F101" s="81"/>
      <c r="H101" s="47"/>
      <c r="I101" s="81"/>
      <c r="K101" s="47"/>
      <c r="L101" s="81"/>
      <c r="N101" s="47"/>
      <c r="O101" s="81"/>
      <c r="Q101" s="47"/>
      <c r="R101" s="81"/>
      <c r="T101" s="47"/>
      <c r="U101" s="47"/>
      <c r="W101" s="47"/>
      <c r="X101" s="97"/>
      <c r="Y101" s="97"/>
      <c r="Z101" s="97"/>
      <c r="AA101" s="81"/>
      <c r="AB101" s="42"/>
      <c r="AC101" s="47"/>
    </row>
    <row r="102" spans="3:29" ht="24.4" customHeight="1" x14ac:dyDescent="0.25">
      <c r="C102" s="81"/>
      <c r="E102" s="47"/>
      <c r="F102" s="81"/>
      <c r="H102" s="47"/>
      <c r="I102" s="81"/>
      <c r="K102" s="47"/>
      <c r="L102" s="81"/>
      <c r="N102" s="47"/>
      <c r="O102" s="81"/>
      <c r="Q102" s="47"/>
      <c r="R102" s="81"/>
      <c r="T102" s="47"/>
      <c r="U102" s="47"/>
      <c r="W102" s="47"/>
      <c r="X102" s="97"/>
      <c r="Y102" s="97"/>
      <c r="Z102" s="97"/>
      <c r="AA102" s="81"/>
      <c r="AB102" s="42"/>
      <c r="AC102" s="47"/>
    </row>
    <row r="103" spans="3:29" ht="24.4" customHeight="1" x14ac:dyDescent="0.25">
      <c r="C103" s="81"/>
      <c r="E103" s="47"/>
      <c r="F103" s="81"/>
      <c r="H103" s="47"/>
      <c r="I103" s="81"/>
      <c r="K103" s="47"/>
      <c r="L103" s="81"/>
      <c r="N103" s="47"/>
      <c r="O103" s="81"/>
      <c r="Q103" s="47"/>
      <c r="R103" s="81"/>
      <c r="T103" s="47"/>
      <c r="U103" s="47"/>
      <c r="W103" s="47"/>
      <c r="X103" s="97"/>
      <c r="Y103" s="97"/>
      <c r="Z103" s="97"/>
      <c r="AA103" s="81"/>
      <c r="AB103" s="42"/>
      <c r="AC103" s="47"/>
    </row>
    <row r="104" spans="3:29" ht="24.4" customHeight="1" x14ac:dyDescent="0.25">
      <c r="C104" s="81"/>
      <c r="E104" s="47"/>
      <c r="F104" s="81"/>
      <c r="H104" s="47"/>
      <c r="I104" s="81"/>
      <c r="K104" s="47"/>
      <c r="L104" s="81"/>
      <c r="N104" s="47"/>
      <c r="O104" s="81"/>
      <c r="Q104" s="47"/>
      <c r="R104" s="81"/>
      <c r="T104" s="47"/>
      <c r="U104" s="47"/>
      <c r="W104" s="47"/>
      <c r="X104" s="97"/>
      <c r="Y104" s="97"/>
      <c r="Z104" s="97"/>
      <c r="AA104" s="81"/>
      <c r="AB104" s="42"/>
      <c r="AC104" s="47"/>
    </row>
    <row r="105" spans="3:29" ht="24.4" customHeight="1" x14ac:dyDescent="0.25">
      <c r="C105" s="81"/>
      <c r="E105" s="47"/>
      <c r="F105" s="81"/>
      <c r="H105" s="47"/>
      <c r="I105" s="81"/>
      <c r="K105" s="47"/>
      <c r="L105" s="81"/>
      <c r="N105" s="47"/>
      <c r="O105" s="81"/>
      <c r="Q105" s="47"/>
      <c r="R105" s="81"/>
      <c r="T105" s="47"/>
      <c r="U105" s="47"/>
      <c r="W105" s="47"/>
      <c r="X105" s="97"/>
      <c r="Y105" s="97"/>
      <c r="Z105" s="97"/>
      <c r="AA105" s="81"/>
      <c r="AB105" s="42"/>
      <c r="AC105" s="47"/>
    </row>
    <row r="106" spans="3:29" ht="24.4" customHeight="1" x14ac:dyDescent="0.25">
      <c r="C106" s="81"/>
      <c r="E106" s="47"/>
      <c r="F106" s="81"/>
      <c r="H106" s="47"/>
      <c r="I106" s="81"/>
      <c r="K106" s="47"/>
      <c r="L106" s="81"/>
      <c r="N106" s="47"/>
      <c r="O106" s="81"/>
      <c r="Q106" s="47"/>
      <c r="R106" s="81"/>
      <c r="T106" s="47"/>
      <c r="U106" s="47"/>
      <c r="W106" s="47"/>
      <c r="X106" s="97"/>
      <c r="Y106" s="97"/>
      <c r="Z106" s="97"/>
      <c r="AA106" s="81"/>
      <c r="AB106" s="42"/>
      <c r="AC106" s="47"/>
    </row>
    <row r="107" spans="3:29" ht="24.4" customHeight="1" x14ac:dyDescent="0.25">
      <c r="C107" s="81"/>
      <c r="E107" s="47"/>
      <c r="F107" s="81"/>
      <c r="H107" s="47"/>
      <c r="I107" s="81"/>
      <c r="K107" s="47"/>
      <c r="L107" s="81"/>
      <c r="N107" s="47"/>
      <c r="O107" s="81"/>
      <c r="Q107" s="47"/>
      <c r="R107" s="81"/>
      <c r="T107" s="47"/>
      <c r="U107" s="47"/>
      <c r="W107" s="47"/>
      <c r="X107" s="97"/>
      <c r="Y107" s="97"/>
      <c r="Z107" s="97"/>
      <c r="AA107" s="81"/>
      <c r="AB107" s="42"/>
      <c r="AC107" s="47"/>
    </row>
    <row r="108" spans="3:29" ht="24.4" customHeight="1" x14ac:dyDescent="0.25">
      <c r="C108" s="81"/>
      <c r="E108" s="47"/>
      <c r="F108" s="81"/>
      <c r="H108" s="47"/>
      <c r="I108" s="81"/>
      <c r="K108" s="47"/>
      <c r="L108" s="81"/>
      <c r="N108" s="47"/>
      <c r="O108" s="81"/>
      <c r="Q108" s="47"/>
      <c r="R108" s="81"/>
      <c r="T108" s="47"/>
      <c r="U108" s="47"/>
      <c r="W108" s="47"/>
      <c r="X108" s="97"/>
      <c r="Y108" s="97"/>
      <c r="Z108" s="97"/>
      <c r="AA108" s="81"/>
      <c r="AB108" s="42"/>
      <c r="AC108" s="47"/>
    </row>
    <row r="109" spans="3:29" ht="24.4" customHeight="1" x14ac:dyDescent="0.25">
      <c r="C109" s="81"/>
      <c r="E109" s="47"/>
      <c r="F109" s="81"/>
      <c r="H109" s="47"/>
      <c r="I109" s="81"/>
      <c r="K109" s="47"/>
      <c r="L109" s="81"/>
      <c r="N109" s="47"/>
      <c r="O109" s="81"/>
      <c r="Q109" s="47"/>
      <c r="R109" s="81"/>
      <c r="T109" s="47"/>
      <c r="U109" s="47"/>
      <c r="W109" s="47"/>
      <c r="X109" s="97"/>
      <c r="Y109" s="97"/>
      <c r="Z109" s="97"/>
      <c r="AA109" s="81"/>
      <c r="AB109" s="42"/>
      <c r="AC109" s="47"/>
    </row>
    <row r="110" spans="3:29" ht="24.4" customHeight="1" x14ac:dyDescent="0.25">
      <c r="C110" s="81"/>
      <c r="E110" s="47"/>
      <c r="F110" s="81"/>
      <c r="H110" s="47"/>
      <c r="I110" s="81"/>
      <c r="K110" s="47"/>
      <c r="L110" s="81"/>
      <c r="N110" s="47"/>
      <c r="O110" s="81"/>
      <c r="Q110" s="47"/>
      <c r="R110" s="81"/>
      <c r="T110" s="47"/>
      <c r="U110" s="47"/>
      <c r="W110" s="47"/>
      <c r="X110" s="97"/>
      <c r="Y110" s="97"/>
      <c r="Z110" s="97"/>
      <c r="AA110" s="81"/>
      <c r="AB110" s="42"/>
      <c r="AC110" s="47"/>
    </row>
    <row r="111" spans="3:29" ht="24.4" customHeight="1" x14ac:dyDescent="0.25">
      <c r="C111" s="81"/>
      <c r="E111" s="47"/>
      <c r="F111" s="81"/>
      <c r="H111" s="47"/>
      <c r="I111" s="81"/>
      <c r="K111" s="47"/>
      <c r="L111" s="81"/>
      <c r="N111" s="47"/>
      <c r="O111" s="81"/>
      <c r="Q111" s="47"/>
      <c r="R111" s="81"/>
      <c r="T111" s="47"/>
      <c r="U111" s="47"/>
      <c r="W111" s="47"/>
      <c r="X111" s="97"/>
      <c r="Y111" s="97"/>
      <c r="Z111" s="97"/>
      <c r="AA111" s="81"/>
      <c r="AB111" s="42"/>
      <c r="AC111" s="47"/>
    </row>
    <row r="112" spans="3:29" ht="24.4" customHeight="1" x14ac:dyDescent="0.25">
      <c r="C112" s="81"/>
      <c r="E112" s="47"/>
      <c r="F112" s="81"/>
      <c r="H112" s="47"/>
      <c r="I112" s="81"/>
      <c r="K112" s="47"/>
      <c r="L112" s="81"/>
      <c r="N112" s="47"/>
      <c r="O112" s="81"/>
      <c r="Q112" s="47"/>
      <c r="R112" s="81"/>
      <c r="T112" s="47"/>
      <c r="U112" s="47"/>
      <c r="W112" s="47"/>
      <c r="X112" s="97"/>
      <c r="Y112" s="97"/>
      <c r="Z112" s="97"/>
      <c r="AA112" s="81"/>
      <c r="AB112" s="42"/>
      <c r="AC112" s="47"/>
    </row>
    <row r="113" spans="3:29" ht="24.4" customHeight="1" x14ac:dyDescent="0.25">
      <c r="C113" s="81"/>
      <c r="E113" s="47"/>
      <c r="F113" s="81"/>
      <c r="H113" s="47"/>
      <c r="I113" s="81"/>
      <c r="K113" s="47"/>
      <c r="L113" s="81"/>
      <c r="N113" s="47"/>
      <c r="O113" s="81"/>
      <c r="Q113" s="47"/>
      <c r="R113" s="81"/>
      <c r="T113" s="47"/>
      <c r="U113" s="47"/>
      <c r="W113" s="47"/>
      <c r="X113" s="97"/>
      <c r="Y113" s="97"/>
      <c r="Z113" s="97"/>
      <c r="AA113" s="81"/>
      <c r="AB113" s="42"/>
      <c r="AC113" s="47"/>
    </row>
    <row r="114" spans="3:29" ht="24.4" customHeight="1" x14ac:dyDescent="0.25">
      <c r="C114" s="81"/>
      <c r="E114" s="47"/>
      <c r="F114" s="81"/>
      <c r="H114" s="47"/>
      <c r="I114" s="81"/>
      <c r="K114" s="47"/>
      <c r="L114" s="81"/>
      <c r="N114" s="47"/>
      <c r="O114" s="81"/>
      <c r="Q114" s="47"/>
      <c r="R114" s="81"/>
      <c r="T114" s="47"/>
      <c r="U114" s="47"/>
      <c r="W114" s="47"/>
      <c r="X114" s="97"/>
      <c r="Y114" s="97"/>
      <c r="Z114" s="97"/>
      <c r="AA114" s="81"/>
      <c r="AB114" s="42"/>
      <c r="AC114" s="47"/>
    </row>
    <row r="115" spans="3:29" ht="24.4" customHeight="1" x14ac:dyDescent="0.25">
      <c r="C115" s="81"/>
      <c r="E115" s="47"/>
      <c r="F115" s="81"/>
      <c r="H115" s="47"/>
      <c r="I115" s="81"/>
      <c r="K115" s="47"/>
      <c r="L115" s="81"/>
      <c r="N115" s="47"/>
      <c r="O115" s="81"/>
      <c r="Q115" s="47"/>
      <c r="R115" s="81"/>
      <c r="T115" s="47"/>
      <c r="U115" s="47"/>
      <c r="W115" s="47"/>
      <c r="X115" s="97"/>
      <c r="Y115" s="97"/>
      <c r="Z115" s="97"/>
      <c r="AA115" s="81"/>
      <c r="AB115" s="42"/>
      <c r="AC115" s="47"/>
    </row>
    <row r="116" spans="3:29" ht="24.4" customHeight="1" x14ac:dyDescent="0.25">
      <c r="C116" s="81"/>
      <c r="E116" s="47"/>
      <c r="F116" s="81"/>
      <c r="H116" s="47"/>
      <c r="I116" s="81"/>
      <c r="K116" s="47"/>
      <c r="L116" s="81"/>
      <c r="N116" s="47"/>
      <c r="O116" s="81"/>
      <c r="Q116" s="47"/>
      <c r="R116" s="81"/>
      <c r="T116" s="47"/>
      <c r="U116" s="47"/>
      <c r="W116" s="47"/>
      <c r="X116" s="97"/>
      <c r="Y116" s="97"/>
      <c r="Z116" s="97"/>
      <c r="AA116" s="81"/>
      <c r="AB116" s="42"/>
      <c r="AC116" s="47"/>
    </row>
    <row r="117" spans="3:29" ht="24.4" customHeight="1" x14ac:dyDescent="0.25">
      <c r="C117" s="81"/>
      <c r="E117" s="47"/>
      <c r="F117" s="81"/>
      <c r="H117" s="47"/>
      <c r="I117" s="81"/>
      <c r="K117" s="47"/>
      <c r="L117" s="81"/>
      <c r="N117" s="47"/>
      <c r="O117" s="81"/>
      <c r="Q117" s="47"/>
      <c r="R117" s="81"/>
      <c r="T117" s="47"/>
      <c r="U117" s="47"/>
      <c r="W117" s="47"/>
      <c r="X117" s="97"/>
      <c r="Y117" s="97"/>
      <c r="Z117" s="97"/>
      <c r="AA117" s="81"/>
      <c r="AB117" s="42"/>
      <c r="AC117" s="47"/>
    </row>
    <row r="118" spans="3:29" ht="24.4" customHeight="1" x14ac:dyDescent="0.25">
      <c r="C118" s="81"/>
      <c r="E118" s="47"/>
      <c r="F118" s="81"/>
      <c r="H118" s="47"/>
      <c r="I118" s="81"/>
      <c r="K118" s="47"/>
      <c r="L118" s="81"/>
      <c r="N118" s="47"/>
      <c r="O118" s="81"/>
      <c r="Q118" s="47"/>
      <c r="R118" s="81"/>
      <c r="T118" s="47"/>
      <c r="U118" s="47"/>
      <c r="W118" s="47"/>
      <c r="X118" s="97"/>
      <c r="Y118" s="97"/>
      <c r="Z118" s="97"/>
      <c r="AA118" s="81"/>
      <c r="AB118" s="42"/>
      <c r="AC118" s="47"/>
    </row>
    <row r="119" spans="3:29" ht="24.4" customHeight="1" x14ac:dyDescent="0.25">
      <c r="C119" s="81"/>
      <c r="E119" s="47"/>
      <c r="F119" s="81"/>
      <c r="H119" s="47"/>
      <c r="I119" s="81"/>
      <c r="K119" s="47"/>
      <c r="L119" s="81"/>
      <c r="N119" s="47"/>
      <c r="O119" s="81"/>
      <c r="Q119" s="47"/>
      <c r="R119" s="81"/>
      <c r="T119" s="47"/>
      <c r="U119" s="47"/>
      <c r="W119" s="47"/>
      <c r="X119" s="97"/>
      <c r="Y119" s="97"/>
      <c r="Z119" s="97"/>
      <c r="AA119" s="81"/>
      <c r="AB119" s="42"/>
      <c r="AC119" s="47"/>
    </row>
    <row r="120" spans="3:29" ht="24.4" customHeight="1" x14ac:dyDescent="0.25">
      <c r="C120" s="81"/>
      <c r="E120" s="47"/>
      <c r="F120" s="81"/>
      <c r="H120" s="47"/>
      <c r="I120" s="81"/>
      <c r="K120" s="47"/>
      <c r="L120" s="81"/>
      <c r="N120" s="47"/>
      <c r="O120" s="81"/>
      <c r="Q120" s="47"/>
      <c r="R120" s="81"/>
      <c r="T120" s="47"/>
      <c r="U120" s="47"/>
      <c r="W120" s="47"/>
      <c r="X120" s="97"/>
      <c r="Y120" s="97"/>
      <c r="Z120" s="97"/>
      <c r="AA120" s="81"/>
      <c r="AB120" s="42"/>
      <c r="AC120" s="47"/>
    </row>
    <row r="121" spans="3:29" ht="24.4" customHeight="1" x14ac:dyDescent="0.25">
      <c r="C121" s="81"/>
      <c r="E121" s="47"/>
      <c r="F121" s="81"/>
      <c r="H121" s="47"/>
      <c r="I121" s="81"/>
      <c r="K121" s="47"/>
      <c r="L121" s="81"/>
      <c r="N121" s="47"/>
      <c r="O121" s="81"/>
      <c r="Q121" s="47"/>
      <c r="R121" s="81"/>
      <c r="T121" s="47"/>
      <c r="U121" s="47"/>
      <c r="W121" s="47"/>
      <c r="X121" s="97"/>
      <c r="Y121" s="97"/>
      <c r="Z121" s="97"/>
      <c r="AA121" s="81"/>
      <c r="AB121" s="42"/>
      <c r="AC121" s="47"/>
    </row>
    <row r="122" spans="3:29" ht="24.4" customHeight="1" x14ac:dyDescent="0.25">
      <c r="C122" s="81"/>
      <c r="E122" s="47"/>
      <c r="F122" s="81"/>
      <c r="H122" s="47"/>
      <c r="I122" s="81"/>
      <c r="K122" s="47"/>
      <c r="L122" s="81"/>
      <c r="N122" s="47"/>
      <c r="O122" s="81"/>
      <c r="Q122" s="47"/>
      <c r="R122" s="81"/>
      <c r="T122" s="47"/>
      <c r="U122" s="47"/>
      <c r="W122" s="47"/>
      <c r="X122" s="97"/>
      <c r="Y122" s="97"/>
      <c r="Z122" s="97"/>
      <c r="AA122" s="81"/>
      <c r="AB122" s="42"/>
      <c r="AC122" s="47"/>
    </row>
    <row r="123" spans="3:29" ht="24.4" customHeight="1" x14ac:dyDescent="0.25">
      <c r="C123" s="81"/>
      <c r="E123" s="47"/>
      <c r="F123" s="81"/>
      <c r="H123" s="47"/>
      <c r="I123" s="81"/>
      <c r="K123" s="47"/>
      <c r="L123" s="81"/>
      <c r="N123" s="47"/>
      <c r="O123" s="81"/>
      <c r="Q123" s="47"/>
      <c r="R123" s="81"/>
      <c r="T123" s="47"/>
      <c r="U123" s="47"/>
      <c r="W123" s="47"/>
      <c r="X123" s="97"/>
      <c r="Y123" s="97"/>
      <c r="Z123" s="97"/>
      <c r="AA123" s="81"/>
      <c r="AB123" s="42"/>
      <c r="AC123" s="47"/>
    </row>
    <row r="124" spans="3:29" ht="24.4" customHeight="1" x14ac:dyDescent="0.25">
      <c r="C124" s="81"/>
      <c r="E124" s="47"/>
      <c r="F124" s="81"/>
      <c r="H124" s="47"/>
      <c r="I124" s="81"/>
      <c r="K124" s="47"/>
      <c r="L124" s="81"/>
      <c r="N124" s="47"/>
      <c r="O124" s="81"/>
      <c r="Q124" s="47"/>
      <c r="R124" s="81"/>
      <c r="T124" s="47"/>
      <c r="U124" s="47"/>
      <c r="W124" s="47"/>
      <c r="X124" s="97"/>
      <c r="Y124" s="97"/>
      <c r="Z124" s="97"/>
      <c r="AA124" s="81"/>
      <c r="AB124" s="42"/>
      <c r="AC124" s="47"/>
    </row>
    <row r="125" spans="3:29" ht="24.4" customHeight="1" x14ac:dyDescent="0.25">
      <c r="C125" s="81"/>
      <c r="E125" s="47"/>
      <c r="F125" s="81"/>
      <c r="H125" s="47"/>
      <c r="I125" s="81"/>
      <c r="K125" s="47"/>
      <c r="L125" s="81"/>
      <c r="N125" s="47"/>
      <c r="O125" s="81"/>
      <c r="Q125" s="47"/>
      <c r="R125" s="81"/>
      <c r="T125" s="47"/>
      <c r="U125" s="47"/>
      <c r="W125" s="47"/>
      <c r="X125" s="97"/>
      <c r="Y125" s="97"/>
      <c r="Z125" s="97"/>
      <c r="AA125" s="81"/>
      <c r="AB125" s="42"/>
      <c r="AC125" s="47"/>
    </row>
    <row r="126" spans="3:29" ht="24.4" customHeight="1" x14ac:dyDescent="0.25">
      <c r="C126" s="81"/>
      <c r="E126" s="47"/>
      <c r="F126" s="81"/>
      <c r="H126" s="47"/>
      <c r="I126" s="81"/>
      <c r="K126" s="47"/>
      <c r="L126" s="81"/>
      <c r="N126" s="47"/>
      <c r="O126" s="81"/>
      <c r="Q126" s="47"/>
      <c r="R126" s="81"/>
      <c r="T126" s="47"/>
      <c r="U126" s="47"/>
      <c r="W126" s="47"/>
      <c r="X126" s="97"/>
      <c r="Y126" s="97"/>
      <c r="Z126" s="97"/>
      <c r="AA126" s="81"/>
      <c r="AB126" s="42"/>
      <c r="AC126" s="47"/>
    </row>
    <row r="127" spans="3:29" ht="24.4" customHeight="1" x14ac:dyDescent="0.25">
      <c r="C127" s="81"/>
      <c r="E127" s="47"/>
      <c r="F127" s="81"/>
      <c r="H127" s="47"/>
      <c r="I127" s="81"/>
      <c r="K127" s="47"/>
      <c r="L127" s="81"/>
      <c r="N127" s="47"/>
      <c r="O127" s="81"/>
      <c r="Q127" s="47"/>
      <c r="R127" s="81"/>
      <c r="T127" s="47"/>
      <c r="U127" s="47"/>
      <c r="W127" s="47"/>
      <c r="X127" s="97"/>
      <c r="Y127" s="97"/>
      <c r="Z127" s="97"/>
      <c r="AA127" s="81"/>
      <c r="AB127" s="42"/>
      <c r="AC127" s="47"/>
    </row>
    <row r="128" spans="3:29" ht="24.4" customHeight="1" x14ac:dyDescent="0.25">
      <c r="C128" s="81"/>
      <c r="E128" s="47"/>
      <c r="F128" s="81"/>
      <c r="H128" s="47"/>
      <c r="I128" s="81"/>
      <c r="K128" s="47"/>
      <c r="L128" s="81"/>
      <c r="N128" s="47"/>
      <c r="O128" s="81"/>
      <c r="Q128" s="47"/>
      <c r="R128" s="81"/>
      <c r="T128" s="47"/>
      <c r="U128" s="47"/>
      <c r="W128" s="47"/>
      <c r="X128" s="97"/>
      <c r="Y128" s="97"/>
      <c r="Z128" s="97"/>
      <c r="AA128" s="81"/>
      <c r="AB128" s="42"/>
      <c r="AC128" s="47"/>
    </row>
    <row r="129" spans="3:29" ht="24.4" customHeight="1" x14ac:dyDescent="0.25">
      <c r="C129" s="81"/>
      <c r="E129" s="47"/>
      <c r="F129" s="81"/>
      <c r="H129" s="47"/>
      <c r="I129" s="81"/>
      <c r="K129" s="47"/>
      <c r="L129" s="81"/>
      <c r="N129" s="47"/>
      <c r="O129" s="81"/>
      <c r="Q129" s="47"/>
      <c r="R129" s="81"/>
      <c r="T129" s="47"/>
      <c r="U129" s="47"/>
      <c r="W129" s="47"/>
      <c r="X129" s="97"/>
      <c r="Y129" s="97"/>
      <c r="Z129" s="97"/>
      <c r="AA129" s="81"/>
      <c r="AB129" s="42"/>
      <c r="AC129" s="47"/>
    </row>
    <row r="130" spans="3:29" ht="24.4" customHeight="1" x14ac:dyDescent="0.25">
      <c r="C130" s="81"/>
      <c r="E130" s="47"/>
      <c r="F130" s="81"/>
      <c r="H130" s="47"/>
      <c r="I130" s="81"/>
      <c r="K130" s="47"/>
      <c r="L130" s="81"/>
      <c r="N130" s="47"/>
      <c r="O130" s="81"/>
      <c r="Q130" s="47"/>
      <c r="R130" s="81"/>
      <c r="T130" s="47"/>
      <c r="U130" s="47"/>
      <c r="W130" s="47"/>
      <c r="X130" s="97"/>
      <c r="Y130" s="97"/>
      <c r="Z130" s="97"/>
      <c r="AA130" s="81"/>
      <c r="AB130" s="42"/>
      <c r="AC130" s="47"/>
    </row>
    <row r="131" spans="3:29" ht="24.4" customHeight="1" x14ac:dyDescent="0.25">
      <c r="C131" s="81"/>
      <c r="E131" s="47"/>
      <c r="F131" s="81"/>
      <c r="H131" s="47"/>
      <c r="I131" s="81"/>
      <c r="K131" s="47"/>
      <c r="L131" s="81"/>
      <c r="N131" s="47"/>
      <c r="O131" s="81"/>
      <c r="Q131" s="47"/>
      <c r="R131" s="81"/>
      <c r="T131" s="47"/>
      <c r="U131" s="47"/>
      <c r="W131" s="47"/>
      <c r="X131" s="97"/>
      <c r="Y131" s="97"/>
      <c r="Z131" s="97"/>
      <c r="AA131" s="81"/>
      <c r="AB131" s="42"/>
      <c r="AC131" s="47"/>
    </row>
    <row r="132" spans="3:29" ht="24.4" customHeight="1" x14ac:dyDescent="0.25">
      <c r="C132" s="81"/>
      <c r="E132" s="47"/>
      <c r="F132" s="81"/>
      <c r="H132" s="47"/>
      <c r="I132" s="81"/>
      <c r="K132" s="47"/>
      <c r="L132" s="81"/>
      <c r="N132" s="47"/>
      <c r="O132" s="81"/>
      <c r="Q132" s="47"/>
      <c r="R132" s="81"/>
      <c r="T132" s="47"/>
      <c r="U132" s="47"/>
      <c r="W132" s="47"/>
      <c r="X132" s="97"/>
      <c r="Y132" s="97"/>
      <c r="Z132" s="97"/>
      <c r="AA132" s="81"/>
      <c r="AB132" s="42"/>
      <c r="AC132" s="47"/>
    </row>
    <row r="133" spans="3:29" ht="24.4" customHeight="1" x14ac:dyDescent="0.25">
      <c r="C133" s="81"/>
      <c r="E133" s="47"/>
      <c r="F133" s="81"/>
      <c r="H133" s="47"/>
      <c r="I133" s="81"/>
      <c r="K133" s="47"/>
      <c r="L133" s="81"/>
      <c r="N133" s="47"/>
      <c r="O133" s="81"/>
      <c r="Q133" s="47"/>
      <c r="R133" s="81"/>
      <c r="T133" s="47"/>
      <c r="U133" s="47"/>
      <c r="W133" s="47"/>
      <c r="X133" s="97"/>
      <c r="Y133" s="97"/>
      <c r="Z133" s="97"/>
      <c r="AA133" s="81"/>
      <c r="AB133" s="42"/>
      <c r="AC133" s="47"/>
    </row>
    <row r="134" spans="3:29" ht="24.4" customHeight="1" x14ac:dyDescent="0.25">
      <c r="C134" s="81"/>
      <c r="E134" s="47"/>
      <c r="F134" s="81"/>
      <c r="H134" s="47"/>
      <c r="I134" s="81"/>
      <c r="K134" s="47"/>
      <c r="L134" s="81"/>
      <c r="N134" s="47"/>
      <c r="O134" s="81"/>
      <c r="Q134" s="47"/>
      <c r="R134" s="81"/>
      <c r="T134" s="47"/>
      <c r="U134" s="47"/>
      <c r="W134" s="47"/>
      <c r="X134" s="97"/>
      <c r="Y134" s="97"/>
      <c r="Z134" s="97"/>
      <c r="AA134" s="81"/>
      <c r="AB134" s="42"/>
      <c r="AC134" s="47"/>
    </row>
    <row r="135" spans="3:29" ht="24.4" customHeight="1" x14ac:dyDescent="0.25">
      <c r="C135" s="81"/>
      <c r="E135" s="47"/>
      <c r="F135" s="81"/>
      <c r="H135" s="47"/>
      <c r="I135" s="81"/>
      <c r="K135" s="47"/>
      <c r="L135" s="81"/>
      <c r="N135" s="47"/>
      <c r="O135" s="81"/>
      <c r="Q135" s="47"/>
      <c r="R135" s="81"/>
      <c r="T135" s="47"/>
      <c r="U135" s="47"/>
      <c r="W135" s="47"/>
      <c r="X135" s="97"/>
      <c r="Y135" s="97"/>
      <c r="Z135" s="97"/>
      <c r="AA135" s="81"/>
      <c r="AB135" s="42"/>
      <c r="AC135" s="47"/>
    </row>
    <row r="136" spans="3:29" ht="24.4" customHeight="1" x14ac:dyDescent="0.25">
      <c r="C136" s="81"/>
      <c r="E136" s="47"/>
      <c r="F136" s="81"/>
      <c r="H136" s="47"/>
      <c r="I136" s="81"/>
      <c r="K136" s="47"/>
      <c r="L136" s="81"/>
      <c r="N136" s="47"/>
      <c r="O136" s="81"/>
      <c r="Q136" s="47"/>
      <c r="R136" s="81"/>
      <c r="T136" s="47"/>
      <c r="U136" s="47"/>
      <c r="W136" s="47"/>
      <c r="X136" s="97"/>
      <c r="Y136" s="97"/>
      <c r="Z136" s="97"/>
      <c r="AA136" s="81"/>
      <c r="AB136" s="42"/>
      <c r="AC136" s="47"/>
    </row>
    <row r="137" spans="3:29" ht="24.4" customHeight="1" x14ac:dyDescent="0.25">
      <c r="C137" s="81"/>
      <c r="E137" s="47"/>
      <c r="F137" s="81"/>
      <c r="H137" s="47"/>
      <c r="I137" s="81"/>
      <c r="K137" s="47"/>
      <c r="L137" s="81"/>
      <c r="N137" s="47"/>
      <c r="O137" s="81"/>
      <c r="Q137" s="47"/>
      <c r="R137" s="81"/>
      <c r="T137" s="47"/>
      <c r="U137" s="47"/>
      <c r="W137" s="47"/>
      <c r="X137" s="97"/>
      <c r="Y137" s="97"/>
      <c r="Z137" s="97"/>
      <c r="AA137" s="81"/>
      <c r="AB137" s="42"/>
      <c r="AC137" s="47"/>
    </row>
  </sheetData>
  <mergeCells count="7">
    <mergeCell ref="B1:AC1"/>
    <mergeCell ref="A2:A3"/>
    <mergeCell ref="B2:B3"/>
    <mergeCell ref="A24:A25"/>
    <mergeCell ref="B24:B25"/>
    <mergeCell ref="U2:W2"/>
    <mergeCell ref="U24:W24"/>
  </mergeCells>
  <pageMargins left="0.7" right="0.7" top="0.75" bottom="0.75" header="0.3" footer="0.3"/>
  <pageSetup paperSize="9" scale="1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2"/>
  <sheetViews>
    <sheetView zoomScale="85" zoomScaleNormal="85" workbookViewId="0">
      <pane ySplit="1" topLeftCell="A29" activePane="bottomLeft" state="frozen"/>
      <selection pane="bottomLeft" activeCell="D19" sqref="D19"/>
    </sheetView>
  </sheetViews>
  <sheetFormatPr defaultColWidth="8.7109375" defaultRowHeight="15" x14ac:dyDescent="0.25"/>
  <cols>
    <col min="1" max="1" width="35.42578125" style="16" bestFit="1" customWidth="1"/>
    <col min="2" max="2" width="11.7109375" style="16" customWidth="1"/>
    <col min="3" max="3" width="11.42578125" style="16" bestFit="1" customWidth="1"/>
    <col min="4" max="4" width="12.140625" style="17" customWidth="1"/>
    <col min="5" max="5" width="9.42578125" style="16" bestFit="1" customWidth="1"/>
    <col min="6" max="7" width="10.28515625" style="16" bestFit="1" customWidth="1"/>
    <col min="8" max="8" width="12.140625" style="16" bestFit="1" customWidth="1"/>
    <col min="9" max="9" width="9.28515625" style="16" bestFit="1" customWidth="1"/>
    <col min="10" max="10" width="8.28515625" style="16" bestFit="1" customWidth="1"/>
    <col min="11" max="15" width="8.7109375" style="16"/>
    <col min="16" max="16" width="9.28515625" style="16" bestFit="1" customWidth="1"/>
    <col min="17" max="16384" width="8.7109375" style="16"/>
  </cols>
  <sheetData>
    <row r="1" spans="1:13" s="83" customFormat="1" ht="25.5" x14ac:dyDescent="0.25">
      <c r="B1" s="84" t="s">
        <v>1</v>
      </c>
      <c r="C1" s="84" t="s">
        <v>147</v>
      </c>
      <c r="D1" s="243" t="s">
        <v>148</v>
      </c>
      <c r="E1" s="85" t="s">
        <v>149</v>
      </c>
      <c r="F1" s="85" t="s">
        <v>150</v>
      </c>
      <c r="G1" s="85" t="s">
        <v>151</v>
      </c>
      <c r="H1" s="85" t="s">
        <v>152</v>
      </c>
      <c r="I1" s="85" t="s">
        <v>153</v>
      </c>
      <c r="J1" s="85" t="s">
        <v>154</v>
      </c>
    </row>
    <row r="2" spans="1:13" ht="13.15" customHeight="1" x14ac:dyDescent="0.25">
      <c r="A2" s="83" t="s">
        <v>155</v>
      </c>
      <c r="B2" s="86">
        <v>22.95</v>
      </c>
      <c r="C2" s="87" t="s">
        <v>156</v>
      </c>
      <c r="D2" s="244">
        <v>71</v>
      </c>
      <c r="E2" s="88"/>
      <c r="F2" s="88"/>
      <c r="G2" s="88"/>
      <c r="H2" s="88"/>
      <c r="I2" s="88">
        <f>D2*B2*4</f>
        <v>6517.8</v>
      </c>
      <c r="J2" s="88"/>
      <c r="M2" s="89"/>
    </row>
    <row r="3" spans="1:13" x14ac:dyDescent="0.25">
      <c r="D3" s="245"/>
      <c r="E3" s="88"/>
      <c r="F3" s="88"/>
      <c r="G3" s="88"/>
      <c r="H3" s="88"/>
      <c r="I3" s="88"/>
      <c r="J3" s="88"/>
    </row>
    <row r="4" spans="1:13" x14ac:dyDescent="0.25">
      <c r="A4" s="83" t="s">
        <v>157</v>
      </c>
      <c r="B4" s="86"/>
      <c r="C4" s="87"/>
      <c r="D4" s="245"/>
      <c r="E4" s="88"/>
      <c r="F4" s="88"/>
      <c r="G4" s="88"/>
      <c r="H4" s="88"/>
      <c r="I4" s="88"/>
      <c r="J4" s="88"/>
    </row>
    <row r="5" spans="1:13" ht="13.15" customHeight="1" x14ac:dyDescent="0.25">
      <c r="A5" s="87" t="s">
        <v>158</v>
      </c>
      <c r="B5" s="86">
        <v>8.67</v>
      </c>
      <c r="C5" s="87" t="s">
        <v>156</v>
      </c>
      <c r="D5" s="246">
        <v>0</v>
      </c>
      <c r="E5" s="88"/>
      <c r="F5" s="88"/>
      <c r="G5" s="88"/>
      <c r="H5" s="88"/>
      <c r="I5" s="88"/>
      <c r="J5" s="88">
        <f>D5*4*B5</f>
        <v>0</v>
      </c>
      <c r="M5" s="89"/>
    </row>
    <row r="6" spans="1:13" x14ac:dyDescent="0.25">
      <c r="A6" s="87" t="s">
        <v>159</v>
      </c>
      <c r="B6" s="86">
        <v>16.574999999999999</v>
      </c>
      <c r="C6" s="87" t="s">
        <v>156</v>
      </c>
      <c r="D6" s="246">
        <v>69</v>
      </c>
      <c r="E6" s="88"/>
      <c r="F6" s="88"/>
      <c r="G6" s="88"/>
      <c r="H6" s="88"/>
      <c r="I6" s="88"/>
      <c r="J6" s="88">
        <f>D6*4*B6</f>
        <v>4574.7</v>
      </c>
      <c r="M6" s="89"/>
    </row>
    <row r="7" spans="1:13" x14ac:dyDescent="0.25">
      <c r="A7" s="87" t="s">
        <v>160</v>
      </c>
      <c r="B7" s="86">
        <v>14.025</v>
      </c>
      <c r="C7" s="87" t="s">
        <v>156</v>
      </c>
      <c r="D7" s="246">
        <v>6</v>
      </c>
      <c r="E7" s="88"/>
      <c r="F7" s="88"/>
      <c r="G7" s="88"/>
      <c r="H7" s="88"/>
      <c r="I7" s="88"/>
      <c r="J7" s="88">
        <f>D7*4*B7</f>
        <v>336.6</v>
      </c>
      <c r="M7" s="89"/>
    </row>
    <row r="8" spans="1:13" x14ac:dyDescent="0.25">
      <c r="A8" s="83"/>
      <c r="B8" s="86"/>
      <c r="C8" s="87"/>
      <c r="D8" s="244">
        <f>SUM(D5:D7)</f>
        <v>75</v>
      </c>
      <c r="E8" s="88"/>
      <c r="F8" s="88"/>
      <c r="G8" s="88"/>
      <c r="H8" s="88"/>
      <c r="I8" s="88"/>
      <c r="J8" s="88"/>
    </row>
    <row r="9" spans="1:13" x14ac:dyDescent="0.25">
      <c r="A9" s="87"/>
      <c r="B9" s="86"/>
      <c r="C9" s="87"/>
      <c r="D9" s="245"/>
      <c r="E9" s="88"/>
      <c r="F9" s="88"/>
      <c r="G9" s="88"/>
      <c r="H9" s="88"/>
      <c r="I9" s="88"/>
      <c r="J9" s="88"/>
    </row>
    <row r="10" spans="1:13" x14ac:dyDescent="0.25">
      <c r="A10" s="83" t="s">
        <v>161</v>
      </c>
      <c r="B10" s="86">
        <v>55</v>
      </c>
      <c r="C10" s="87" t="s">
        <v>162</v>
      </c>
      <c r="D10" s="244">
        <v>1</v>
      </c>
      <c r="E10" s="88"/>
      <c r="F10" s="88"/>
      <c r="G10" s="88"/>
      <c r="H10" s="88"/>
      <c r="I10" s="88"/>
      <c r="J10" s="88"/>
      <c r="M10" s="89"/>
    </row>
    <row r="11" spans="1:13" x14ac:dyDescent="0.25">
      <c r="D11" s="245"/>
      <c r="E11" s="88"/>
      <c r="F11" s="88"/>
      <c r="G11" s="88"/>
      <c r="H11" s="88"/>
      <c r="I11" s="88"/>
      <c r="J11" s="88"/>
    </row>
    <row r="12" spans="1:13" x14ac:dyDescent="0.25">
      <c r="A12" s="83" t="s">
        <v>163</v>
      </c>
      <c r="D12" s="247"/>
      <c r="E12" s="88"/>
      <c r="F12" s="88"/>
      <c r="G12" s="88"/>
      <c r="H12" s="88"/>
      <c r="I12" s="88"/>
      <c r="J12" s="88"/>
    </row>
    <row r="13" spans="1:13" x14ac:dyDescent="0.25">
      <c r="A13" s="16" t="s">
        <v>164</v>
      </c>
      <c r="B13" s="86">
        <v>55</v>
      </c>
      <c r="C13" s="87" t="s">
        <v>162</v>
      </c>
      <c r="D13" s="246">
        <v>151</v>
      </c>
      <c r="E13" s="88">
        <f>D13*B13</f>
        <v>8305</v>
      </c>
      <c r="F13" s="88"/>
      <c r="G13" s="88"/>
      <c r="H13" s="88"/>
      <c r="I13" s="88"/>
      <c r="J13" s="88"/>
      <c r="M13" s="89"/>
    </row>
    <row r="14" spans="1:13" ht="13.15" customHeight="1" x14ac:dyDescent="0.25">
      <c r="A14" s="87" t="s">
        <v>165</v>
      </c>
      <c r="B14" s="86">
        <v>25.5</v>
      </c>
      <c r="C14" s="87" t="s">
        <v>156</v>
      </c>
      <c r="D14" s="246">
        <v>17</v>
      </c>
      <c r="E14" s="88">
        <f t="shared" ref="E14:E19" si="0">D14*4*B14</f>
        <v>1734</v>
      </c>
      <c r="F14" s="88"/>
      <c r="G14" s="88"/>
      <c r="H14" s="88"/>
      <c r="I14" s="88"/>
      <c r="J14" s="88"/>
      <c r="M14" s="89"/>
    </row>
    <row r="15" spans="1:13" x14ac:dyDescent="0.25">
      <c r="A15" s="87" t="s">
        <v>166</v>
      </c>
      <c r="B15" s="86">
        <v>25.5</v>
      </c>
      <c r="C15" s="87" t="s">
        <v>156</v>
      </c>
      <c r="D15" s="246">
        <v>30</v>
      </c>
      <c r="E15" s="88">
        <f t="shared" si="0"/>
        <v>3060</v>
      </c>
      <c r="F15" s="88"/>
      <c r="G15" s="88"/>
      <c r="H15" s="88"/>
      <c r="I15" s="88"/>
      <c r="J15" s="88"/>
      <c r="M15" s="89"/>
    </row>
    <row r="16" spans="1:13" x14ac:dyDescent="0.25">
      <c r="A16" s="16" t="s">
        <v>159</v>
      </c>
      <c r="B16" s="86">
        <v>54.06</v>
      </c>
      <c r="C16" s="87" t="s">
        <v>156</v>
      </c>
      <c r="D16" s="246">
        <v>145</v>
      </c>
      <c r="E16" s="88">
        <f>D16*4*B16</f>
        <v>31354.800000000003</v>
      </c>
      <c r="F16" s="88"/>
      <c r="G16" s="88"/>
      <c r="H16" s="88"/>
      <c r="I16" s="88"/>
      <c r="J16" s="88"/>
      <c r="K16" s="16" t="s">
        <v>214</v>
      </c>
      <c r="M16" s="89"/>
    </row>
    <row r="17" spans="1:13" x14ac:dyDescent="0.25">
      <c r="A17" s="16" t="s">
        <v>167</v>
      </c>
      <c r="B17" s="86">
        <v>33.15</v>
      </c>
      <c r="C17" s="87" t="s">
        <v>156</v>
      </c>
      <c r="D17" s="246">
        <v>88</v>
      </c>
      <c r="E17" s="88">
        <f t="shared" si="0"/>
        <v>11668.8</v>
      </c>
      <c r="F17" s="88"/>
      <c r="G17" s="88"/>
      <c r="H17" s="88"/>
      <c r="I17" s="88"/>
      <c r="J17" s="88"/>
      <c r="M17" s="89"/>
    </row>
    <row r="18" spans="1:13" x14ac:dyDescent="0.25">
      <c r="A18" s="16" t="s">
        <v>168</v>
      </c>
      <c r="B18" s="86">
        <v>27.03</v>
      </c>
      <c r="C18" s="87" t="s">
        <v>156</v>
      </c>
      <c r="D18" s="246">
        <v>73</v>
      </c>
      <c r="E18" s="88">
        <f t="shared" si="0"/>
        <v>7892.76</v>
      </c>
      <c r="F18" s="88"/>
      <c r="G18" s="88"/>
      <c r="H18" s="88"/>
      <c r="I18" s="88"/>
      <c r="J18" s="88"/>
      <c r="M18" s="89"/>
    </row>
    <row r="19" spans="1:13" x14ac:dyDescent="0.25">
      <c r="A19" s="87" t="s">
        <v>169</v>
      </c>
      <c r="B19" s="86">
        <v>33.15</v>
      </c>
      <c r="C19" s="87" t="s">
        <v>156</v>
      </c>
      <c r="D19" s="246">
        <v>19</v>
      </c>
      <c r="E19" s="88">
        <f t="shared" si="0"/>
        <v>2519.4</v>
      </c>
      <c r="F19" s="88"/>
      <c r="G19" s="88"/>
      <c r="H19" s="88"/>
      <c r="I19" s="88"/>
      <c r="J19" s="88"/>
      <c r="M19" s="89"/>
    </row>
    <row r="20" spans="1:13" x14ac:dyDescent="0.25">
      <c r="D20" s="10">
        <f>SUM(D13:D19)</f>
        <v>523</v>
      </c>
      <c r="E20" s="88"/>
      <c r="F20" s="88"/>
      <c r="G20" s="88"/>
      <c r="H20" s="88"/>
      <c r="I20" s="88"/>
      <c r="J20" s="88"/>
    </row>
    <row r="21" spans="1:13" x14ac:dyDescent="0.25">
      <c r="A21" s="83" t="s">
        <v>203</v>
      </c>
      <c r="D21" s="245"/>
      <c r="E21" s="88"/>
      <c r="F21" s="88"/>
      <c r="G21" s="88"/>
      <c r="H21" s="88"/>
      <c r="I21" s="88"/>
      <c r="J21" s="88"/>
    </row>
    <row r="22" spans="1:13" x14ac:dyDescent="0.25">
      <c r="A22" s="16" t="s">
        <v>164</v>
      </c>
      <c r="B22" s="86">
        <v>56</v>
      </c>
      <c r="C22" s="87" t="s">
        <v>162</v>
      </c>
      <c r="D22" s="252">
        <v>10</v>
      </c>
      <c r="E22" s="88"/>
      <c r="F22" s="88">
        <f>D22*B22</f>
        <v>560</v>
      </c>
      <c r="G22" s="88"/>
      <c r="H22" s="88"/>
      <c r="I22" s="88"/>
      <c r="J22" s="88"/>
      <c r="M22" s="89"/>
    </row>
    <row r="23" spans="1:13" ht="13.15" customHeight="1" x14ac:dyDescent="0.25">
      <c r="A23" s="16" t="s">
        <v>170</v>
      </c>
      <c r="B23" s="86">
        <v>44</v>
      </c>
      <c r="C23" s="87" t="s">
        <v>156</v>
      </c>
      <c r="D23" s="252">
        <v>16</v>
      </c>
      <c r="E23" s="88"/>
      <c r="F23" s="88">
        <f>D23*4*B23</f>
        <v>2816</v>
      </c>
      <c r="G23" s="88"/>
      <c r="H23" s="88"/>
      <c r="I23" s="88"/>
      <c r="J23" s="88"/>
      <c r="M23" s="89"/>
    </row>
    <row r="24" spans="1:13" x14ac:dyDescent="0.25">
      <c r="A24" s="16" t="s">
        <v>159</v>
      </c>
      <c r="B24" s="86">
        <v>61.5</v>
      </c>
      <c r="C24" s="87" t="s">
        <v>156</v>
      </c>
      <c r="D24" s="252">
        <v>31</v>
      </c>
      <c r="E24" s="88"/>
      <c r="F24" s="88">
        <f>D24*4*B24</f>
        <v>7626</v>
      </c>
      <c r="G24" s="88"/>
      <c r="H24" s="88"/>
      <c r="I24" s="88"/>
      <c r="J24" s="88"/>
      <c r="K24" s="16" t="s">
        <v>215</v>
      </c>
      <c r="M24" s="89"/>
    </row>
    <row r="25" spans="1:13" x14ac:dyDescent="0.25">
      <c r="A25" s="16" t="s">
        <v>167</v>
      </c>
      <c r="B25" s="86">
        <v>34.5</v>
      </c>
      <c r="C25" s="87" t="s">
        <v>156</v>
      </c>
      <c r="D25" s="252">
        <v>29</v>
      </c>
      <c r="E25" s="88"/>
      <c r="F25" s="88">
        <f>D25*4*B25</f>
        <v>4002</v>
      </c>
      <c r="G25" s="88"/>
      <c r="H25" s="88"/>
      <c r="I25" s="88"/>
      <c r="J25" s="88"/>
      <c r="M25" s="89"/>
    </row>
    <row r="26" spans="1:13" x14ac:dyDescent="0.25">
      <c r="A26" s="16" t="s">
        <v>168</v>
      </c>
      <c r="B26" s="86">
        <v>27.5</v>
      </c>
      <c r="C26" s="87" t="s">
        <v>156</v>
      </c>
      <c r="D26" s="252">
        <v>21</v>
      </c>
      <c r="E26" s="88"/>
      <c r="F26" s="88">
        <f>D26*4*B26</f>
        <v>2310</v>
      </c>
      <c r="G26" s="88"/>
      <c r="H26" s="88"/>
      <c r="I26" s="88"/>
      <c r="J26" s="88"/>
      <c r="M26" s="89"/>
    </row>
    <row r="27" spans="1:13" x14ac:dyDescent="0.25">
      <c r="D27" s="10">
        <f>SUM(D22:D26)</f>
        <v>107</v>
      </c>
      <c r="E27" s="88"/>
      <c r="F27" s="88"/>
      <c r="G27" s="88"/>
      <c r="H27" s="88"/>
      <c r="I27" s="88"/>
      <c r="J27" s="88"/>
    </row>
    <row r="28" spans="1:13" s="17" customFormat="1" x14ac:dyDescent="0.25">
      <c r="A28" s="83" t="s">
        <v>198</v>
      </c>
      <c r="B28" s="16"/>
      <c r="C28" s="16"/>
      <c r="D28" s="245"/>
      <c r="E28" s="88"/>
      <c r="F28" s="88"/>
      <c r="G28" s="88"/>
    </row>
    <row r="29" spans="1:13" s="17" customFormat="1" x14ac:dyDescent="0.25">
      <c r="A29" s="17" t="s">
        <v>164</v>
      </c>
      <c r="B29" s="248">
        <v>55</v>
      </c>
      <c r="C29" s="249" t="s">
        <v>162</v>
      </c>
      <c r="D29" s="252">
        <v>3</v>
      </c>
      <c r="E29" s="250"/>
      <c r="F29" s="250"/>
      <c r="G29" s="250">
        <f>D29*B29</f>
        <v>165</v>
      </c>
    </row>
    <row r="30" spans="1:13" s="17" customFormat="1" x14ac:dyDescent="0.25">
      <c r="A30" s="17" t="s">
        <v>171</v>
      </c>
      <c r="B30" s="248">
        <v>44</v>
      </c>
      <c r="C30" s="249" t="s">
        <v>156</v>
      </c>
      <c r="D30" s="252">
        <v>21</v>
      </c>
      <c r="E30" s="250"/>
      <c r="F30" s="250"/>
      <c r="G30" s="250">
        <f t="shared" ref="G30:G35" si="1">D30*4*B30</f>
        <v>3696</v>
      </c>
    </row>
    <row r="31" spans="1:13" s="17" customFormat="1" x14ac:dyDescent="0.25">
      <c r="A31" s="17" t="s">
        <v>172</v>
      </c>
      <c r="B31" s="248">
        <v>38.5</v>
      </c>
      <c r="C31" s="249" t="s">
        <v>156</v>
      </c>
      <c r="D31" s="252">
        <v>10</v>
      </c>
      <c r="E31" s="250"/>
      <c r="F31" s="250"/>
      <c r="G31" s="250">
        <f t="shared" si="1"/>
        <v>1540</v>
      </c>
    </row>
    <row r="32" spans="1:13" s="17" customFormat="1" x14ac:dyDescent="0.25">
      <c r="A32" s="17" t="s">
        <v>159</v>
      </c>
      <c r="B32" s="248">
        <v>61.5</v>
      </c>
      <c r="C32" s="249" t="s">
        <v>156</v>
      </c>
      <c r="D32" s="252">
        <v>19</v>
      </c>
      <c r="E32" s="250"/>
      <c r="F32" s="250"/>
      <c r="G32" s="250">
        <f t="shared" si="1"/>
        <v>4674</v>
      </c>
      <c r="K32" s="17" t="s">
        <v>216</v>
      </c>
    </row>
    <row r="33" spans="1:13" s="17" customFormat="1" x14ac:dyDescent="0.25">
      <c r="A33" s="17" t="s">
        <v>213</v>
      </c>
      <c r="B33" s="248">
        <v>77</v>
      </c>
      <c r="C33" s="249" t="s">
        <v>156</v>
      </c>
      <c r="D33" s="252">
        <v>15</v>
      </c>
      <c r="E33" s="250"/>
      <c r="F33" s="250"/>
      <c r="G33" s="250">
        <f t="shared" si="1"/>
        <v>4620</v>
      </c>
    </row>
    <row r="34" spans="1:13" s="17" customFormat="1" x14ac:dyDescent="0.25">
      <c r="A34" s="17" t="s">
        <v>173</v>
      </c>
      <c r="B34" s="248">
        <v>60</v>
      </c>
      <c r="C34" s="249" t="s">
        <v>156</v>
      </c>
      <c r="D34" s="252">
        <v>23</v>
      </c>
      <c r="E34" s="250"/>
      <c r="F34" s="250"/>
      <c r="G34" s="250">
        <f t="shared" si="1"/>
        <v>5520</v>
      </c>
    </row>
    <row r="35" spans="1:13" s="17" customFormat="1" x14ac:dyDescent="0.25">
      <c r="A35" s="17" t="s">
        <v>167</v>
      </c>
      <c r="B35" s="248">
        <v>45</v>
      </c>
      <c r="C35" s="249" t="s">
        <v>156</v>
      </c>
      <c r="D35" s="252"/>
      <c r="E35" s="250"/>
      <c r="F35" s="250"/>
      <c r="G35" s="250">
        <f t="shared" si="1"/>
        <v>0</v>
      </c>
    </row>
    <row r="36" spans="1:13" s="17" customFormat="1" x14ac:dyDescent="0.25">
      <c r="A36" s="17" t="s">
        <v>168</v>
      </c>
      <c r="B36" s="248">
        <v>27.5</v>
      </c>
      <c r="C36" s="249" t="s">
        <v>156</v>
      </c>
      <c r="D36" s="252">
        <v>17</v>
      </c>
      <c r="E36" s="250"/>
      <c r="F36" s="250"/>
      <c r="G36" s="250">
        <f>D36*4*B36</f>
        <v>1870</v>
      </c>
    </row>
    <row r="37" spans="1:13" s="17" customFormat="1" x14ac:dyDescent="0.25">
      <c r="A37" s="16"/>
      <c r="B37" s="86"/>
      <c r="C37" s="87"/>
      <c r="D37" s="10">
        <f>SUM(D29:D36)</f>
        <v>108</v>
      </c>
      <c r="E37" s="88"/>
      <c r="F37" s="88"/>
      <c r="G37" s="88"/>
    </row>
    <row r="38" spans="1:13" ht="25.5" x14ac:dyDescent="0.25">
      <c r="A38" s="90" t="s">
        <v>174</v>
      </c>
      <c r="D38" s="245"/>
      <c r="E38" s="88"/>
      <c r="F38" s="88"/>
      <c r="G38" s="88"/>
      <c r="H38" s="88"/>
      <c r="I38" s="88"/>
      <c r="J38" s="88"/>
    </row>
    <row r="39" spans="1:13" x14ac:dyDescent="0.25">
      <c r="A39" s="16" t="s">
        <v>164</v>
      </c>
      <c r="B39" s="86">
        <v>55</v>
      </c>
      <c r="C39" s="87" t="s">
        <v>162</v>
      </c>
      <c r="D39" s="246">
        <v>3</v>
      </c>
      <c r="E39" s="88"/>
      <c r="F39" s="88"/>
      <c r="G39" s="88"/>
      <c r="H39" s="88">
        <f>D39*B39</f>
        <v>165</v>
      </c>
      <c r="I39" s="88"/>
      <c r="J39" s="88"/>
      <c r="M39" s="89"/>
    </row>
    <row r="40" spans="1:13" x14ac:dyDescent="0.25">
      <c r="A40" s="16" t="s">
        <v>159</v>
      </c>
      <c r="B40" s="86">
        <v>38.76</v>
      </c>
      <c r="C40" s="87" t="s">
        <v>156</v>
      </c>
      <c r="D40" s="246">
        <v>29</v>
      </c>
      <c r="E40" s="88"/>
      <c r="F40" s="88"/>
      <c r="G40" s="88"/>
      <c r="H40" s="88">
        <f t="shared" ref="H40:H45" si="2">D40*4*B40</f>
        <v>4496.16</v>
      </c>
      <c r="I40" s="88"/>
      <c r="J40" s="88"/>
      <c r="M40" s="89"/>
    </row>
    <row r="41" spans="1:13" x14ac:dyDescent="0.25">
      <c r="A41" s="87" t="s">
        <v>175</v>
      </c>
      <c r="B41" s="91">
        <v>29.07</v>
      </c>
      <c r="C41" s="87" t="s">
        <v>156</v>
      </c>
      <c r="D41" s="246">
        <v>0</v>
      </c>
      <c r="E41" s="88"/>
      <c r="F41" s="88"/>
      <c r="G41" s="88"/>
      <c r="H41" s="88">
        <f t="shared" si="2"/>
        <v>0</v>
      </c>
      <c r="I41" s="88"/>
      <c r="J41" s="88"/>
      <c r="M41" s="89"/>
    </row>
    <row r="42" spans="1:13" x14ac:dyDescent="0.25">
      <c r="A42" s="16" t="s">
        <v>167</v>
      </c>
      <c r="B42" s="91">
        <v>28.560000000000002</v>
      </c>
      <c r="C42" s="87" t="s">
        <v>156</v>
      </c>
      <c r="D42" s="246">
        <v>13</v>
      </c>
      <c r="E42" s="88"/>
      <c r="F42" s="88"/>
      <c r="G42" s="88"/>
      <c r="H42" s="88">
        <f t="shared" si="2"/>
        <v>1485.1200000000001</v>
      </c>
      <c r="I42" s="88"/>
      <c r="J42" s="88"/>
      <c r="M42" s="89"/>
    </row>
    <row r="43" spans="1:13" x14ac:dyDescent="0.25">
      <c r="A43" s="87" t="s">
        <v>175</v>
      </c>
      <c r="B43" s="86">
        <v>21.42</v>
      </c>
      <c r="C43" s="87" t="s">
        <v>156</v>
      </c>
      <c r="D43" s="246">
        <v>0</v>
      </c>
      <c r="E43" s="88"/>
      <c r="F43" s="88"/>
      <c r="G43" s="88"/>
      <c r="H43" s="88">
        <f t="shared" si="2"/>
        <v>0</v>
      </c>
      <c r="I43" s="88"/>
      <c r="J43" s="88"/>
      <c r="M43" s="89"/>
    </row>
    <row r="44" spans="1:13" x14ac:dyDescent="0.25">
      <c r="A44" s="16" t="s">
        <v>168</v>
      </c>
      <c r="B44" s="86">
        <v>25.5</v>
      </c>
      <c r="C44" s="87" t="s">
        <v>156</v>
      </c>
      <c r="D44" s="246">
        <v>39</v>
      </c>
      <c r="E44" s="88"/>
      <c r="F44" s="88"/>
      <c r="G44" s="88"/>
      <c r="H44" s="88">
        <f t="shared" si="2"/>
        <v>3978</v>
      </c>
      <c r="I44" s="88"/>
      <c r="J44" s="88"/>
      <c r="M44" s="89"/>
    </row>
    <row r="45" spans="1:13" x14ac:dyDescent="0.25">
      <c r="A45" s="87" t="s">
        <v>175</v>
      </c>
      <c r="B45" s="86">
        <v>19.125</v>
      </c>
      <c r="C45" s="87" t="s">
        <v>156</v>
      </c>
      <c r="D45" s="246">
        <v>1</v>
      </c>
      <c r="E45" s="88"/>
      <c r="F45" s="88"/>
      <c r="G45" s="88"/>
      <c r="H45" s="88">
        <f t="shared" si="2"/>
        <v>76.5</v>
      </c>
      <c r="I45" s="88"/>
      <c r="J45" s="88"/>
      <c r="M45" s="89"/>
    </row>
    <row r="46" spans="1:13" x14ac:dyDescent="0.25">
      <c r="A46" s="87"/>
      <c r="B46" s="86"/>
      <c r="C46" s="87"/>
      <c r="D46" s="10">
        <f>SUM(D39:D45)</f>
        <v>85</v>
      </c>
      <c r="E46" s="88"/>
      <c r="F46" s="88"/>
      <c r="G46" s="88"/>
      <c r="H46" s="88"/>
      <c r="I46" s="88"/>
      <c r="J46" s="88"/>
    </row>
    <row r="47" spans="1:13" x14ac:dyDescent="0.25">
      <c r="A47" s="87"/>
      <c r="B47" s="86"/>
      <c r="C47" s="87"/>
      <c r="D47" s="10"/>
      <c r="E47" s="88"/>
      <c r="F47" s="88"/>
      <c r="G47" s="88"/>
      <c r="H47" s="88"/>
      <c r="I47" s="88"/>
      <c r="J47" s="88"/>
    </row>
    <row r="48" spans="1:13" s="83" customFormat="1" ht="12.75" x14ac:dyDescent="0.25">
      <c r="A48" s="83" t="s">
        <v>23</v>
      </c>
      <c r="D48" s="251">
        <f>D46+D37+D27+D20+D10+D8+D2</f>
        <v>970</v>
      </c>
      <c r="E48" s="85">
        <f>SUM(E2:E46)</f>
        <v>66534.760000000009</v>
      </c>
      <c r="F48" s="85">
        <f t="shared" ref="F48:J48" si="3">SUM(F2:F46)</f>
        <v>17314</v>
      </c>
      <c r="G48" s="85">
        <f>SUM(G2:G46)</f>
        <v>22085</v>
      </c>
      <c r="H48" s="85">
        <f t="shared" si="3"/>
        <v>10200.779999999999</v>
      </c>
      <c r="I48" s="85">
        <f t="shared" si="3"/>
        <v>6517.8</v>
      </c>
      <c r="J48" s="85">
        <f t="shared" si="3"/>
        <v>4911.3</v>
      </c>
      <c r="L48" s="92"/>
    </row>
    <row r="49" spans="1:10" x14ac:dyDescent="0.25">
      <c r="B49" s="93"/>
    </row>
    <row r="50" spans="1:10" x14ac:dyDescent="0.25">
      <c r="A50" s="83" t="s">
        <v>176</v>
      </c>
      <c r="B50" s="93"/>
      <c r="D50" s="251">
        <f>SUM(E50:J50)</f>
        <v>802</v>
      </c>
      <c r="E50" s="83">
        <f>SUM(D14:D19)</f>
        <v>372</v>
      </c>
      <c r="F50" s="83">
        <f>SUM(D23:D26)</f>
        <v>97</v>
      </c>
      <c r="G50" s="83">
        <f>SUM(D30:D36)</f>
        <v>105</v>
      </c>
      <c r="H50" s="83">
        <f>SUM(D40:D45)</f>
        <v>82</v>
      </c>
      <c r="I50" s="83">
        <f>SUM(D2)</f>
        <v>71</v>
      </c>
      <c r="J50" s="83">
        <f>SUM(D6:D7)</f>
        <v>75</v>
      </c>
    </row>
    <row r="52" spans="1:10" x14ac:dyDescent="0.25">
      <c r="A52" s="87" t="s">
        <v>177</v>
      </c>
      <c r="B52" s="89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23"/>
  <sheetViews>
    <sheetView zoomScale="85" zoomScaleNormal="85" workbookViewId="0">
      <selection activeCell="E18" sqref="E18"/>
    </sheetView>
  </sheetViews>
  <sheetFormatPr defaultColWidth="12.5703125" defaultRowHeight="16.5" customHeight="1" x14ac:dyDescent="0.25"/>
  <cols>
    <col min="1" max="1" width="8.140625" style="17" customWidth="1"/>
    <col min="2" max="2" width="35.7109375" style="17" customWidth="1"/>
    <col min="3" max="9" width="12.5703125" style="17" customWidth="1"/>
    <col min="10" max="10" width="12.5703125" style="16" customWidth="1"/>
    <col min="11" max="73" width="12.5703125" style="16"/>
    <col min="74" max="16384" width="12.5703125" style="17"/>
  </cols>
  <sheetData>
    <row r="1" spans="1:73" s="10" customFormat="1" ht="12.75" x14ac:dyDescent="0.25">
      <c r="C1" s="10" t="s">
        <v>23</v>
      </c>
      <c r="D1" s="10" t="s">
        <v>80</v>
      </c>
      <c r="E1" s="10" t="s">
        <v>83</v>
      </c>
      <c r="F1" s="10" t="s">
        <v>87</v>
      </c>
      <c r="G1" s="10" t="s">
        <v>88</v>
      </c>
      <c r="H1" s="10" t="s">
        <v>89</v>
      </c>
      <c r="I1" s="10" t="s">
        <v>90</v>
      </c>
      <c r="J1" s="11" t="s">
        <v>91</v>
      </c>
      <c r="K1" s="11" t="s">
        <v>92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</row>
    <row r="2" spans="1:73" ht="15" x14ac:dyDescent="0.25">
      <c r="A2" s="12">
        <v>8110</v>
      </c>
      <c r="B2" s="13" t="s">
        <v>4</v>
      </c>
      <c r="C2" s="14">
        <f>SUM(D2:K2)</f>
        <v>21058</v>
      </c>
      <c r="D2" s="15">
        <f>15745+150</f>
        <v>15895</v>
      </c>
      <c r="E2" s="14">
        <v>0</v>
      </c>
      <c r="F2" s="15">
        <f>1850+100</f>
        <v>1950</v>
      </c>
      <c r="G2" s="15">
        <v>2600</v>
      </c>
      <c r="H2" s="14">
        <v>0</v>
      </c>
      <c r="I2" s="14">
        <v>0</v>
      </c>
      <c r="J2" s="15">
        <v>613</v>
      </c>
      <c r="K2" s="15">
        <v>0</v>
      </c>
    </row>
    <row r="3" spans="1:73" s="20" customFormat="1" ht="15" x14ac:dyDescent="0.25">
      <c r="A3" s="18"/>
      <c r="B3" s="19"/>
      <c r="C3" s="14"/>
      <c r="D3" s="14"/>
      <c r="E3" s="14"/>
      <c r="F3" s="14"/>
      <c r="G3" s="14"/>
      <c r="H3" s="14"/>
      <c r="I3" s="14"/>
      <c r="J3" s="14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</row>
    <row r="4" spans="1:73" s="20" customFormat="1" ht="15" x14ac:dyDescent="0.25">
      <c r="A4" s="268">
        <v>8120</v>
      </c>
      <c r="B4" s="23" t="s">
        <v>105</v>
      </c>
      <c r="C4" s="24">
        <v>800</v>
      </c>
      <c r="D4" s="14"/>
      <c r="E4" s="14">
        <f t="shared" ref="E4:E12" si="0">C4</f>
        <v>800</v>
      </c>
      <c r="F4" s="14"/>
      <c r="G4" s="14"/>
      <c r="H4" s="14"/>
      <c r="I4" s="14"/>
      <c r="J4" s="14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</row>
    <row r="5" spans="1:73" ht="15" x14ac:dyDescent="0.25">
      <c r="A5" s="269"/>
      <c r="B5" s="13" t="s">
        <v>106</v>
      </c>
      <c r="C5" s="15">
        <f>8925+125+100</f>
        <v>9150</v>
      </c>
      <c r="D5" s="14"/>
      <c r="E5" s="14">
        <f t="shared" si="0"/>
        <v>9150</v>
      </c>
      <c r="F5" s="14"/>
      <c r="G5" s="14"/>
      <c r="H5" s="14"/>
      <c r="I5" s="14"/>
      <c r="J5" s="14"/>
      <c r="K5" s="20"/>
    </row>
    <row r="6" spans="1:73" ht="15" x14ac:dyDescent="0.25">
      <c r="A6" s="269"/>
      <c r="B6" s="13" t="s">
        <v>93</v>
      </c>
      <c r="C6" s="15">
        <v>0</v>
      </c>
      <c r="D6" s="14"/>
      <c r="E6" s="14">
        <f t="shared" si="0"/>
        <v>0</v>
      </c>
      <c r="F6" s="14"/>
      <c r="G6" s="14"/>
      <c r="H6" s="14"/>
      <c r="I6" s="14"/>
      <c r="J6" s="14"/>
      <c r="K6" s="20"/>
    </row>
    <row r="7" spans="1:73" ht="15" x14ac:dyDescent="0.25">
      <c r="A7" s="269"/>
      <c r="B7" s="13" t="s">
        <v>94</v>
      </c>
      <c r="C7" s="15">
        <v>1900</v>
      </c>
      <c r="D7" s="14"/>
      <c r="E7" s="14">
        <f t="shared" si="0"/>
        <v>1900</v>
      </c>
      <c r="F7" s="14"/>
      <c r="G7" s="14"/>
      <c r="H7" s="14"/>
      <c r="I7" s="14"/>
      <c r="J7" s="14"/>
      <c r="K7" s="20"/>
    </row>
    <row r="8" spans="1:73" ht="15" x14ac:dyDescent="0.25">
      <c r="A8" s="269"/>
      <c r="B8" s="13" t="s">
        <v>95</v>
      </c>
      <c r="C8" s="15">
        <v>250</v>
      </c>
      <c r="D8" s="14"/>
      <c r="E8" s="14">
        <f t="shared" si="0"/>
        <v>250</v>
      </c>
      <c r="F8" s="14"/>
      <c r="G8" s="14"/>
      <c r="H8" s="14"/>
      <c r="I8" s="14"/>
      <c r="J8" s="14"/>
      <c r="K8" s="20"/>
    </row>
    <row r="9" spans="1:73" ht="15" x14ac:dyDescent="0.25">
      <c r="A9" s="269"/>
      <c r="B9" s="13" t="s">
        <v>96</v>
      </c>
      <c r="C9" s="240">
        <v>3300</v>
      </c>
      <c r="D9" s="14"/>
      <c r="E9" s="14">
        <f t="shared" si="0"/>
        <v>3300</v>
      </c>
      <c r="F9" s="14"/>
      <c r="G9" s="14"/>
      <c r="H9" s="14"/>
      <c r="I9" s="14"/>
      <c r="J9" s="14"/>
      <c r="K9" s="20"/>
    </row>
    <row r="10" spans="1:73" ht="15" x14ac:dyDescent="0.25">
      <c r="A10" s="269"/>
      <c r="B10" s="13" t="s">
        <v>97</v>
      </c>
      <c r="C10" s="15">
        <v>50</v>
      </c>
      <c r="D10" s="14"/>
      <c r="E10" s="14">
        <f t="shared" si="0"/>
        <v>50</v>
      </c>
      <c r="F10" s="14"/>
      <c r="G10" s="14"/>
      <c r="H10" s="14"/>
      <c r="I10" s="14"/>
      <c r="J10" s="14"/>
      <c r="K10" s="20"/>
    </row>
    <row r="11" spans="1:73" ht="15" x14ac:dyDescent="0.25">
      <c r="A11" s="270"/>
      <c r="B11" s="13" t="s">
        <v>98</v>
      </c>
      <c r="C11" s="15">
        <v>2650</v>
      </c>
      <c r="D11" s="14"/>
      <c r="E11" s="14">
        <f t="shared" si="0"/>
        <v>2650</v>
      </c>
      <c r="F11" s="14"/>
      <c r="G11" s="14"/>
      <c r="H11" s="14"/>
      <c r="I11" s="14"/>
      <c r="J11" s="14"/>
      <c r="K11" s="20"/>
    </row>
    <row r="12" spans="1:73" ht="15" x14ac:dyDescent="0.25">
      <c r="A12" s="21"/>
      <c r="B12" s="13" t="s">
        <v>99</v>
      </c>
      <c r="C12" s="15">
        <v>0</v>
      </c>
      <c r="D12" s="14">
        <f>C12</f>
        <v>0</v>
      </c>
      <c r="E12" s="14">
        <f t="shared" si="0"/>
        <v>0</v>
      </c>
      <c r="F12" s="14"/>
      <c r="G12" s="14"/>
      <c r="H12" s="14"/>
      <c r="I12" s="14"/>
      <c r="J12" s="14"/>
      <c r="K12" s="20"/>
    </row>
    <row r="13" spans="1:73" ht="15" x14ac:dyDescent="0.25">
      <c r="A13" s="268">
        <v>8121</v>
      </c>
      <c r="B13" s="13" t="s">
        <v>102</v>
      </c>
      <c r="C13" s="15">
        <v>0</v>
      </c>
      <c r="D13" s="14"/>
      <c r="E13" s="14">
        <f>C13/4</f>
        <v>0</v>
      </c>
      <c r="F13" s="14">
        <f t="shared" ref="F13:H14" si="1">E13</f>
        <v>0</v>
      </c>
      <c r="G13" s="14">
        <f t="shared" si="1"/>
        <v>0</v>
      </c>
      <c r="H13" s="14">
        <f t="shared" si="1"/>
        <v>0</v>
      </c>
      <c r="I13" s="14"/>
      <c r="J13" s="14"/>
      <c r="K13" s="20"/>
    </row>
    <row r="14" spans="1:73" ht="15" x14ac:dyDescent="0.25">
      <c r="A14" s="270"/>
      <c r="B14" s="13" t="s">
        <v>100</v>
      </c>
      <c r="C14" s="15">
        <f>5225+125</f>
        <v>5350</v>
      </c>
      <c r="D14" s="14"/>
      <c r="E14" s="14">
        <f>C14/4</f>
        <v>1337.5</v>
      </c>
      <c r="F14" s="14">
        <f t="shared" si="1"/>
        <v>1337.5</v>
      </c>
      <c r="G14" s="14">
        <f t="shared" si="1"/>
        <v>1337.5</v>
      </c>
      <c r="H14" s="14">
        <f t="shared" si="1"/>
        <v>1337.5</v>
      </c>
      <c r="I14" s="14"/>
      <c r="J14" s="14"/>
      <c r="K14" s="20"/>
    </row>
    <row r="15" spans="1:73" ht="15" x14ac:dyDescent="0.25">
      <c r="A15" s="241"/>
      <c r="B15" s="13" t="s">
        <v>211</v>
      </c>
      <c r="C15" s="15">
        <v>400</v>
      </c>
      <c r="D15" s="14"/>
      <c r="E15" s="14"/>
      <c r="F15" s="14"/>
      <c r="G15" s="14"/>
      <c r="H15" s="14"/>
      <c r="I15" s="14"/>
      <c r="J15" s="14"/>
      <c r="K15" s="242">
        <v>500</v>
      </c>
    </row>
    <row r="16" spans="1:73" s="20" customFormat="1" ht="15" x14ac:dyDescent="0.25">
      <c r="A16" s="18"/>
      <c r="B16" s="19"/>
      <c r="C16" s="14"/>
      <c r="D16" s="14"/>
      <c r="E16" s="14"/>
      <c r="F16" s="14"/>
      <c r="G16" s="14"/>
      <c r="H16" s="14"/>
      <c r="I16" s="14"/>
      <c r="J16" s="14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</row>
    <row r="17" spans="1:73" ht="15" x14ac:dyDescent="0.25">
      <c r="A17" s="12">
        <v>8160</v>
      </c>
      <c r="B17" s="13" t="s">
        <v>101</v>
      </c>
      <c r="C17" s="15">
        <f>1100+100</f>
        <v>1200</v>
      </c>
      <c r="D17" s="14">
        <f>C17</f>
        <v>1200</v>
      </c>
      <c r="E17" s="14"/>
      <c r="F17" s="14"/>
      <c r="G17" s="14"/>
      <c r="H17" s="14"/>
      <c r="I17" s="14"/>
      <c r="J17" s="14"/>
      <c r="K17" s="20"/>
    </row>
    <row r="18" spans="1:73" s="20" customFormat="1" ht="15" x14ac:dyDescent="0.25">
      <c r="B18" s="22" t="s">
        <v>23</v>
      </c>
      <c r="C18" s="14">
        <f>SUM(C2:C17)</f>
        <v>46108</v>
      </c>
      <c r="D18" s="14">
        <f>SUM(D2:D17)</f>
        <v>17095</v>
      </c>
      <c r="E18" s="14">
        <f t="shared" ref="E18:K18" si="2">SUM(E2:E17)</f>
        <v>19437.5</v>
      </c>
      <c r="F18" s="14">
        <f t="shared" si="2"/>
        <v>3287.5</v>
      </c>
      <c r="G18" s="14">
        <f t="shared" si="2"/>
        <v>3937.5</v>
      </c>
      <c r="H18" s="14">
        <f t="shared" si="2"/>
        <v>1337.5</v>
      </c>
      <c r="I18" s="14">
        <f t="shared" si="2"/>
        <v>0</v>
      </c>
      <c r="J18" s="14">
        <f t="shared" si="2"/>
        <v>613</v>
      </c>
      <c r="K18" s="14">
        <f t="shared" si="2"/>
        <v>500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</row>
    <row r="19" spans="1:73" s="20" customFormat="1" ht="15" x14ac:dyDescent="0.25">
      <c r="B19" s="22" t="s">
        <v>103</v>
      </c>
      <c r="C19" s="14">
        <v>46108</v>
      </c>
      <c r="D19" s="14"/>
      <c r="E19" s="14"/>
      <c r="F19" s="14"/>
      <c r="G19" s="14"/>
      <c r="H19" s="14"/>
      <c r="I19" s="14"/>
      <c r="J19" s="14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</row>
    <row r="20" spans="1:73" s="20" customFormat="1" ht="15" x14ac:dyDescent="0.25">
      <c r="B20" s="22" t="s">
        <v>104</v>
      </c>
      <c r="C20" s="14">
        <f>C18-C19</f>
        <v>0</v>
      </c>
      <c r="D20" s="14"/>
      <c r="E20" s="14"/>
      <c r="F20" s="14"/>
      <c r="G20" s="14"/>
      <c r="H20" s="14"/>
      <c r="I20" s="14"/>
      <c r="J20" s="14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</row>
    <row r="21" spans="1:73" ht="16.5" customHeight="1" x14ac:dyDescent="0.25">
      <c r="B21" s="17" t="s">
        <v>210</v>
      </c>
    </row>
    <row r="22" spans="1:73" ht="16.5" customHeight="1" x14ac:dyDescent="0.25">
      <c r="B22" s="17" t="s">
        <v>209</v>
      </c>
    </row>
    <row r="23" spans="1:73" ht="15" x14ac:dyDescent="0.25"/>
  </sheetData>
  <mergeCells count="2">
    <mergeCell ref="A4:A11"/>
    <mergeCell ref="A13:A1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Exploitatierekening</vt:lpstr>
      <vt:lpstr>Balans</vt:lpstr>
      <vt:lpstr>Leden &amp; Contributie</vt:lpstr>
      <vt:lpstr>Sponsoring 2019 - 2020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Woudenberg</dc:creator>
  <cp:lastModifiedBy>Vincent Woudenberg</cp:lastModifiedBy>
  <cp:lastPrinted>2018-09-13T10:05:10Z</cp:lastPrinted>
  <dcterms:created xsi:type="dcterms:W3CDTF">2018-05-04T17:48:08Z</dcterms:created>
  <dcterms:modified xsi:type="dcterms:W3CDTF">2019-09-16T20:02:52Z</dcterms:modified>
</cp:coreProperties>
</file>