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db6cdb7161ac07/Bureaublad/"/>
    </mc:Choice>
  </mc:AlternateContent>
  <xr:revisionPtr revIDLastSave="0" documentId="8_{02410CF9-965A-4B65-9728-A5ABA7307BCD}" xr6:coauthVersionLast="47" xr6:coauthVersionMax="47" xr10:uidLastSave="{00000000-0000-0000-0000-000000000000}"/>
  <bookViews>
    <workbookView xWindow="-108" yWindow="-108" windowWidth="23256" windowHeight="12576" firstSheet="3" activeTab="3" xr2:uid="{00000000-000D-0000-FFFF-FFFF00000000}"/>
  </bookViews>
  <sheets>
    <sheet name="Alle Thuis wedstrijden" sheetId="2" state="hidden" r:id="rId1"/>
    <sheet name="CHECK" sheetId="14" state="hidden" r:id="rId2"/>
    <sheet name="Alle wedstrijden" sheetId="6" state="hidden" r:id="rId3"/>
    <sheet name="Zaalseizoen totaal" sheetId="15" r:id="rId4"/>
    <sheet name="zaalboek_en_zaalwacht" sheetId="7" state="hidden" r:id="rId5"/>
    <sheet name="Backup" sheetId="8" state="hidden" r:id="rId6"/>
    <sheet name="alle_wedstrijden (3)" sheetId="9" state="hidden" r:id="rId7"/>
  </sheets>
  <definedNames>
    <definedName name="_xlnm._FilterDatabase" localSheetId="0" hidden="1">'Alle Thuis wedstrijden'!$A$1:$F$241</definedName>
    <definedName name="_xlnm._FilterDatabase" localSheetId="2" hidden="1">'Alle wedstrijden'!$A$1:$N$222</definedName>
    <definedName name="_xlnm._FilterDatabase" localSheetId="1" hidden="1">CHECK!$A$1:$N$222</definedName>
    <definedName name="_xlnm._FilterDatabase" localSheetId="3" hidden="1">'Zaalseizoen totaal'!$A$1:$J$445</definedName>
    <definedName name="Z_699370C3_7B05_45EC_A01E_9EDE34BE234E_.wvu.FilterData" localSheetId="0" hidden="1">'Alle Thuis wedstrijden'!$E$1:$E$1000</definedName>
    <definedName name="Z_699370C3_7B05_45EC_A01E_9EDE34BE234E_.wvu.FilterData" localSheetId="2" hidden="1">'Alle wedstrijden'!$A$1:$F$271</definedName>
    <definedName name="Z_699370C3_7B05_45EC_A01E_9EDE34BE234E_.wvu.FilterData" localSheetId="1" hidden="1">CHECK!$A$1:$F$271</definedName>
  </definedNames>
  <calcPr calcId="191029"/>
  <customWorkbookViews>
    <customWorkbookView name="Filter 1" guid="{699370C3-7B05-45EC-A01E-9EDE34BE234E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81" i="14" l="1"/>
  <c r="I280" i="14"/>
  <c r="I279" i="14"/>
  <c r="I278" i="14"/>
  <c r="I277" i="14"/>
  <c r="I276" i="14"/>
  <c r="I275" i="14"/>
  <c r="I274" i="14"/>
  <c r="I273" i="14"/>
  <c r="I272" i="14"/>
  <c r="I222" i="14"/>
  <c r="E222" i="14"/>
  <c r="I221" i="14"/>
  <c r="E221" i="14"/>
  <c r="I220" i="14"/>
  <c r="E220" i="14"/>
  <c r="I219" i="14"/>
  <c r="E219" i="14"/>
  <c r="I218" i="14"/>
  <c r="E218" i="14"/>
  <c r="I217" i="14"/>
  <c r="E217" i="14"/>
  <c r="I216" i="14"/>
  <c r="E216" i="14"/>
  <c r="I215" i="14"/>
  <c r="E215" i="14"/>
  <c r="I214" i="14"/>
  <c r="E214" i="14"/>
  <c r="I213" i="14"/>
  <c r="E213" i="14"/>
  <c r="I212" i="14"/>
  <c r="E212" i="14"/>
  <c r="I211" i="14"/>
  <c r="E211" i="14"/>
  <c r="I210" i="14"/>
  <c r="E210" i="14"/>
  <c r="I209" i="14"/>
  <c r="E209" i="14"/>
  <c r="I208" i="14"/>
  <c r="E208" i="14"/>
  <c r="I207" i="14"/>
  <c r="E207" i="14"/>
  <c r="I206" i="14"/>
  <c r="E206" i="14"/>
  <c r="I205" i="14"/>
  <c r="E205" i="14"/>
  <c r="I204" i="14"/>
  <c r="E204" i="14"/>
  <c r="I203" i="14"/>
  <c r="E203" i="14"/>
  <c r="I202" i="14"/>
  <c r="E202" i="14"/>
  <c r="I201" i="14"/>
  <c r="E201" i="14"/>
  <c r="I200" i="14"/>
  <c r="E200" i="14"/>
  <c r="I199" i="14"/>
  <c r="E199" i="14"/>
  <c r="I198" i="14"/>
  <c r="E198" i="14"/>
  <c r="I197" i="14"/>
  <c r="E197" i="14"/>
  <c r="I196" i="14"/>
  <c r="E196" i="14"/>
  <c r="I195" i="14"/>
  <c r="E195" i="14"/>
  <c r="I194" i="14"/>
  <c r="E194" i="14"/>
  <c r="I193" i="14"/>
  <c r="E193" i="14"/>
  <c r="I192" i="14"/>
  <c r="E192" i="14"/>
  <c r="I191" i="14"/>
  <c r="E191" i="14"/>
  <c r="I190" i="14"/>
  <c r="E190" i="14"/>
  <c r="I189" i="14"/>
  <c r="E189" i="14"/>
  <c r="I188" i="14"/>
  <c r="E188" i="14"/>
  <c r="I187" i="14"/>
  <c r="E187" i="14"/>
  <c r="I186" i="14"/>
  <c r="E186" i="14"/>
  <c r="I185" i="14"/>
  <c r="E185" i="14"/>
  <c r="I184" i="14"/>
  <c r="E184" i="14"/>
  <c r="I183" i="14"/>
  <c r="E183" i="14"/>
  <c r="I182" i="14"/>
  <c r="E182" i="14"/>
  <c r="I181" i="14"/>
  <c r="E181" i="14"/>
  <c r="I180" i="14"/>
  <c r="E180" i="14"/>
  <c r="I179" i="14"/>
  <c r="E179" i="14"/>
  <c r="I178" i="14"/>
  <c r="E178" i="14"/>
  <c r="I177" i="14"/>
  <c r="E177" i="14"/>
  <c r="I176" i="14"/>
  <c r="E176" i="14"/>
  <c r="I175" i="14"/>
  <c r="E175" i="14"/>
  <c r="I174" i="14"/>
  <c r="E174" i="14"/>
  <c r="I173" i="14"/>
  <c r="E173" i="14"/>
  <c r="I172" i="14"/>
  <c r="E172" i="14"/>
  <c r="I171" i="14"/>
  <c r="E171" i="14"/>
  <c r="I170" i="14"/>
  <c r="E170" i="14"/>
  <c r="I169" i="14"/>
  <c r="E169" i="14"/>
  <c r="I168" i="14"/>
  <c r="E168" i="14"/>
  <c r="I167" i="14"/>
  <c r="E167" i="14"/>
  <c r="I166" i="14"/>
  <c r="E166" i="14"/>
  <c r="I165" i="14"/>
  <c r="E165" i="14"/>
  <c r="I164" i="14"/>
  <c r="E164" i="14"/>
  <c r="I163" i="14"/>
  <c r="E163" i="14"/>
  <c r="I162" i="14"/>
  <c r="E162" i="14"/>
  <c r="I161" i="14"/>
  <c r="E161" i="14"/>
  <c r="I160" i="14"/>
  <c r="E160" i="14"/>
  <c r="I159" i="14"/>
  <c r="E159" i="14"/>
  <c r="I158" i="14"/>
  <c r="E158" i="14"/>
  <c r="I157" i="14"/>
  <c r="E157" i="14"/>
  <c r="I156" i="14"/>
  <c r="E156" i="14"/>
  <c r="I155" i="14"/>
  <c r="E155" i="14"/>
  <c r="I154" i="14"/>
  <c r="E154" i="14"/>
  <c r="I153" i="14"/>
  <c r="E153" i="14"/>
  <c r="I152" i="14"/>
  <c r="E152" i="14"/>
  <c r="I151" i="14"/>
  <c r="E151" i="14"/>
  <c r="I150" i="14"/>
  <c r="E150" i="14"/>
  <c r="I149" i="14"/>
  <c r="E149" i="14"/>
  <c r="I148" i="14"/>
  <c r="E148" i="14"/>
  <c r="I147" i="14"/>
  <c r="E147" i="14"/>
  <c r="I146" i="14"/>
  <c r="E146" i="14"/>
  <c r="I145" i="14"/>
  <c r="E145" i="14"/>
  <c r="I144" i="14"/>
  <c r="E144" i="14"/>
  <c r="I143" i="14"/>
  <c r="E143" i="14"/>
  <c r="I142" i="14"/>
  <c r="E142" i="14"/>
  <c r="I141" i="14"/>
  <c r="E141" i="14"/>
  <c r="I140" i="14"/>
  <c r="E140" i="14"/>
  <c r="I139" i="14"/>
  <c r="E139" i="14"/>
  <c r="I138" i="14"/>
  <c r="E138" i="14"/>
  <c r="I137" i="14"/>
  <c r="E137" i="14"/>
  <c r="I136" i="14"/>
  <c r="E136" i="14"/>
  <c r="I135" i="14"/>
  <c r="E135" i="14"/>
  <c r="I134" i="14"/>
  <c r="E134" i="14"/>
  <c r="I133" i="14"/>
  <c r="E133" i="14"/>
  <c r="I132" i="14"/>
  <c r="E132" i="14"/>
  <c r="I131" i="14"/>
  <c r="E131" i="14"/>
  <c r="I130" i="14"/>
  <c r="E130" i="14"/>
  <c r="I129" i="14"/>
  <c r="E129" i="14"/>
  <c r="I128" i="14"/>
  <c r="E128" i="14"/>
  <c r="I127" i="14"/>
  <c r="E127" i="14"/>
  <c r="I126" i="14"/>
  <c r="E126" i="14"/>
  <c r="I125" i="14"/>
  <c r="E125" i="14"/>
  <c r="I124" i="14"/>
  <c r="E124" i="14"/>
  <c r="I123" i="14"/>
  <c r="E123" i="14"/>
  <c r="I122" i="14"/>
  <c r="E122" i="14"/>
  <c r="I121" i="14"/>
  <c r="E121" i="14"/>
  <c r="I120" i="14"/>
  <c r="E120" i="14"/>
  <c r="I119" i="14"/>
  <c r="E119" i="14"/>
  <c r="I118" i="14"/>
  <c r="E118" i="14"/>
  <c r="I117" i="14"/>
  <c r="E117" i="14"/>
  <c r="I116" i="14"/>
  <c r="E116" i="14"/>
  <c r="I115" i="14"/>
  <c r="E115" i="14"/>
  <c r="I114" i="14"/>
  <c r="E114" i="14"/>
  <c r="I113" i="14"/>
  <c r="E113" i="14"/>
  <c r="I112" i="14"/>
  <c r="E112" i="14"/>
  <c r="I111" i="14"/>
  <c r="E111" i="14"/>
  <c r="I110" i="14"/>
  <c r="E110" i="14"/>
  <c r="I109" i="14"/>
  <c r="E109" i="14"/>
  <c r="I108" i="14"/>
  <c r="E108" i="14"/>
  <c r="I107" i="14"/>
  <c r="E107" i="14"/>
  <c r="I106" i="14"/>
  <c r="E106" i="14"/>
  <c r="I105" i="14"/>
  <c r="E105" i="14"/>
  <c r="I104" i="14"/>
  <c r="E104" i="14"/>
  <c r="I103" i="14"/>
  <c r="E103" i="14"/>
  <c r="I102" i="14"/>
  <c r="E102" i="14"/>
  <c r="I101" i="14"/>
  <c r="E101" i="14"/>
  <c r="I100" i="14"/>
  <c r="E100" i="14"/>
  <c r="I99" i="14"/>
  <c r="E99" i="14"/>
  <c r="I98" i="14"/>
  <c r="E98" i="14"/>
  <c r="I97" i="14"/>
  <c r="E97" i="14"/>
  <c r="I96" i="14"/>
  <c r="E96" i="14"/>
  <c r="I95" i="14"/>
  <c r="E95" i="14"/>
  <c r="I94" i="14"/>
  <c r="E94" i="14"/>
  <c r="I93" i="14"/>
  <c r="E93" i="14"/>
  <c r="I92" i="14"/>
  <c r="E92" i="14"/>
  <c r="I91" i="14"/>
  <c r="E91" i="14"/>
  <c r="I90" i="14"/>
  <c r="E90" i="14"/>
  <c r="I89" i="14"/>
  <c r="E89" i="14"/>
  <c r="I88" i="14"/>
  <c r="E88" i="14"/>
  <c r="I87" i="14"/>
  <c r="E87" i="14"/>
  <c r="I86" i="14"/>
  <c r="E86" i="14"/>
  <c r="I85" i="14"/>
  <c r="E85" i="14"/>
  <c r="I84" i="14"/>
  <c r="E84" i="14"/>
  <c r="I83" i="14"/>
  <c r="E83" i="14"/>
  <c r="I82" i="14"/>
  <c r="E82" i="14"/>
  <c r="I81" i="14"/>
  <c r="E81" i="14"/>
  <c r="I80" i="14"/>
  <c r="E80" i="14"/>
  <c r="I79" i="14"/>
  <c r="E79" i="14"/>
  <c r="I78" i="14"/>
  <c r="E78" i="14"/>
  <c r="I77" i="14"/>
  <c r="E77" i="14"/>
  <c r="I76" i="14"/>
  <c r="E76" i="14"/>
  <c r="I75" i="14"/>
  <c r="E75" i="14"/>
  <c r="I74" i="14"/>
  <c r="E74" i="14"/>
  <c r="I73" i="14"/>
  <c r="E73" i="14"/>
  <c r="I72" i="14"/>
  <c r="E72" i="14"/>
  <c r="I71" i="14"/>
  <c r="E71" i="14"/>
  <c r="I70" i="14"/>
  <c r="E70" i="14"/>
  <c r="I69" i="14"/>
  <c r="E69" i="14"/>
  <c r="I68" i="14"/>
  <c r="E68" i="14"/>
  <c r="I67" i="14"/>
  <c r="E67" i="14"/>
  <c r="I66" i="14"/>
  <c r="E66" i="14"/>
  <c r="I65" i="14"/>
  <c r="E65" i="14"/>
  <c r="I64" i="14"/>
  <c r="E64" i="14"/>
  <c r="I63" i="14"/>
  <c r="E63" i="14"/>
  <c r="I62" i="14"/>
  <c r="E62" i="14"/>
  <c r="I61" i="14"/>
  <c r="E61" i="14"/>
  <c r="I60" i="14"/>
  <c r="E60" i="14"/>
  <c r="I59" i="14"/>
  <c r="E59" i="14"/>
  <c r="I58" i="14"/>
  <c r="E58" i="14"/>
  <c r="I57" i="14"/>
  <c r="E57" i="14"/>
  <c r="I56" i="14"/>
  <c r="E56" i="14"/>
  <c r="I55" i="14"/>
  <c r="E55" i="14"/>
  <c r="I54" i="14"/>
  <c r="E54" i="14"/>
  <c r="I53" i="14"/>
  <c r="E53" i="14"/>
  <c r="I52" i="14"/>
  <c r="E52" i="14"/>
  <c r="I51" i="14"/>
  <c r="E51" i="14"/>
  <c r="I50" i="14"/>
  <c r="E50" i="14"/>
  <c r="I49" i="14"/>
  <c r="E49" i="14"/>
  <c r="I48" i="14"/>
  <c r="E48" i="14"/>
  <c r="I47" i="14"/>
  <c r="E47" i="14"/>
  <c r="I46" i="14"/>
  <c r="E46" i="14"/>
  <c r="I45" i="14"/>
  <c r="E45" i="14"/>
  <c r="I44" i="14"/>
  <c r="E44" i="14"/>
  <c r="I43" i="14"/>
  <c r="E43" i="14"/>
  <c r="I42" i="14"/>
  <c r="E42" i="14"/>
  <c r="I41" i="14"/>
  <c r="E41" i="14"/>
  <c r="I40" i="14"/>
  <c r="E40" i="14"/>
  <c r="I39" i="14"/>
  <c r="E39" i="14"/>
  <c r="I38" i="14"/>
  <c r="E38" i="14"/>
  <c r="I37" i="14"/>
  <c r="E37" i="14"/>
  <c r="I36" i="14"/>
  <c r="E36" i="14"/>
  <c r="I35" i="14"/>
  <c r="E35" i="14"/>
  <c r="I34" i="14"/>
  <c r="E34" i="14"/>
  <c r="I33" i="14"/>
  <c r="E33" i="14"/>
  <c r="I32" i="14"/>
  <c r="E32" i="14"/>
  <c r="I31" i="14"/>
  <c r="E31" i="14"/>
  <c r="I30" i="14"/>
  <c r="E30" i="14"/>
  <c r="I29" i="14"/>
  <c r="E29" i="14"/>
  <c r="I28" i="14"/>
  <c r="E28" i="14"/>
  <c r="I27" i="14"/>
  <c r="E27" i="14"/>
  <c r="I26" i="14"/>
  <c r="E26" i="14"/>
  <c r="I25" i="14"/>
  <c r="E25" i="14"/>
  <c r="I24" i="14"/>
  <c r="E24" i="14"/>
  <c r="I23" i="14"/>
  <c r="E23" i="14"/>
  <c r="I22" i="14"/>
  <c r="E22" i="14"/>
  <c r="I21" i="14"/>
  <c r="E21" i="14"/>
  <c r="I20" i="14"/>
  <c r="E20" i="14"/>
  <c r="I19" i="14"/>
  <c r="E19" i="14"/>
  <c r="I18" i="14"/>
  <c r="E18" i="14"/>
  <c r="I17" i="14"/>
  <c r="E17" i="14"/>
  <c r="I16" i="14"/>
  <c r="E16" i="14"/>
  <c r="I15" i="14"/>
  <c r="E15" i="14"/>
  <c r="I14" i="14"/>
  <c r="E14" i="14"/>
  <c r="I13" i="14"/>
  <c r="E13" i="14"/>
  <c r="I12" i="14"/>
  <c r="E12" i="14"/>
  <c r="I11" i="14"/>
  <c r="E11" i="14"/>
  <c r="I10" i="14"/>
  <c r="E10" i="14"/>
  <c r="I9" i="14"/>
  <c r="E9" i="14"/>
  <c r="I8" i="14"/>
  <c r="E8" i="14"/>
  <c r="I7" i="14"/>
  <c r="E7" i="14"/>
  <c r="I6" i="14"/>
  <c r="E6" i="14"/>
  <c r="I5" i="14"/>
  <c r="E5" i="14"/>
  <c r="I4" i="14"/>
  <c r="E4" i="14"/>
  <c r="I3" i="14"/>
  <c r="E3" i="14"/>
  <c r="I2" i="14"/>
  <c r="E2" i="14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2" i="6"/>
  <c r="H483" i="9"/>
  <c r="H482" i="9"/>
  <c r="H481" i="9"/>
  <c r="H480" i="9"/>
  <c r="H479" i="9"/>
  <c r="H478" i="9"/>
  <c r="H477" i="9"/>
  <c r="H476" i="9"/>
  <c r="H475" i="9"/>
  <c r="H474" i="9"/>
  <c r="H473" i="9"/>
  <c r="H472" i="9"/>
  <c r="H471" i="9"/>
  <c r="H470" i="9"/>
  <c r="H469" i="9"/>
  <c r="H468" i="9"/>
  <c r="H467" i="9"/>
  <c r="H466" i="9"/>
  <c r="H465" i="9"/>
  <c r="H464" i="9"/>
  <c r="H463" i="9"/>
  <c r="H462" i="9"/>
  <c r="H461" i="9"/>
  <c r="H460" i="9"/>
  <c r="H459" i="9"/>
  <c r="H458" i="9"/>
  <c r="H457" i="9"/>
  <c r="H456" i="9"/>
  <c r="H455" i="9"/>
  <c r="H454" i="9"/>
  <c r="H453" i="9"/>
  <c r="H452" i="9"/>
  <c r="H451" i="9"/>
  <c r="H450" i="9"/>
  <c r="H449" i="9"/>
  <c r="H448" i="9"/>
  <c r="H447" i="9"/>
  <c r="H446" i="9"/>
  <c r="H445" i="9"/>
  <c r="H444" i="9"/>
  <c r="H443" i="9"/>
  <c r="H442" i="9"/>
  <c r="H441" i="9"/>
  <c r="H440" i="9"/>
  <c r="H439" i="9"/>
  <c r="H438" i="9"/>
  <c r="H437" i="9"/>
  <c r="H436" i="9"/>
  <c r="H435" i="9"/>
  <c r="H434" i="9"/>
  <c r="H433" i="9"/>
  <c r="H432" i="9"/>
  <c r="H431" i="9"/>
  <c r="H430" i="9"/>
  <c r="H429" i="9"/>
  <c r="H428" i="9"/>
  <c r="H427" i="9"/>
  <c r="H426" i="9"/>
  <c r="H425" i="9"/>
  <c r="H424" i="9"/>
  <c r="H423" i="9"/>
  <c r="H422" i="9"/>
  <c r="H421" i="9"/>
  <c r="H420" i="9"/>
  <c r="H419" i="9"/>
  <c r="H418" i="9"/>
  <c r="H417" i="9"/>
  <c r="H416" i="9"/>
  <c r="H415" i="9"/>
  <c r="H414" i="9"/>
  <c r="H413" i="9"/>
  <c r="H412" i="9"/>
  <c r="H411" i="9"/>
  <c r="H410" i="9"/>
  <c r="H409" i="9"/>
  <c r="H408" i="9"/>
  <c r="H407" i="9"/>
  <c r="H406" i="9"/>
  <c r="H405" i="9"/>
  <c r="H404" i="9"/>
  <c r="H403" i="9"/>
  <c r="H402" i="9"/>
  <c r="H401" i="9"/>
  <c r="H400" i="9"/>
  <c r="H399" i="9"/>
  <c r="H398" i="9"/>
  <c r="H397" i="9"/>
  <c r="H396" i="9"/>
  <c r="H395" i="9"/>
  <c r="H394" i="9"/>
  <c r="H393" i="9"/>
  <c r="H392" i="9"/>
  <c r="H391" i="9"/>
  <c r="H390" i="9"/>
  <c r="H389" i="9"/>
  <c r="H388" i="9"/>
  <c r="H387" i="9"/>
  <c r="H386" i="9"/>
  <c r="H385" i="9"/>
  <c r="H384" i="9"/>
  <c r="H383" i="9"/>
  <c r="H382" i="9"/>
  <c r="H381" i="9"/>
  <c r="H380" i="9"/>
  <c r="H379" i="9"/>
  <c r="H378" i="9"/>
  <c r="H377" i="9"/>
  <c r="H376" i="9"/>
  <c r="H375" i="9"/>
  <c r="H374" i="9"/>
  <c r="H373" i="9"/>
  <c r="H372" i="9"/>
  <c r="H371" i="9"/>
  <c r="H370" i="9"/>
  <c r="H369" i="9"/>
  <c r="H368" i="9"/>
  <c r="H367" i="9"/>
  <c r="H366" i="9"/>
  <c r="H365" i="9"/>
  <c r="H364" i="9"/>
  <c r="H363" i="9"/>
  <c r="H362" i="9"/>
  <c r="H361" i="9"/>
  <c r="H360" i="9"/>
  <c r="H359" i="9"/>
  <c r="H358" i="9"/>
  <c r="H357" i="9"/>
  <c r="H356" i="9"/>
  <c r="H355" i="9"/>
  <c r="H354" i="9"/>
  <c r="H353" i="9"/>
  <c r="H352" i="9"/>
  <c r="H351" i="9"/>
  <c r="H350" i="9"/>
  <c r="H349" i="9"/>
  <c r="H348" i="9"/>
  <c r="H347" i="9"/>
  <c r="H346" i="9"/>
  <c r="H345" i="9"/>
  <c r="H344" i="9"/>
  <c r="H343" i="9"/>
  <c r="H342" i="9"/>
  <c r="H341" i="9"/>
  <c r="H340" i="9"/>
  <c r="H339" i="9"/>
  <c r="H338" i="9"/>
  <c r="H337" i="9"/>
  <c r="H336" i="9"/>
  <c r="H335" i="9"/>
  <c r="H334" i="9"/>
  <c r="H333" i="9"/>
  <c r="H332" i="9"/>
  <c r="H331" i="9"/>
  <c r="H330" i="9"/>
  <c r="H329" i="9"/>
  <c r="H328" i="9"/>
  <c r="H327" i="9"/>
  <c r="H326" i="9"/>
  <c r="H325" i="9"/>
  <c r="H324" i="9"/>
  <c r="H323" i="9"/>
  <c r="H322" i="9"/>
  <c r="H321" i="9"/>
  <c r="H320" i="9"/>
  <c r="H319" i="9"/>
  <c r="H318" i="9"/>
  <c r="H317" i="9"/>
  <c r="H316" i="9"/>
  <c r="H315" i="9"/>
  <c r="H314" i="9"/>
  <c r="H313" i="9"/>
  <c r="H312" i="9"/>
  <c r="H311" i="9"/>
  <c r="H310" i="9"/>
  <c r="H309" i="9"/>
  <c r="H308" i="9"/>
  <c r="H307" i="9"/>
  <c r="H306" i="9"/>
  <c r="H305" i="9"/>
  <c r="H304" i="9"/>
  <c r="H303" i="9"/>
  <c r="H302" i="9"/>
  <c r="H301" i="9"/>
  <c r="H300" i="9"/>
  <c r="H299" i="9"/>
  <c r="H298" i="9"/>
  <c r="H297" i="9"/>
  <c r="H296" i="9"/>
  <c r="H295" i="9"/>
  <c r="H294" i="9"/>
  <c r="H293" i="9"/>
  <c r="H292" i="9"/>
  <c r="H291" i="9"/>
  <c r="H290" i="9"/>
  <c r="H289" i="9"/>
  <c r="H288" i="9"/>
  <c r="H287" i="9"/>
  <c r="H286" i="9"/>
  <c r="H285" i="9"/>
  <c r="H284" i="9"/>
  <c r="H283" i="9"/>
  <c r="H282" i="9"/>
  <c r="H281" i="9"/>
  <c r="H280" i="9"/>
  <c r="H279" i="9"/>
  <c r="H278" i="9"/>
  <c r="H277" i="9"/>
  <c r="H276" i="9"/>
  <c r="H275" i="9"/>
  <c r="H274" i="9"/>
  <c r="H273" i="9"/>
  <c r="H272" i="9"/>
  <c r="H271" i="9"/>
  <c r="H270" i="9"/>
  <c r="H269" i="9"/>
  <c r="H268" i="9"/>
  <c r="H267" i="9"/>
  <c r="H266" i="9"/>
  <c r="H265" i="9"/>
  <c r="H264" i="9"/>
  <c r="H263" i="9"/>
  <c r="H262" i="9"/>
  <c r="H261" i="9"/>
  <c r="H260" i="9"/>
  <c r="H259" i="9"/>
  <c r="H258" i="9"/>
  <c r="H257" i="9"/>
  <c r="H256" i="9"/>
  <c r="H255" i="9"/>
  <c r="H254" i="9"/>
  <c r="H253" i="9"/>
  <c r="H252" i="9"/>
  <c r="H251" i="9"/>
  <c r="H250" i="9"/>
  <c r="H249" i="9"/>
  <c r="H248" i="9"/>
  <c r="H247" i="9"/>
  <c r="H246" i="9"/>
  <c r="H245" i="9"/>
  <c r="H244" i="9"/>
  <c r="H243" i="9"/>
  <c r="H242" i="9"/>
  <c r="H241" i="9"/>
  <c r="H240" i="9"/>
  <c r="H239" i="9"/>
  <c r="H238" i="9"/>
  <c r="H237" i="9"/>
  <c r="H236" i="9"/>
  <c r="H235" i="9"/>
  <c r="H234" i="9"/>
  <c r="H233" i="9"/>
  <c r="H232" i="9"/>
  <c r="H231" i="9"/>
  <c r="H230" i="9"/>
  <c r="H229" i="9"/>
  <c r="H228" i="9"/>
  <c r="H227" i="9"/>
  <c r="H226" i="9"/>
  <c r="H225" i="9"/>
  <c r="H224" i="9"/>
  <c r="H223" i="9"/>
  <c r="H222" i="9"/>
  <c r="H221" i="9"/>
  <c r="H220" i="9"/>
  <c r="H219" i="9"/>
  <c r="H218" i="9"/>
  <c r="H217" i="9"/>
  <c r="H216" i="9"/>
  <c r="H215" i="9"/>
  <c r="H214" i="9"/>
  <c r="H213" i="9"/>
  <c r="H212" i="9"/>
  <c r="H211" i="9"/>
  <c r="H210" i="9"/>
  <c r="H209" i="9"/>
  <c r="H208" i="9"/>
  <c r="H207" i="9"/>
  <c r="H206" i="9"/>
  <c r="H205" i="9"/>
  <c r="H204" i="9"/>
  <c r="H203" i="9"/>
  <c r="H202" i="9"/>
  <c r="H201" i="9"/>
  <c r="H200" i="9"/>
  <c r="H199" i="9"/>
  <c r="H198" i="9"/>
  <c r="H197" i="9"/>
  <c r="H196" i="9"/>
  <c r="H195" i="9"/>
  <c r="H194" i="9"/>
  <c r="H193" i="9"/>
  <c r="H192" i="9"/>
  <c r="H191" i="9"/>
  <c r="H190" i="9"/>
  <c r="H189" i="9"/>
  <c r="H188" i="9"/>
  <c r="H187" i="9"/>
  <c r="H186" i="9"/>
  <c r="H185" i="9"/>
  <c r="H184" i="9"/>
  <c r="H183" i="9"/>
  <c r="H182" i="9"/>
  <c r="H181" i="9"/>
  <c r="H180" i="9"/>
  <c r="H179" i="9"/>
  <c r="H178" i="9"/>
  <c r="H177" i="9"/>
  <c r="H176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H163" i="9"/>
  <c r="H162" i="9"/>
  <c r="H161" i="9"/>
  <c r="H160" i="9"/>
  <c r="H159" i="9"/>
  <c r="H158" i="9"/>
  <c r="H157" i="9"/>
  <c r="H156" i="9"/>
  <c r="H155" i="9"/>
  <c r="H154" i="9"/>
  <c r="H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I250" i="8"/>
  <c r="I249" i="8"/>
  <c r="I248" i="8"/>
  <c r="I247" i="8"/>
  <c r="I246" i="8"/>
  <c r="I245" i="8"/>
  <c r="I244" i="8"/>
  <c r="I243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I281" i="6"/>
  <c r="I280" i="6"/>
  <c r="I279" i="6"/>
  <c r="I278" i="6"/>
  <c r="I277" i="6"/>
  <c r="I276" i="6"/>
  <c r="I275" i="6"/>
  <c r="I274" i="6"/>
  <c r="I273" i="6"/>
  <c r="I272" i="6"/>
  <c r="I222" i="6"/>
  <c r="I221" i="6"/>
  <c r="I220" i="6"/>
  <c r="I219" i="6"/>
  <c r="I218" i="6"/>
  <c r="I217" i="6"/>
  <c r="I216" i="6"/>
  <c r="I215" i="6"/>
  <c r="I214" i="6"/>
  <c r="I213" i="6"/>
  <c r="I212" i="6"/>
  <c r="I211" i="6"/>
  <c r="I210" i="6"/>
  <c r="I209" i="6"/>
  <c r="I208" i="6"/>
  <c r="I207" i="6"/>
  <c r="I206" i="6"/>
  <c r="I205" i="6"/>
  <c r="I204" i="6"/>
  <c r="I203" i="6"/>
  <c r="I202" i="6"/>
  <c r="I201" i="6"/>
  <c r="I200" i="6"/>
  <c r="I199" i="6"/>
  <c r="I198" i="6"/>
  <c r="I197" i="6"/>
  <c r="I196" i="6"/>
  <c r="I195" i="6"/>
  <c r="I194" i="6"/>
  <c r="I193" i="6"/>
  <c r="I192" i="6"/>
  <c r="I191" i="6"/>
  <c r="I190" i="6"/>
  <c r="I189" i="6"/>
  <c r="I188" i="6"/>
  <c r="I187" i="6"/>
  <c r="I186" i="6"/>
  <c r="I185" i="6"/>
  <c r="I184" i="6"/>
  <c r="I183" i="6"/>
  <c r="I182" i="6"/>
  <c r="I181" i="6"/>
  <c r="I180" i="6"/>
  <c r="I179" i="6"/>
  <c r="I178" i="6"/>
  <c r="I177" i="6"/>
  <c r="I176" i="6"/>
  <c r="I175" i="6"/>
  <c r="I174" i="6"/>
  <c r="I173" i="6"/>
  <c r="I172" i="6"/>
  <c r="I171" i="6"/>
  <c r="I170" i="6"/>
  <c r="I169" i="6"/>
  <c r="I168" i="6"/>
  <c r="I167" i="6"/>
  <c r="I166" i="6"/>
  <c r="I165" i="6"/>
  <c r="I164" i="6"/>
  <c r="I163" i="6"/>
  <c r="I162" i="6"/>
  <c r="I161" i="6"/>
  <c r="I160" i="6"/>
  <c r="I159" i="6"/>
  <c r="I158" i="6"/>
  <c r="I157" i="6"/>
  <c r="I156" i="6"/>
  <c r="I155" i="6"/>
  <c r="I154" i="6"/>
  <c r="I153" i="6"/>
  <c r="I152" i="6"/>
  <c r="I151" i="6"/>
  <c r="I150" i="6"/>
  <c r="I149" i="6"/>
  <c r="I148" i="6"/>
  <c r="I147" i="6"/>
  <c r="I146" i="6"/>
  <c r="I145" i="6"/>
  <c r="I144" i="6"/>
  <c r="I143" i="6"/>
  <c r="I142" i="6"/>
  <c r="I141" i="6"/>
  <c r="I140" i="6"/>
  <c r="I139" i="6"/>
  <c r="I138" i="6"/>
  <c r="I137" i="6"/>
  <c r="I136" i="6"/>
  <c r="I135" i="6"/>
  <c r="I134" i="6"/>
  <c r="I133" i="6"/>
  <c r="I132" i="6"/>
  <c r="I131" i="6"/>
  <c r="I130" i="6"/>
  <c r="I129" i="6"/>
  <c r="I128" i="6"/>
  <c r="I127" i="6"/>
  <c r="I126" i="6"/>
  <c r="I125" i="6"/>
  <c r="I124" i="6"/>
  <c r="I123" i="6"/>
  <c r="I122" i="6"/>
  <c r="I121" i="6"/>
  <c r="I120" i="6"/>
  <c r="I119" i="6"/>
  <c r="I118" i="6"/>
  <c r="I117" i="6"/>
  <c r="I116" i="6"/>
  <c r="I115" i="6"/>
  <c r="I114" i="6"/>
  <c r="I113" i="6"/>
  <c r="I112" i="6"/>
  <c r="I111" i="6"/>
  <c r="I110" i="6"/>
  <c r="I109" i="6"/>
  <c r="I108" i="6"/>
  <c r="I107" i="6"/>
  <c r="I106" i="6"/>
  <c r="I105" i="6"/>
  <c r="I104" i="6"/>
  <c r="I103" i="6"/>
  <c r="I102" i="6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I2" i="6"/>
  <c r="F109" i="2"/>
  <c r="D109" i="2"/>
  <c r="C109" i="2"/>
  <c r="B109" i="2"/>
  <c r="A109" i="2"/>
  <c r="F108" i="2"/>
  <c r="D108" i="2"/>
  <c r="C108" i="2"/>
  <c r="B108" i="2"/>
  <c r="A108" i="2"/>
  <c r="F107" i="2"/>
  <c r="D107" i="2"/>
  <c r="C107" i="2"/>
  <c r="B107" i="2"/>
  <c r="A107" i="2"/>
  <c r="F106" i="2"/>
  <c r="D106" i="2"/>
  <c r="C106" i="2"/>
  <c r="B106" i="2"/>
  <c r="A106" i="2"/>
  <c r="F105" i="2"/>
  <c r="D105" i="2"/>
  <c r="C105" i="2"/>
  <c r="B105" i="2"/>
  <c r="A105" i="2"/>
  <c r="F104" i="2"/>
  <c r="D104" i="2"/>
  <c r="C104" i="2"/>
  <c r="B104" i="2"/>
  <c r="A104" i="2"/>
  <c r="F103" i="2"/>
  <c r="D103" i="2"/>
  <c r="C103" i="2"/>
  <c r="B103" i="2"/>
  <c r="A103" i="2"/>
  <c r="F102" i="2"/>
  <c r="D102" i="2"/>
  <c r="C102" i="2"/>
  <c r="B102" i="2"/>
  <c r="A102" i="2"/>
  <c r="F101" i="2"/>
  <c r="D101" i="2"/>
  <c r="C101" i="2"/>
  <c r="B101" i="2"/>
  <c r="A101" i="2"/>
  <c r="F100" i="2"/>
  <c r="D100" i="2"/>
  <c r="C100" i="2"/>
  <c r="B100" i="2"/>
  <c r="A100" i="2"/>
  <c r="F99" i="2"/>
  <c r="D99" i="2"/>
  <c r="C99" i="2"/>
  <c r="B99" i="2"/>
  <c r="A99" i="2"/>
  <c r="F98" i="2"/>
  <c r="D98" i="2"/>
  <c r="C98" i="2"/>
  <c r="B98" i="2"/>
  <c r="A98" i="2"/>
  <c r="F97" i="2"/>
  <c r="D97" i="2"/>
  <c r="C97" i="2"/>
  <c r="B97" i="2"/>
  <c r="A97" i="2"/>
  <c r="F96" i="2"/>
  <c r="D96" i="2"/>
  <c r="C96" i="2"/>
  <c r="B96" i="2"/>
  <c r="A96" i="2"/>
  <c r="F95" i="2"/>
  <c r="D95" i="2"/>
  <c r="C95" i="2"/>
  <c r="B95" i="2"/>
  <c r="A95" i="2"/>
  <c r="F94" i="2"/>
  <c r="D94" i="2"/>
  <c r="C94" i="2"/>
  <c r="B94" i="2"/>
  <c r="A94" i="2"/>
  <c r="F93" i="2"/>
  <c r="D93" i="2"/>
  <c r="C93" i="2"/>
  <c r="B93" i="2"/>
  <c r="A93" i="2"/>
  <c r="F92" i="2"/>
  <c r="D92" i="2"/>
  <c r="C92" i="2"/>
  <c r="B92" i="2"/>
  <c r="A92" i="2"/>
  <c r="F91" i="2"/>
  <c r="D91" i="2"/>
  <c r="C91" i="2"/>
  <c r="B91" i="2"/>
  <c r="A91" i="2"/>
  <c r="F90" i="2"/>
  <c r="D90" i="2"/>
  <c r="C90" i="2"/>
  <c r="B90" i="2"/>
  <c r="A90" i="2"/>
  <c r="F89" i="2"/>
  <c r="D89" i="2"/>
  <c r="C89" i="2"/>
  <c r="B89" i="2"/>
  <c r="A89" i="2"/>
  <c r="F88" i="2"/>
  <c r="D88" i="2"/>
  <c r="C88" i="2"/>
  <c r="B88" i="2"/>
  <c r="A88" i="2"/>
  <c r="F87" i="2"/>
  <c r="D87" i="2"/>
  <c r="C87" i="2"/>
  <c r="B87" i="2"/>
  <c r="A87" i="2"/>
  <c r="F86" i="2"/>
  <c r="D86" i="2"/>
  <c r="C86" i="2"/>
  <c r="B86" i="2"/>
  <c r="A86" i="2"/>
  <c r="F85" i="2"/>
  <c r="D85" i="2"/>
  <c r="C85" i="2"/>
  <c r="B85" i="2"/>
  <c r="A85" i="2"/>
  <c r="F84" i="2"/>
  <c r="D84" i="2"/>
  <c r="C84" i="2"/>
  <c r="B84" i="2"/>
  <c r="A84" i="2"/>
  <c r="F83" i="2"/>
  <c r="D83" i="2"/>
  <c r="C83" i="2"/>
  <c r="B83" i="2"/>
  <c r="A83" i="2"/>
  <c r="F82" i="2"/>
  <c r="D82" i="2"/>
  <c r="C82" i="2"/>
  <c r="B82" i="2"/>
  <c r="A82" i="2"/>
  <c r="F81" i="2"/>
  <c r="D81" i="2"/>
  <c r="C81" i="2"/>
  <c r="B81" i="2"/>
  <c r="A81" i="2"/>
  <c r="F80" i="2"/>
  <c r="D80" i="2"/>
  <c r="C80" i="2"/>
  <c r="B80" i="2"/>
  <c r="A80" i="2"/>
  <c r="F79" i="2"/>
  <c r="D79" i="2"/>
  <c r="C79" i="2"/>
  <c r="B79" i="2"/>
  <c r="A79" i="2"/>
  <c r="F78" i="2"/>
  <c r="D78" i="2"/>
  <c r="C78" i="2"/>
  <c r="B78" i="2"/>
  <c r="A78" i="2"/>
  <c r="F77" i="2"/>
  <c r="D77" i="2"/>
  <c r="C77" i="2"/>
  <c r="B77" i="2"/>
  <c r="A77" i="2"/>
  <c r="F76" i="2"/>
  <c r="D76" i="2"/>
  <c r="C76" i="2"/>
  <c r="B76" i="2"/>
  <c r="A76" i="2"/>
  <c r="F75" i="2"/>
  <c r="D75" i="2"/>
  <c r="C75" i="2"/>
  <c r="B75" i="2"/>
  <c r="A75" i="2"/>
  <c r="F74" i="2"/>
  <c r="D74" i="2"/>
  <c r="C74" i="2"/>
  <c r="B74" i="2"/>
  <c r="A74" i="2"/>
  <c r="F73" i="2"/>
  <c r="D73" i="2"/>
  <c r="C73" i="2"/>
  <c r="B73" i="2"/>
  <c r="A73" i="2"/>
  <c r="F72" i="2"/>
  <c r="D72" i="2"/>
  <c r="C72" i="2"/>
  <c r="B72" i="2"/>
  <c r="A72" i="2"/>
  <c r="F71" i="2"/>
  <c r="D71" i="2"/>
  <c r="C71" i="2"/>
  <c r="B71" i="2"/>
  <c r="A71" i="2"/>
  <c r="F70" i="2"/>
  <c r="D70" i="2"/>
  <c r="C70" i="2"/>
  <c r="B70" i="2"/>
  <c r="A70" i="2"/>
  <c r="F69" i="2"/>
  <c r="D69" i="2"/>
  <c r="C69" i="2"/>
  <c r="B69" i="2"/>
  <c r="A69" i="2"/>
  <c r="F68" i="2"/>
  <c r="D68" i="2"/>
  <c r="C68" i="2"/>
  <c r="B68" i="2"/>
  <c r="A68" i="2"/>
  <c r="F67" i="2"/>
  <c r="D67" i="2"/>
  <c r="C67" i="2"/>
  <c r="B67" i="2"/>
  <c r="A67" i="2"/>
  <c r="F66" i="2"/>
  <c r="D66" i="2"/>
  <c r="C66" i="2"/>
  <c r="B66" i="2"/>
  <c r="A66" i="2"/>
  <c r="F65" i="2"/>
  <c r="D65" i="2"/>
  <c r="C65" i="2"/>
  <c r="B65" i="2"/>
  <c r="A65" i="2"/>
  <c r="F64" i="2"/>
  <c r="D64" i="2"/>
  <c r="C64" i="2"/>
  <c r="B64" i="2"/>
  <c r="A64" i="2"/>
  <c r="F63" i="2"/>
  <c r="D63" i="2"/>
  <c r="C63" i="2"/>
  <c r="B63" i="2"/>
  <c r="A63" i="2"/>
  <c r="F62" i="2"/>
  <c r="D62" i="2"/>
  <c r="C62" i="2"/>
  <c r="B62" i="2"/>
  <c r="A62" i="2"/>
  <c r="F61" i="2"/>
  <c r="D61" i="2"/>
  <c r="C61" i="2"/>
  <c r="B61" i="2"/>
  <c r="A61" i="2"/>
  <c r="F60" i="2"/>
  <c r="D60" i="2"/>
  <c r="C60" i="2"/>
  <c r="B60" i="2"/>
  <c r="A60" i="2"/>
  <c r="F59" i="2"/>
  <c r="D59" i="2"/>
  <c r="C59" i="2"/>
  <c r="B59" i="2"/>
  <c r="A59" i="2"/>
  <c r="F58" i="2"/>
  <c r="D58" i="2"/>
  <c r="C58" i="2"/>
  <c r="B58" i="2"/>
  <c r="A58" i="2"/>
  <c r="F57" i="2"/>
  <c r="D57" i="2"/>
  <c r="C57" i="2"/>
  <c r="B57" i="2"/>
  <c r="A57" i="2"/>
  <c r="F56" i="2"/>
  <c r="D56" i="2"/>
  <c r="C56" i="2"/>
  <c r="B56" i="2"/>
  <c r="A56" i="2"/>
  <c r="F55" i="2"/>
  <c r="D55" i="2"/>
  <c r="C55" i="2"/>
  <c r="B55" i="2"/>
  <c r="A55" i="2"/>
  <c r="F54" i="2"/>
  <c r="D54" i="2"/>
  <c r="C54" i="2"/>
  <c r="B54" i="2"/>
  <c r="A54" i="2"/>
  <c r="F53" i="2"/>
  <c r="D53" i="2"/>
  <c r="C53" i="2"/>
  <c r="B53" i="2"/>
  <c r="A53" i="2"/>
  <c r="F52" i="2"/>
  <c r="D52" i="2"/>
  <c r="C52" i="2"/>
  <c r="B52" i="2"/>
  <c r="A52" i="2"/>
  <c r="F51" i="2"/>
  <c r="D51" i="2"/>
  <c r="C51" i="2"/>
  <c r="B51" i="2"/>
  <c r="A51" i="2"/>
  <c r="F50" i="2"/>
  <c r="D50" i="2"/>
  <c r="C50" i="2"/>
  <c r="B50" i="2"/>
  <c r="A50" i="2"/>
  <c r="F49" i="2"/>
  <c r="D49" i="2"/>
  <c r="C49" i="2"/>
  <c r="B49" i="2"/>
  <c r="A49" i="2"/>
  <c r="F48" i="2"/>
  <c r="D48" i="2"/>
  <c r="C48" i="2"/>
  <c r="B48" i="2"/>
  <c r="A48" i="2"/>
  <c r="F47" i="2"/>
  <c r="D47" i="2"/>
  <c r="C47" i="2"/>
  <c r="B47" i="2"/>
  <c r="A47" i="2"/>
  <c r="F46" i="2"/>
  <c r="D46" i="2"/>
  <c r="C46" i="2"/>
  <c r="B46" i="2"/>
  <c r="A46" i="2"/>
  <c r="F45" i="2"/>
  <c r="D45" i="2"/>
  <c r="C45" i="2"/>
  <c r="B45" i="2"/>
  <c r="A45" i="2"/>
  <c r="F44" i="2"/>
  <c r="D44" i="2"/>
  <c r="C44" i="2"/>
  <c r="B44" i="2"/>
  <c r="A44" i="2"/>
  <c r="F43" i="2"/>
  <c r="D43" i="2"/>
  <c r="C43" i="2"/>
  <c r="B43" i="2"/>
  <c r="A43" i="2"/>
  <c r="F42" i="2"/>
  <c r="D42" i="2"/>
  <c r="C42" i="2"/>
  <c r="B42" i="2"/>
  <c r="A42" i="2"/>
  <c r="F41" i="2"/>
  <c r="D41" i="2"/>
  <c r="C41" i="2"/>
  <c r="B41" i="2"/>
  <c r="A41" i="2"/>
  <c r="F40" i="2"/>
  <c r="D40" i="2"/>
  <c r="C40" i="2"/>
  <c r="B40" i="2"/>
  <c r="A40" i="2"/>
  <c r="F39" i="2"/>
  <c r="D39" i="2"/>
  <c r="C39" i="2"/>
  <c r="B39" i="2"/>
  <c r="A39" i="2"/>
  <c r="F38" i="2"/>
  <c r="D38" i="2"/>
  <c r="C38" i="2"/>
  <c r="B38" i="2"/>
  <c r="A38" i="2"/>
  <c r="F37" i="2"/>
  <c r="D37" i="2"/>
  <c r="C37" i="2"/>
  <c r="B37" i="2"/>
  <c r="A37" i="2"/>
  <c r="F36" i="2"/>
  <c r="D36" i="2"/>
  <c r="C36" i="2"/>
  <c r="B36" i="2"/>
  <c r="A36" i="2"/>
  <c r="F35" i="2"/>
  <c r="D35" i="2"/>
  <c r="C35" i="2"/>
  <c r="B35" i="2"/>
  <c r="A35" i="2"/>
  <c r="F34" i="2"/>
  <c r="D34" i="2"/>
  <c r="C34" i="2"/>
  <c r="B34" i="2"/>
  <c r="A34" i="2"/>
  <c r="F33" i="2"/>
  <c r="D33" i="2"/>
  <c r="C33" i="2"/>
  <c r="B33" i="2"/>
  <c r="A33" i="2"/>
  <c r="F32" i="2"/>
  <c r="D32" i="2"/>
  <c r="C32" i="2"/>
  <c r="B32" i="2"/>
  <c r="A32" i="2"/>
  <c r="F31" i="2"/>
  <c r="D31" i="2"/>
  <c r="C31" i="2"/>
  <c r="B31" i="2"/>
  <c r="A31" i="2"/>
  <c r="F30" i="2"/>
  <c r="D30" i="2"/>
  <c r="C30" i="2"/>
  <c r="B30" i="2"/>
  <c r="A30" i="2"/>
  <c r="F29" i="2"/>
  <c r="D29" i="2"/>
  <c r="C29" i="2"/>
  <c r="B29" i="2"/>
  <c r="A29" i="2"/>
  <c r="F28" i="2"/>
  <c r="D28" i="2"/>
  <c r="C28" i="2"/>
  <c r="B28" i="2"/>
  <c r="A28" i="2"/>
  <c r="F27" i="2"/>
  <c r="D27" i="2"/>
  <c r="C27" i="2"/>
  <c r="B27" i="2"/>
  <c r="A27" i="2"/>
  <c r="F26" i="2"/>
  <c r="D26" i="2"/>
  <c r="C26" i="2"/>
  <c r="B26" i="2"/>
  <c r="A26" i="2"/>
  <c r="F25" i="2"/>
  <c r="D25" i="2"/>
  <c r="C25" i="2"/>
  <c r="B25" i="2"/>
  <c r="A25" i="2"/>
  <c r="F24" i="2"/>
  <c r="D24" i="2"/>
  <c r="C24" i="2"/>
  <c r="B24" i="2"/>
  <c r="A24" i="2"/>
  <c r="F23" i="2"/>
  <c r="D23" i="2"/>
  <c r="C23" i="2"/>
  <c r="B23" i="2"/>
  <c r="A23" i="2"/>
  <c r="F22" i="2"/>
  <c r="D22" i="2"/>
  <c r="C22" i="2"/>
  <c r="B22" i="2"/>
  <c r="A22" i="2"/>
  <c r="F21" i="2"/>
  <c r="D21" i="2"/>
  <c r="C21" i="2"/>
  <c r="B21" i="2"/>
  <c r="A21" i="2"/>
  <c r="F20" i="2"/>
  <c r="D20" i="2"/>
  <c r="C20" i="2"/>
  <c r="B20" i="2"/>
  <c r="A20" i="2"/>
  <c r="F19" i="2"/>
  <c r="D19" i="2"/>
  <c r="C19" i="2"/>
  <c r="B19" i="2"/>
  <c r="A19" i="2"/>
  <c r="F18" i="2"/>
  <c r="D18" i="2"/>
  <c r="C18" i="2"/>
  <c r="B18" i="2"/>
  <c r="A18" i="2"/>
  <c r="F17" i="2"/>
  <c r="D17" i="2"/>
  <c r="C17" i="2"/>
  <c r="B17" i="2"/>
  <c r="A17" i="2"/>
  <c r="F16" i="2"/>
  <c r="D16" i="2"/>
  <c r="C16" i="2"/>
  <c r="B16" i="2"/>
  <c r="A16" i="2"/>
  <c r="F15" i="2"/>
  <c r="D15" i="2"/>
  <c r="C15" i="2"/>
  <c r="B15" i="2"/>
  <c r="A15" i="2"/>
  <c r="F14" i="2"/>
  <c r="D14" i="2"/>
  <c r="C14" i="2"/>
  <c r="B14" i="2"/>
  <c r="A14" i="2"/>
  <c r="F13" i="2"/>
  <c r="D13" i="2"/>
  <c r="C13" i="2"/>
  <c r="B13" i="2"/>
  <c r="A13" i="2"/>
  <c r="F12" i="2"/>
  <c r="D12" i="2"/>
  <c r="C12" i="2"/>
  <c r="B12" i="2"/>
  <c r="A12" i="2"/>
  <c r="F11" i="2"/>
  <c r="D11" i="2"/>
  <c r="C11" i="2"/>
  <c r="B11" i="2"/>
  <c r="A11" i="2"/>
  <c r="F10" i="2"/>
  <c r="D10" i="2"/>
  <c r="C10" i="2"/>
  <c r="B10" i="2"/>
  <c r="A10" i="2"/>
  <c r="F9" i="2"/>
  <c r="D9" i="2"/>
  <c r="C9" i="2"/>
  <c r="B9" i="2"/>
  <c r="A9" i="2"/>
  <c r="F8" i="2"/>
  <c r="D8" i="2"/>
  <c r="C8" i="2"/>
  <c r="B8" i="2"/>
  <c r="A8" i="2"/>
  <c r="F7" i="2"/>
  <c r="D7" i="2"/>
  <c r="C7" i="2"/>
  <c r="B7" i="2"/>
  <c r="A7" i="2"/>
  <c r="F6" i="2"/>
  <c r="D6" i="2"/>
  <c r="C6" i="2"/>
  <c r="B6" i="2"/>
  <c r="A6" i="2"/>
  <c r="F5" i="2"/>
  <c r="D5" i="2"/>
  <c r="C5" i="2"/>
  <c r="B5" i="2"/>
  <c r="A5" i="2"/>
  <c r="F4" i="2"/>
  <c r="D4" i="2"/>
  <c r="C4" i="2"/>
  <c r="B4" i="2"/>
  <c r="A4" i="2"/>
  <c r="F3" i="2"/>
  <c r="D3" i="2"/>
  <c r="C3" i="2"/>
  <c r="B3" i="2"/>
  <c r="A3" i="2"/>
  <c r="F2" i="2"/>
  <c r="D2" i="2"/>
  <c r="C2" i="2"/>
  <c r="B2" i="2"/>
  <c r="A2" i="2"/>
  <c r="F1" i="2"/>
  <c r="E1" i="2"/>
  <c r="D1" i="2"/>
  <c r="C1" i="2"/>
  <c r="B1" i="2"/>
  <c r="A1" i="2"/>
</calcChain>
</file>

<file path=xl/sharedStrings.xml><?xml version="1.0" encoding="utf-8"?>
<sst xmlns="http://schemas.openxmlformats.org/spreadsheetml/2006/main" count="16579" uniqueCount="2345">
  <si>
    <t>Wedstrijdnr</t>
  </si>
  <si>
    <t>Klasse</t>
  </si>
  <si>
    <t>Dag</t>
  </si>
  <si>
    <t>Datum</t>
  </si>
  <si>
    <t>Thuis</t>
  </si>
  <si>
    <t>Uit</t>
  </si>
  <si>
    <t>Wedstrijd</t>
  </si>
  <si>
    <t>Tijd</t>
  </si>
  <si>
    <t>Locatie</t>
  </si>
  <si>
    <t>Veld</t>
  </si>
  <si>
    <t>Zaalwacht</t>
  </si>
  <si>
    <t>Scheidsrechter</t>
  </si>
  <si>
    <t>D-jeugd BK nj</t>
  </si>
  <si>
    <t>PKC/Vertom D2</t>
  </si>
  <si>
    <t>-</t>
  </si>
  <si>
    <t>Albatros D3</t>
  </si>
  <si>
    <t>Sportpark Oostpolder</t>
  </si>
  <si>
    <t>4K40</t>
  </si>
  <si>
    <t>E-jeugd nj</t>
  </si>
  <si>
    <t>HKC (Ha) E1</t>
  </si>
  <si>
    <t>Albatros E2</t>
  </si>
  <si>
    <t>Sportveld Boven Hardinxveld</t>
  </si>
  <si>
    <t>2aK60 A</t>
  </si>
  <si>
    <t>F-jeugd nj</t>
  </si>
  <si>
    <t>KCR F2</t>
  </si>
  <si>
    <t>Albatros F3</t>
  </si>
  <si>
    <t>Reyerpark KCR</t>
  </si>
  <si>
    <t>6K24 A</t>
  </si>
  <si>
    <t>Albatros D2</t>
  </si>
  <si>
    <t>DeetosSnel D1</t>
  </si>
  <si>
    <t>Sportpark Develstein</t>
  </si>
  <si>
    <t>1K40</t>
  </si>
  <si>
    <t>Albatros D4</t>
  </si>
  <si>
    <t>Oranje Wit (D) D3</t>
  </si>
  <si>
    <t>6aK40</t>
  </si>
  <si>
    <t>ACKC E2</t>
  </si>
  <si>
    <t>Albatros E4</t>
  </si>
  <si>
    <t>Sportcomplex De Alm</t>
  </si>
  <si>
    <t>1bK24 A</t>
  </si>
  <si>
    <t>Oranje Wit (D) E2</t>
  </si>
  <si>
    <t>Albatros E3</t>
  </si>
  <si>
    <t>Sportcomplex Stadspolders</t>
  </si>
  <si>
    <t>1b2K24 A</t>
  </si>
  <si>
    <t>Albatros F2</t>
  </si>
  <si>
    <t>Springfield F1</t>
  </si>
  <si>
    <t>4K24 A</t>
  </si>
  <si>
    <t>B-jeugd BK nj</t>
  </si>
  <si>
    <t>Albatros B3</t>
  </si>
  <si>
    <t>Sporting Delta B3</t>
  </si>
  <si>
    <t>C-jeugd hoofdklasse</t>
  </si>
  <si>
    <t>Albatros C1</t>
  </si>
  <si>
    <t>Die Haghe C1</t>
  </si>
  <si>
    <t>GKV/Enomics F1</t>
  </si>
  <si>
    <t>Albatros F1</t>
  </si>
  <si>
    <t>Molenvliet</t>
  </si>
  <si>
    <t>C-jeugd 2e klasse</t>
  </si>
  <si>
    <t>ONDO (M) C1</t>
  </si>
  <si>
    <t>Albatros C2</t>
  </si>
  <si>
    <t>Sportpark De Brigge</t>
  </si>
  <si>
    <t>2aK40</t>
  </si>
  <si>
    <t>B-jeugd 2e klasse</t>
  </si>
  <si>
    <t>KOAG B1</t>
  </si>
  <si>
    <t>Albatros B2</t>
  </si>
  <si>
    <t>Groene Wetering</t>
  </si>
  <si>
    <t>Albatros E1</t>
  </si>
  <si>
    <t>GKV/Enomics E1</t>
  </si>
  <si>
    <t>2K24 A</t>
  </si>
  <si>
    <t>Albatros E5</t>
  </si>
  <si>
    <t>ADO E1</t>
  </si>
  <si>
    <t>C-jeugd BK nj</t>
  </si>
  <si>
    <t>Movado C1</t>
  </si>
  <si>
    <t>Albatros C3</t>
  </si>
  <si>
    <t>Sportcomplex Patersweg</t>
  </si>
  <si>
    <t>t Capproen C1</t>
  </si>
  <si>
    <t>Albatros C4</t>
  </si>
  <si>
    <t>Sportterrein M.L.Kinglaan</t>
  </si>
  <si>
    <t>2G</t>
  </si>
  <si>
    <t>Reserve 3e klasse</t>
  </si>
  <si>
    <t>RWA 4</t>
  </si>
  <si>
    <t>Albatros 5</t>
  </si>
  <si>
    <t>Sportcomplex Landweg</t>
  </si>
  <si>
    <t>A-jeugd 1e klasse</t>
  </si>
  <si>
    <t>Albatros A2</t>
  </si>
  <si>
    <t>TOP (A) A1</t>
  </si>
  <si>
    <t>B-jeugd hoofdklasse</t>
  </si>
  <si>
    <t>Albatros B1</t>
  </si>
  <si>
    <t>Vriendenschaar (H) B1</t>
  </si>
  <si>
    <t>Vriendenschaar (H) 3</t>
  </si>
  <si>
    <t>Albatros 4</t>
  </si>
  <si>
    <t>Sportcomplex Sluisweg</t>
  </si>
  <si>
    <t>A-jeugd hoofdklasse</t>
  </si>
  <si>
    <t>Albatros A1</t>
  </si>
  <si>
    <t>Nieuwerkerk A1</t>
  </si>
  <si>
    <t>A-jeugd BK nj</t>
  </si>
  <si>
    <t>PKC/Vertom A5</t>
  </si>
  <si>
    <t>Albatros A4</t>
  </si>
  <si>
    <t>2K40</t>
  </si>
  <si>
    <t>D-jeugd hoofdklasse</t>
  </si>
  <si>
    <t>Refleks D1</t>
  </si>
  <si>
    <t>Albatros D1</t>
  </si>
  <si>
    <t>Sportpark Prinses Irene</t>
  </si>
  <si>
    <t>2bK40</t>
  </si>
  <si>
    <t>Albatros A3</t>
  </si>
  <si>
    <t>SKV A1</t>
  </si>
  <si>
    <t>Senioren BK nj</t>
  </si>
  <si>
    <t>Albatros 7</t>
  </si>
  <si>
    <t>DeetosSnel 6</t>
  </si>
  <si>
    <t>3K40</t>
  </si>
  <si>
    <t>Reserve 1e klasse</t>
  </si>
  <si>
    <t>Albatros 2</t>
  </si>
  <si>
    <t>Kinderdijk 2</t>
  </si>
  <si>
    <t>Triade 3</t>
  </si>
  <si>
    <t>Albatros 8</t>
  </si>
  <si>
    <t>Sportveld Waterlinie</t>
  </si>
  <si>
    <t>1bK40</t>
  </si>
  <si>
    <t>Albatros 6</t>
  </si>
  <si>
    <t>PKC/Vertom 7</t>
  </si>
  <si>
    <t>1e klasse</t>
  </si>
  <si>
    <t>Albatros 1</t>
  </si>
  <si>
    <t>Kinderdijk 1</t>
  </si>
  <si>
    <t>Albatros 9</t>
  </si>
  <si>
    <t>Merwede/Multiplaat 6</t>
  </si>
  <si>
    <t>Reserve 2e klasse</t>
  </si>
  <si>
    <t>Albatros 3</t>
  </si>
  <si>
    <t>VEO 4</t>
  </si>
  <si>
    <t>Midweek veld nj</t>
  </si>
  <si>
    <t>HKC (Ha) MW1</t>
  </si>
  <si>
    <t>Albatros/Conventus MW1</t>
  </si>
  <si>
    <t>DeetosSnel F2</t>
  </si>
  <si>
    <t>Sportterrein Vorrinklaan</t>
  </si>
  <si>
    <t>Oranje Wit (D) D1</t>
  </si>
  <si>
    <t>ACKC D1</t>
  </si>
  <si>
    <t>PKC/Vertom E2</t>
  </si>
  <si>
    <t>Nieuwerkerk C1</t>
  </si>
  <si>
    <t>De Kleine Vink Veld</t>
  </si>
  <si>
    <t>Merwede/Multiplaat F1</t>
  </si>
  <si>
    <t>KCR B2</t>
  </si>
  <si>
    <t>Oranje Wit (D) B3</t>
  </si>
  <si>
    <t>KCC/CK Kozijnen C2</t>
  </si>
  <si>
    <t>DVS '69 E1</t>
  </si>
  <si>
    <t>Sporting Delta 7</t>
  </si>
  <si>
    <t>Sportcomplex Gravensingel</t>
  </si>
  <si>
    <t>TOP (A) B1</t>
  </si>
  <si>
    <t>Sportcomplex Van Cittersweg</t>
  </si>
  <si>
    <t>DeetosSnel D2</t>
  </si>
  <si>
    <t>PKC/Vertom E1</t>
  </si>
  <si>
    <t>7K24 A</t>
  </si>
  <si>
    <t>GKV/Enomics F2</t>
  </si>
  <si>
    <t>DeetosSnel C2</t>
  </si>
  <si>
    <t>Movado E1</t>
  </si>
  <si>
    <t>G-korfbal toernooi nj</t>
  </si>
  <si>
    <t>IJsselvogels G1</t>
  </si>
  <si>
    <t>Albatros G1</t>
  </si>
  <si>
    <t>Sportcomplex Zegersloot</t>
  </si>
  <si>
    <t>Fortis C1</t>
  </si>
  <si>
    <t>PKC/Vertom A1</t>
  </si>
  <si>
    <t>OJC '98 D1</t>
  </si>
  <si>
    <t>De Rauwbraken</t>
  </si>
  <si>
    <t>ACKC A2</t>
  </si>
  <si>
    <t>Scheldevogels E1</t>
  </si>
  <si>
    <t>Sportpark De Staakberg</t>
  </si>
  <si>
    <t>Fortuna/Delta Logistiek 4</t>
  </si>
  <si>
    <t>Sportpark Kruithuisweg-Oost</t>
  </si>
  <si>
    <t>Tjoba A1</t>
  </si>
  <si>
    <t>Sportpark</t>
  </si>
  <si>
    <t>1aK40</t>
  </si>
  <si>
    <t>KCR G1</t>
  </si>
  <si>
    <t>PKC/Vertom 8</t>
  </si>
  <si>
    <t>GKV/Enomics 4</t>
  </si>
  <si>
    <t>ADO 5</t>
  </si>
  <si>
    <t>Sportcomplex Trekdam</t>
  </si>
  <si>
    <t>KOAG A2</t>
  </si>
  <si>
    <t>Vitesse (Ba) 3</t>
  </si>
  <si>
    <t>Vitesse (Ba) 2</t>
  </si>
  <si>
    <t>Sportpark De Bongerd</t>
  </si>
  <si>
    <t>Vitesse (Ba) 4</t>
  </si>
  <si>
    <t>Vitesse (Ba) 1</t>
  </si>
  <si>
    <t>Vriendenschaar (H) MW3</t>
  </si>
  <si>
    <t>Nieuwerkerk D1</t>
  </si>
  <si>
    <t>Merwede/Multiplaat D1</t>
  </si>
  <si>
    <t>Sportpark Thorbeckelaan</t>
  </si>
  <si>
    <t>HKC (Ha) F2</t>
  </si>
  <si>
    <t>RWA C3</t>
  </si>
  <si>
    <t>KCR D2</t>
  </si>
  <si>
    <t>Kinderdijk E1</t>
  </si>
  <si>
    <t>DeetosSnel B1</t>
  </si>
  <si>
    <t>PKC/Vertom F1</t>
  </si>
  <si>
    <t>DSO (K) F3</t>
  </si>
  <si>
    <t>Sportpark Molenvliet</t>
  </si>
  <si>
    <t>2bK24 A</t>
  </si>
  <si>
    <t>Swift (M) C1</t>
  </si>
  <si>
    <t>GKV/Enomics C2</t>
  </si>
  <si>
    <t>Korbatjo D1</t>
  </si>
  <si>
    <t>GKV/Enomics E2</t>
  </si>
  <si>
    <t>DSO (K) E3</t>
  </si>
  <si>
    <t>Nieuwerkerk B2</t>
  </si>
  <si>
    <t>Vriendenschaar (H) E1</t>
  </si>
  <si>
    <t>23aK24 A</t>
  </si>
  <si>
    <t>HKC (Ha) E5</t>
  </si>
  <si>
    <t>Fortis A1</t>
  </si>
  <si>
    <t>Merwede/Multiplaat B2</t>
  </si>
  <si>
    <t>Valto C1</t>
  </si>
  <si>
    <t>Trekvogels 2</t>
  </si>
  <si>
    <t>Ingang De Waghemakerestraat</t>
  </si>
  <si>
    <t>Korbatjo 3</t>
  </si>
  <si>
    <t>Sportveld H.Parkhurstweg</t>
  </si>
  <si>
    <t>1G</t>
  </si>
  <si>
    <t>Triade A1</t>
  </si>
  <si>
    <t>KCC/CK Kozijnen A1</t>
  </si>
  <si>
    <t>DeetosSnel 10</t>
  </si>
  <si>
    <t>KCR 3</t>
  </si>
  <si>
    <t>Oranje Wit (D) 5</t>
  </si>
  <si>
    <t>KCC/CK Kozijnen 6</t>
  </si>
  <si>
    <t>Sportpark Schenkel</t>
  </si>
  <si>
    <t>Merwede/Multiplaat 5</t>
  </si>
  <si>
    <t>Oranje Wit (D) A3</t>
  </si>
  <si>
    <t>Tilburg 1</t>
  </si>
  <si>
    <t>KCR 5</t>
  </si>
  <si>
    <t>B-jeugd beker ZWT</t>
  </si>
  <si>
    <t>Vitesse (Ba) B1</t>
  </si>
  <si>
    <t>A-jeugd beker ZWT</t>
  </si>
  <si>
    <t>GKV/Enomics MW1</t>
  </si>
  <si>
    <t>1K40 A</t>
  </si>
  <si>
    <t>Achter sporthal Parrestee</t>
  </si>
  <si>
    <t>2G A</t>
  </si>
  <si>
    <t>Nieuwerkerk B1</t>
  </si>
  <si>
    <t>Fortuna/Delta Logistiek C1</t>
  </si>
  <si>
    <t>HKC (Ha) A1</t>
  </si>
  <si>
    <t>ADO 3</t>
  </si>
  <si>
    <t>ONDO (G) A1</t>
  </si>
  <si>
    <t>Sportcomplex De Roef</t>
  </si>
  <si>
    <t>Vriendenschaar (H) 2</t>
  </si>
  <si>
    <t>DeetosSnel 4</t>
  </si>
  <si>
    <t>Vriendenschaar (H) 1</t>
  </si>
  <si>
    <t>ONDO (G) 2</t>
  </si>
  <si>
    <t>Sportpark Schildman</t>
  </si>
  <si>
    <t>3bK24 A</t>
  </si>
  <si>
    <t>3K24 A</t>
  </si>
  <si>
    <t>5K24 A</t>
  </si>
  <si>
    <t>Vitesse (Ba) C1</t>
  </si>
  <si>
    <t>Sportcomplex Diezestraat</t>
  </si>
  <si>
    <t>PKC/Vertom B1</t>
  </si>
  <si>
    <t>Tempo G2</t>
  </si>
  <si>
    <t>Die Haghe A1</t>
  </si>
  <si>
    <t>Baambruggestraat 10</t>
  </si>
  <si>
    <t>Sporting Delta A2</t>
  </si>
  <si>
    <t>3aK40</t>
  </si>
  <si>
    <t>GKV/Enomics G1</t>
  </si>
  <si>
    <t>Excelsior 4</t>
  </si>
  <si>
    <t>Biesland (Excelsior)</t>
  </si>
  <si>
    <t>Tjoba 2</t>
  </si>
  <si>
    <t>Nieuwerkerk 4</t>
  </si>
  <si>
    <t>Tjoba 1</t>
  </si>
  <si>
    <t>Sportpark Molenzicht</t>
  </si>
  <si>
    <t>3aK40 A</t>
  </si>
  <si>
    <t>Merwede/Multiplaat A1</t>
  </si>
  <si>
    <t>ONDO (G) C1</t>
  </si>
  <si>
    <t>Juliana Sportpark</t>
  </si>
  <si>
    <t>KCR B1</t>
  </si>
  <si>
    <t>Movado 3</t>
  </si>
  <si>
    <t>Fortuna/Delta Logistiek A1</t>
  </si>
  <si>
    <t>Sportpark De Sprong</t>
  </si>
  <si>
    <t>Merwede/Multiplaat 2</t>
  </si>
  <si>
    <t>Movado 2</t>
  </si>
  <si>
    <t>Merwede/Multiplaat 1</t>
  </si>
  <si>
    <t>Sporting Delta 3</t>
  </si>
  <si>
    <t>KCR C1</t>
  </si>
  <si>
    <t>Kinderdijk B1</t>
  </si>
  <si>
    <t>PKC/Vertom A3</t>
  </si>
  <si>
    <t>Twist 4</t>
  </si>
  <si>
    <t>PKC/Vertom 4</t>
  </si>
  <si>
    <t>Rust Roest 2</t>
  </si>
  <si>
    <t>Sportpark Strijp</t>
  </si>
  <si>
    <t>Kinderdijk 3</t>
  </si>
  <si>
    <t>TOP/IAA fresh A1</t>
  </si>
  <si>
    <t>Sportcomplex TOP Sassenheim</t>
  </si>
  <si>
    <t>1K40 - Hoofdveld</t>
  </si>
  <si>
    <t>Rust Roest 1</t>
  </si>
  <si>
    <t>Sportcomplex Westvliet</t>
  </si>
  <si>
    <t>Wedstr</t>
  </si>
  <si>
    <t>Streepje</t>
  </si>
  <si>
    <t>Starttijd</t>
  </si>
  <si>
    <t>Accommodatie</t>
  </si>
  <si>
    <t>R2P</t>
  </si>
  <si>
    <t>za</t>
  </si>
  <si>
    <t>Rapid 2</t>
  </si>
  <si>
    <t>Albatros 2 - Rapid 2</t>
  </si>
  <si>
    <t>Develsteinhal</t>
  </si>
  <si>
    <t>Senioren 8</t>
  </si>
  <si>
    <t>KNKV</t>
  </si>
  <si>
    <t>R2N</t>
  </si>
  <si>
    <t>Rust Roest 3</t>
  </si>
  <si>
    <t>Albatros 3 - Rust Roest 3</t>
  </si>
  <si>
    <t>PKC/SWKGroep 5</t>
  </si>
  <si>
    <t>PKC/SWKGroep 5 - Albatros 3</t>
  </si>
  <si>
    <t>PKC-hal</t>
  </si>
  <si>
    <t>Fortis 2</t>
  </si>
  <si>
    <t>Albatros 2 - Fortis 2</t>
  </si>
  <si>
    <t>Senioren 6</t>
  </si>
  <si>
    <t>Roda 2</t>
  </si>
  <si>
    <t>Albatros 2 - Roda 2</t>
  </si>
  <si>
    <t>Senioren 3</t>
  </si>
  <si>
    <t>R3U</t>
  </si>
  <si>
    <t>Futura 2</t>
  </si>
  <si>
    <t>Albatros 4 - Futura 2</t>
  </si>
  <si>
    <t>Develhal</t>
  </si>
  <si>
    <t>Senioren 10</t>
  </si>
  <si>
    <t>Merwede 3</t>
  </si>
  <si>
    <t>Albatros 3 - Merwede 3</t>
  </si>
  <si>
    <t>KCR 3 - Albatros 3</t>
  </si>
  <si>
    <t>De Fakkel</t>
  </si>
  <si>
    <t>NIO 2</t>
  </si>
  <si>
    <t>NIO 2 - Albatros 4</t>
  </si>
  <si>
    <t>Wilgenring</t>
  </si>
  <si>
    <t>1D</t>
  </si>
  <si>
    <t>Rapid 1</t>
  </si>
  <si>
    <t>Rapid 1 - Albatros 1</t>
  </si>
  <si>
    <t>Kennemer Sportcentrum Haarlem</t>
  </si>
  <si>
    <t>Merwede 1</t>
  </si>
  <si>
    <t>Merwede 1 - Albatros 1</t>
  </si>
  <si>
    <t>De Stoep</t>
  </si>
  <si>
    <t>HKC (Ha) 1</t>
  </si>
  <si>
    <t>Albatros 1 - HKC (Ha) 1</t>
  </si>
  <si>
    <t>Fortis 1</t>
  </si>
  <si>
    <t>Fortis 1 - Albatros 1</t>
  </si>
  <si>
    <t>Baskensburg</t>
  </si>
  <si>
    <t>Weidevogels 1</t>
  </si>
  <si>
    <t>Albatros 1 - Weidevogels 1</t>
  </si>
  <si>
    <t>Senioren 7</t>
  </si>
  <si>
    <t>ONDO (M) 1</t>
  </si>
  <si>
    <t>ONDO (M) 1 - Albatros 1</t>
  </si>
  <si>
    <t>De Sprong</t>
  </si>
  <si>
    <t>Albatros 1 - Merwede 1</t>
  </si>
  <si>
    <t>HKC (Ha) 1 - Albatros 1</t>
  </si>
  <si>
    <t>Het Dok</t>
  </si>
  <si>
    <t>Weidevogels 1 - Albatros 1</t>
  </si>
  <si>
    <t>SRC Rottemeren</t>
  </si>
  <si>
    <t>Albatros 1 - ONDO (M) 1</t>
  </si>
  <si>
    <t>Senioren 5</t>
  </si>
  <si>
    <t>Roda 1</t>
  </si>
  <si>
    <t>Roda 1 - Albatros 1</t>
  </si>
  <si>
    <t>"Topsportcentrum De Koog, Koog ad Z"</t>
  </si>
  <si>
    <t>Albatros 1 - Rapid 1</t>
  </si>
  <si>
    <t>Albatros 1 - Fortis 1</t>
  </si>
  <si>
    <t>Albatros 1 - Roda 1</t>
  </si>
  <si>
    <t>F3D</t>
  </si>
  <si>
    <t>Albatros F4</t>
  </si>
  <si>
    <t>Vriendenschaar (B) F1</t>
  </si>
  <si>
    <t>Albatros F4 - Vriendenschaar (B) F1</t>
  </si>
  <si>
    <t>F4</t>
  </si>
  <si>
    <t>Sander van Duivenvoorde</t>
  </si>
  <si>
    <t>Vriendenschaar (B) F1 - Albatros F4</t>
  </si>
  <si>
    <t>Sporthoeve</t>
  </si>
  <si>
    <t>G-3</t>
  </si>
  <si>
    <t>Korbatjo G1</t>
  </si>
  <si>
    <t>Korbatjo G1 - Albatros G1</t>
  </si>
  <si>
    <t>Sportgebouw Campus</t>
  </si>
  <si>
    <t>Albatros G1 - Korbatjo G1</t>
  </si>
  <si>
    <t>De Boogerd</t>
  </si>
  <si>
    <t>Nikantes G1</t>
  </si>
  <si>
    <t>Albatros G1 - Nikantes G1</t>
  </si>
  <si>
    <t>Dijkvogels G2</t>
  </si>
  <si>
    <t>Albatros G1 - Dijkvogels G2</t>
  </si>
  <si>
    <t>Sporthal Maasdijk</t>
  </si>
  <si>
    <t>Tempo G2 - Albatros G1</t>
  </si>
  <si>
    <t>Albatros G1 - Tempo G2</t>
  </si>
  <si>
    <t>"Limeshallen, Alphen ad Rijn"</t>
  </si>
  <si>
    <t>Nikantes G1 - Albatros G1</t>
  </si>
  <si>
    <t>Dijkvogels G2 - Albatros G1</t>
  </si>
  <si>
    <t>F3B</t>
  </si>
  <si>
    <t>Albatros F5</t>
  </si>
  <si>
    <t>Movado F2</t>
  </si>
  <si>
    <t>Albatros F5 - Movado F2</t>
  </si>
  <si>
    <t>Walburghal</t>
  </si>
  <si>
    <t>F5</t>
  </si>
  <si>
    <t>Movado F2 - Albatros F5</t>
  </si>
  <si>
    <t>Oranje Withal</t>
  </si>
  <si>
    <t>F3E</t>
  </si>
  <si>
    <t>Ventura Sport F1</t>
  </si>
  <si>
    <t>Albatros F6</t>
  </si>
  <si>
    <t>Ventura Sport F1 - Albatros F6</t>
  </si>
  <si>
    <t>Apollohal</t>
  </si>
  <si>
    <t>Oranje Wit (D) F4</t>
  </si>
  <si>
    <t>Albatros F6 - Oranje Wit (D) F4</t>
  </si>
  <si>
    <t>E6</t>
  </si>
  <si>
    <t>Oranje Zwart/De Hoekse F1</t>
  </si>
  <si>
    <t>Oranje Zwart/De Hoekse F1 - Albatros F6</t>
  </si>
  <si>
    <t>De Tienvoet</t>
  </si>
  <si>
    <t>Merwede F3</t>
  </si>
  <si>
    <t>Merwede F3 - Albatros F6</t>
  </si>
  <si>
    <t>PKC/SWKGroep F7</t>
  </si>
  <si>
    <t>PKC/SWKGroep F7 - Albatros F6</t>
  </si>
  <si>
    <t>GKV/Enomics F3</t>
  </si>
  <si>
    <t>Albatros F6 - GKV/Enomics F3</t>
  </si>
  <si>
    <t>F6</t>
  </si>
  <si>
    <t>Jens de Kruiter</t>
  </si>
  <si>
    <t>Albatros F6 - Ventura Sport F1</t>
  </si>
  <si>
    <t>Oranje Wit (D) F4 - Albatros F6</t>
  </si>
  <si>
    <t>Albatros F6 - Oranje Zwart/De Hoekse F1</t>
  </si>
  <si>
    <t>A3</t>
  </si>
  <si>
    <t>Albatros F6 - Merwede F3</t>
  </si>
  <si>
    <t>Sander van Duivendoorde</t>
  </si>
  <si>
    <t>Albatros F6 - PKC/SWKGroep F7</t>
  </si>
  <si>
    <t>di</t>
  </si>
  <si>
    <t>GKV/Enomics F3 - Albatros F6</t>
  </si>
  <si>
    <t>Van Rappardhal</t>
  </si>
  <si>
    <t>PKC/SWKGroep F6</t>
  </si>
  <si>
    <t>PKC/SWKGroep F6 - Albatros F5</t>
  </si>
  <si>
    <t>Albatros F5 - PKC/SWKGroep F6</t>
  </si>
  <si>
    <t>B3C</t>
  </si>
  <si>
    <t>KCR B3</t>
  </si>
  <si>
    <t>KCR B3 - Albatros B2</t>
  </si>
  <si>
    <t>Beverbol</t>
  </si>
  <si>
    <t>GKV/Enomics B1</t>
  </si>
  <si>
    <t>GKV/Enomics B1 - Albatros B2</t>
  </si>
  <si>
    <t>HKC (Ha) B2</t>
  </si>
  <si>
    <t>Albatros B2 - HKC (Ha) B2</t>
  </si>
  <si>
    <t>B2</t>
  </si>
  <si>
    <t>Youri Fortuin</t>
  </si>
  <si>
    <t>PKC/SWKGroep B4</t>
  </si>
  <si>
    <t>PKC/SWKGroep B4 - Albatros B2</t>
  </si>
  <si>
    <t>Korbatjo B1</t>
  </si>
  <si>
    <t>Albatros B2 - Korbatjo B1</t>
  </si>
  <si>
    <t>Raoul van Duivenvoorde</t>
  </si>
  <si>
    <t>Albatros B2 - GKV/Enomics B1</t>
  </si>
  <si>
    <t>Merwin de Miranda</t>
  </si>
  <si>
    <t>HKC (Ha) B2 - Albatros B2</t>
  </si>
  <si>
    <t>Korbatjo B1 - Albatros B2</t>
  </si>
  <si>
    <t>ADO B1</t>
  </si>
  <si>
    <t>ADO B1 - Albatros B2</t>
  </si>
  <si>
    <t>De Schenkel</t>
  </si>
  <si>
    <t>Albatros B2 - KCR B3</t>
  </si>
  <si>
    <t>Merwin De Miranda</t>
  </si>
  <si>
    <t>Albatros B2 - PKC/SWKGroep B4</t>
  </si>
  <si>
    <t>Albatros B2 - ADO B1</t>
  </si>
  <si>
    <t>B4E</t>
  </si>
  <si>
    <t>Merwede B4</t>
  </si>
  <si>
    <t>Merwede B4 - Albatros B3</t>
  </si>
  <si>
    <t>De Lockhorst</t>
  </si>
  <si>
    <t>ACKC B2</t>
  </si>
  <si>
    <t>ACKC B2 - Albatros B3</t>
  </si>
  <si>
    <t>De Jager</t>
  </si>
  <si>
    <t>DeetosSnel B4</t>
  </si>
  <si>
    <t>Albatros B3 - DeetosSnel B4</t>
  </si>
  <si>
    <t>B3</t>
  </si>
  <si>
    <t>Jeroen Glastra van Loon</t>
  </si>
  <si>
    <t>Trekvogels B1</t>
  </si>
  <si>
    <t>Trekvogels B1 - Albatros B3</t>
  </si>
  <si>
    <t>Zadkine-hal</t>
  </si>
  <si>
    <t>VIOS (W) B1</t>
  </si>
  <si>
    <t>VIOS (W) B1 - Albatros B3</t>
  </si>
  <si>
    <t>De Niervaert</t>
  </si>
  <si>
    <t>Albatros B3 - ACKC B2</t>
  </si>
  <si>
    <t>DeetosSnel B4 - Albatros B3</t>
  </si>
  <si>
    <t>DeetosSnel-hal</t>
  </si>
  <si>
    <t>Albatros B3 - VIOS (W) B1</t>
  </si>
  <si>
    <t>Petra Barendregt</t>
  </si>
  <si>
    <t>Vitesse (Ba) B3</t>
  </si>
  <si>
    <t>Vitesse (Ba) B3 - Albatros B3</t>
  </si>
  <si>
    <t>Bongerdhal</t>
  </si>
  <si>
    <t>Albatros B3 - Merwede B4</t>
  </si>
  <si>
    <t>Albatros B3 - Trekvogels B1</t>
  </si>
  <si>
    <t>Albatros B3 - Vitesse (Ba) B3</t>
  </si>
  <si>
    <t>B5A</t>
  </si>
  <si>
    <t>Sporting Delta B4</t>
  </si>
  <si>
    <t>Albatros B4</t>
  </si>
  <si>
    <t>Sporting Delta B4 - Albatros B4</t>
  </si>
  <si>
    <t>Deltahal</t>
  </si>
  <si>
    <t>B5C</t>
  </si>
  <si>
    <t>t Capproen B2</t>
  </si>
  <si>
    <t>Albatros B5</t>
  </si>
  <si>
    <t>t Capproen B2 - Albatros B5</t>
  </si>
  <si>
    <t>De Eendraght</t>
  </si>
  <si>
    <t>Oranje Zwart/De Hoekse B1</t>
  </si>
  <si>
    <t>Oranje Zwart/De Hoekse B1 - Albatros B4</t>
  </si>
  <si>
    <t>PKC/SWKGroep B7</t>
  </si>
  <si>
    <t>PKC/SWKGroep B7 - Albatros B5</t>
  </si>
  <si>
    <t>Merwede B5</t>
  </si>
  <si>
    <t>Albatros B4 - Merwede B5</t>
  </si>
  <si>
    <t>B4</t>
  </si>
  <si>
    <t>Oranje Wit (D) B5</t>
  </si>
  <si>
    <t>Albatros B5 - Oranje Wit (D) B5</t>
  </si>
  <si>
    <t>B5</t>
  </si>
  <si>
    <t>PKC/SWKGroep B6</t>
  </si>
  <si>
    <t>PKC/SWKGroep B6 - Albatros B4</t>
  </si>
  <si>
    <t>Korbatjo B2</t>
  </si>
  <si>
    <t>Korbatjo B2 - Albatros B5</t>
  </si>
  <si>
    <t>Springfield B1</t>
  </si>
  <si>
    <t>Albatros B4 - Springfield B1</t>
  </si>
  <si>
    <t>Movado B1</t>
  </si>
  <si>
    <t>Albatros B5 - Movado B1</t>
  </si>
  <si>
    <t>Albatros B4 - Oranje Zwart/De Hoekse B1</t>
  </si>
  <si>
    <t>Albatros B5 - PKC/SWKGroep B7</t>
  </si>
  <si>
    <t>Michel Carton</t>
  </si>
  <si>
    <t>Oranje Wit (D) B5 - Albatros B5</t>
  </si>
  <si>
    <t>Merwede B5 - Albatros B4</t>
  </si>
  <si>
    <t>Springfield B1 - Albatros B4</t>
  </si>
  <si>
    <t>Parrestee</t>
  </si>
  <si>
    <t>Movado B1 - Albatros B5</t>
  </si>
  <si>
    <t>ZKV (Zu) B1</t>
  </si>
  <si>
    <t>ZKV (Zu) B1 - Albatros B5</t>
  </si>
  <si>
    <t>Drenkwaard</t>
  </si>
  <si>
    <t>ADO B2</t>
  </si>
  <si>
    <t>ADO B2 - Albatros B4</t>
  </si>
  <si>
    <t>Albatros B4 - Sporting Delta B4</t>
  </si>
  <si>
    <t>Albatros B5 - 't Capproen B2</t>
  </si>
  <si>
    <t>Margreet de Bondt</t>
  </si>
  <si>
    <t>Albatros B4 - PKC/SWKGroep B6</t>
  </si>
  <si>
    <t>Albatros B5 - Korbatjo B2</t>
  </si>
  <si>
    <t>Albatros B4 - ADO B2</t>
  </si>
  <si>
    <t>Albatros B5 - ZKV (Zu) B1</t>
  </si>
  <si>
    <t>C4C</t>
  </si>
  <si>
    <t>Korbis C2</t>
  </si>
  <si>
    <t>Korbis C2 - Albatros C2</t>
  </si>
  <si>
    <t>De Dreef</t>
  </si>
  <si>
    <t>OZC C1</t>
  </si>
  <si>
    <t>Albatros C2 - OZC C1</t>
  </si>
  <si>
    <t>C2</t>
  </si>
  <si>
    <t>Maassluis C3</t>
  </si>
  <si>
    <t>Maassluis C3 - Albatros C2</t>
  </si>
  <si>
    <t>Olympia</t>
  </si>
  <si>
    <t>KOAG C3</t>
  </si>
  <si>
    <t>Albatros C2 - KOAG C3</t>
  </si>
  <si>
    <t>Nexus C1</t>
  </si>
  <si>
    <t>Nexus C1 - Albatros C2</t>
  </si>
  <si>
    <t>Margriethal</t>
  </si>
  <si>
    <t>Albatros C2 - Korbis C2</t>
  </si>
  <si>
    <t>OZC C1 - Albatros C2</t>
  </si>
  <si>
    <t>Sportmotor</t>
  </si>
  <si>
    <t>KOAG C3 - Albatros C2</t>
  </si>
  <si>
    <t>Krimpenerwaard College</t>
  </si>
  <si>
    <t>Albatros C2 - Nexus C1</t>
  </si>
  <si>
    <t>Vriendenschaar (B) C2</t>
  </si>
  <si>
    <t>Vriendenschaar (B) C2 - Albatros C2</t>
  </si>
  <si>
    <t>Albatros C2 - Maassluis C3</t>
  </si>
  <si>
    <t>Albatros C2 - Vriendenschaar (B) C2</t>
  </si>
  <si>
    <t>C5B</t>
  </si>
  <si>
    <t>KCR C4</t>
  </si>
  <si>
    <t>KCR C4 - Albatros C3</t>
  </si>
  <si>
    <t>Korbatjo C3</t>
  </si>
  <si>
    <t>Korbatjo C3 - Albatros C3</t>
  </si>
  <si>
    <t>OZC C2</t>
  </si>
  <si>
    <t>Albatros C3 - OZC C2</t>
  </si>
  <si>
    <t>C3</t>
  </si>
  <si>
    <t>DVS '69 C2</t>
  </si>
  <si>
    <t>DVS '69 C2 - Albatros C3</t>
  </si>
  <si>
    <t>De Ridderhal</t>
  </si>
  <si>
    <t>Oranje Wit (D) C4</t>
  </si>
  <si>
    <t>Albatros C3 - Oranje Wit (D) C4</t>
  </si>
  <si>
    <t>Albatros C3 - Korbatjo C3</t>
  </si>
  <si>
    <t>Nicole Barendregt</t>
  </si>
  <si>
    <t>OZC C2 - Albatros C3</t>
  </si>
  <si>
    <t>De Enk</t>
  </si>
  <si>
    <t>Oranje Wit (D) C4 - Albatros C3</t>
  </si>
  <si>
    <t>Vitesse (Ba) C3</t>
  </si>
  <si>
    <t>Vitesse (Ba) C3 - Albatros C3</t>
  </si>
  <si>
    <t>Albatros C3 - KCR C4</t>
  </si>
  <si>
    <t>Albatros C3 - DVS '69 C2</t>
  </si>
  <si>
    <t>Leonie Reijenga</t>
  </si>
  <si>
    <t>Albatros C3 - Vitesse (Ba) C3</t>
  </si>
  <si>
    <t>R5C</t>
  </si>
  <si>
    <t>Nieuwerkerk 8</t>
  </si>
  <si>
    <t>Albatros 7 - Nieuwerkerk 8</t>
  </si>
  <si>
    <t>R7G</t>
  </si>
  <si>
    <t>GKV/Enomics 5</t>
  </si>
  <si>
    <t>Albatros 9 - GKV/Enomics 5</t>
  </si>
  <si>
    <t>Senioren 9</t>
  </si>
  <si>
    <t>Senioren 1</t>
  </si>
  <si>
    <t>R5B</t>
  </si>
  <si>
    <t>Albatros 10</t>
  </si>
  <si>
    <t>KCC/SO natural 7</t>
  </si>
  <si>
    <t>Albatros 10 - KCC/SO natural 7</t>
  </si>
  <si>
    <t>R5E</t>
  </si>
  <si>
    <t>Maassluis 5</t>
  </si>
  <si>
    <t>Maassluis 5 - Albatros 6</t>
  </si>
  <si>
    <t>R6G</t>
  </si>
  <si>
    <t>HKC (Ha) 5</t>
  </si>
  <si>
    <t>HKC (Ha) 5 - Albatros 8</t>
  </si>
  <si>
    <t>Nikantes 3</t>
  </si>
  <si>
    <t>Nikantes 3 - Albatros 6</t>
  </si>
  <si>
    <t>Eureka 2</t>
  </si>
  <si>
    <t>Albatros 8 - Eureka 2</t>
  </si>
  <si>
    <t>Korbis 4</t>
  </si>
  <si>
    <t>Albatros 6 - Korbis 4</t>
  </si>
  <si>
    <t>Senioren 2</t>
  </si>
  <si>
    <t>Maassluis 4</t>
  </si>
  <si>
    <t>Maassluis 4 - Albatros 7</t>
  </si>
  <si>
    <t>Nieuwerkerk 7</t>
  </si>
  <si>
    <t>Nieuwerkerk 7 - Albatros 10</t>
  </si>
  <si>
    <t>De Kleine Vink Hal</t>
  </si>
  <si>
    <t>OZC 4</t>
  </si>
  <si>
    <t>OZC 4 - Albatros 9</t>
  </si>
  <si>
    <t>Nieuwerkerk 9</t>
  </si>
  <si>
    <t>Nieuwerkerk 9 - Albatros 8</t>
  </si>
  <si>
    <t>DVS '69 3</t>
  </si>
  <si>
    <t>DVS '69 3 - Albatros 6</t>
  </si>
  <si>
    <t>Olympia (S) 5</t>
  </si>
  <si>
    <t>Albatros 9 - Olympia (S) 5</t>
  </si>
  <si>
    <t>Vriendenschaar (H) 5</t>
  </si>
  <si>
    <t>Albatros 10 - Vriendenschaar (H) 5</t>
  </si>
  <si>
    <t>R5A</t>
  </si>
  <si>
    <t>Gemini 3</t>
  </si>
  <si>
    <t>Gemini 3 - Albatros 5</t>
  </si>
  <si>
    <t>De Mammoet</t>
  </si>
  <si>
    <t>Merwede 6</t>
  </si>
  <si>
    <t>Albatros 8 - Merwede 6</t>
  </si>
  <si>
    <t>Senioren 4</t>
  </si>
  <si>
    <t>KOAG 6</t>
  </si>
  <si>
    <t>Albatros 5 - KOAG 6</t>
  </si>
  <si>
    <t>vr</t>
  </si>
  <si>
    <t>KCC/SO natural 10</t>
  </si>
  <si>
    <t>KCC/SO natural 10 - Albatros 9</t>
  </si>
  <si>
    <t>Schenkel</t>
  </si>
  <si>
    <t>Trekvogels 1</t>
  </si>
  <si>
    <t>Trekvogels 1 - Albatros 10</t>
  </si>
  <si>
    <t>Trekvogels 2 - Albatros 7</t>
  </si>
  <si>
    <t>KCC/SO natural 7 - Albatros 10</t>
  </si>
  <si>
    <t>Nieuwerkerk 8 - Albatros 7</t>
  </si>
  <si>
    <t>GKV/Enomics 5 - Albatros 9</t>
  </si>
  <si>
    <t>Albatros 7 - Triade 3</t>
  </si>
  <si>
    <t>PKC/SWKGroep 9</t>
  </si>
  <si>
    <t>PKC/SWKGroep 9 - Albatros 6</t>
  </si>
  <si>
    <t>Olympia (S) 4</t>
  </si>
  <si>
    <t>Olympia (S) 4 - Albatros 8</t>
  </si>
  <si>
    <t>Triade 5</t>
  </si>
  <si>
    <t>Albatros 9 - Triade 5</t>
  </si>
  <si>
    <t>Voltreffers 2</t>
  </si>
  <si>
    <t>Albatros 10 - Voltreffers 2</t>
  </si>
  <si>
    <t>Sebioren 10</t>
  </si>
  <si>
    <t>Korbis 3</t>
  </si>
  <si>
    <t>Korbis 3 - Albatros 5</t>
  </si>
  <si>
    <t>Albatros 6 - Nikantes 3</t>
  </si>
  <si>
    <t>PKC/SWKGroep 8</t>
  </si>
  <si>
    <t>Albatros 7 - PKC/SWKGroep 8</t>
  </si>
  <si>
    <t>Eureka 2 - Albatros 8</t>
  </si>
  <si>
    <t>Korbis 4 - Albatros 6</t>
  </si>
  <si>
    <t>ZKV (Zu) 3</t>
  </si>
  <si>
    <t>ZKV (Zu) 3 - Albatros 9</t>
  </si>
  <si>
    <t>Oranje Wit (D) 6</t>
  </si>
  <si>
    <t>Oranje Wit (D) 6 - Albatros 10</t>
  </si>
  <si>
    <t>DeetosSnel 5</t>
  </si>
  <si>
    <t>DeetosSnel 5 - Albatros 7</t>
  </si>
  <si>
    <t>KCR 8</t>
  </si>
  <si>
    <t>Albatros 5 - KCR 8</t>
  </si>
  <si>
    <t>Merwede 6 - Albatros 8</t>
  </si>
  <si>
    <t>Sportcentrum Papendrecht</t>
  </si>
  <si>
    <t>Merwede 5</t>
  </si>
  <si>
    <t>Merwede 5 - Albatros 5</t>
  </si>
  <si>
    <t>Albatros 8 - Olympia (S) 4</t>
  </si>
  <si>
    <t>Albatros 6 - PKC/SWKGroep 9</t>
  </si>
  <si>
    <t>Voltreffers 2 - Albatros 10</t>
  </si>
  <si>
    <t>Arkendonk</t>
  </si>
  <si>
    <t>Triade 3 - Albatros 7</t>
  </si>
  <si>
    <t>De Reiger</t>
  </si>
  <si>
    <t>Triade 5 - Albatros 9</t>
  </si>
  <si>
    <t>Albatros 5 - Korbis 3</t>
  </si>
  <si>
    <t>PKC/SWKGroep 8 - Albatros 7</t>
  </si>
  <si>
    <t>NIO 3</t>
  </si>
  <si>
    <t>Albatros 5 - NIO 3</t>
  </si>
  <si>
    <t>Albatros 7 - DeetosSnel 5</t>
  </si>
  <si>
    <t>Albatros 9 - ZKV (Zu) 3</t>
  </si>
  <si>
    <t>Albatros 10 - Oranje Wit (D) 6</t>
  </si>
  <si>
    <t>KCR 8 - Albatros 5</t>
  </si>
  <si>
    <t>ADO 4</t>
  </si>
  <si>
    <t>ADO 4 - Albatros 8</t>
  </si>
  <si>
    <t>Korbatjo 3 - Albatros 6</t>
  </si>
  <si>
    <t>Albatros 8 - HKC (Ha) 5</t>
  </si>
  <si>
    <t>Albatros 6 - Maassluis 5</t>
  </si>
  <si>
    <t>Albatros 5 - Merwede 5</t>
  </si>
  <si>
    <t>NIO 3 - Albatros 5</t>
  </si>
  <si>
    <t>Albatros 8 - Nieuwerkerk 9</t>
  </si>
  <si>
    <t>Albatros 6 - DVS '69 3</t>
  </si>
  <si>
    <t>Albatros 7 - Maassluis 4</t>
  </si>
  <si>
    <t>Albatros 9 - OZC 4</t>
  </si>
  <si>
    <t>Albatros 10 - Nieuwerkerk 7</t>
  </si>
  <si>
    <t>Albatros 8 - ADO 4</t>
  </si>
  <si>
    <t>Albatros 6 - Korbatjo 3</t>
  </si>
  <si>
    <t>Vriendenschaar (H) 5 - Albatros 10</t>
  </si>
  <si>
    <t>De Wielewaal</t>
  </si>
  <si>
    <t>Olympia (S) 5 - Albatros 9</t>
  </si>
  <si>
    <t>Albatros 5 - Gemini 3</t>
  </si>
  <si>
    <t>Albatros 7 - Trekvogels 2</t>
  </si>
  <si>
    <t>KOAG 6 - Albatros 5</t>
  </si>
  <si>
    <t>Albatros 10 - Trekvogels 1</t>
  </si>
  <si>
    <t>??</t>
  </si>
  <si>
    <t>A5D</t>
  </si>
  <si>
    <t>t Capproen A1</t>
  </si>
  <si>
    <t>t Capproen A1 - Albatros A4</t>
  </si>
  <si>
    <t>Springfield A1</t>
  </si>
  <si>
    <t>Springfield A1 - Albatros A4</t>
  </si>
  <si>
    <t>Keep Fit '70 A2</t>
  </si>
  <si>
    <t>Albatros A4 - Keep Fit '70 A2</t>
  </si>
  <si>
    <t>A4D</t>
  </si>
  <si>
    <t>ZKV (Zu) A1</t>
  </si>
  <si>
    <t>Albatros A3 - ZKV (Zu) A1</t>
  </si>
  <si>
    <t>DVS '69 A2</t>
  </si>
  <si>
    <t>DVS '69 A2 - Albatros A4</t>
  </si>
  <si>
    <t>Gemini A2</t>
  </si>
  <si>
    <t>Albatros A4 - Gemini A2</t>
  </si>
  <si>
    <t>Kinderdijk A3</t>
  </si>
  <si>
    <t>Albatros A3 - Kinderdijk A3</t>
  </si>
  <si>
    <t>VIOS (W) A1</t>
  </si>
  <si>
    <t>VIOS (W) A1 - Albatros A4</t>
  </si>
  <si>
    <t>E2G</t>
  </si>
  <si>
    <t>NIO E2</t>
  </si>
  <si>
    <t>NIO E2 - Albatros E5</t>
  </si>
  <si>
    <t>E3O</t>
  </si>
  <si>
    <t>Conventus E3</t>
  </si>
  <si>
    <t>Albatros E8</t>
  </si>
  <si>
    <t>Conventus E3 - Albatros E8</t>
  </si>
  <si>
    <t>E3B</t>
  </si>
  <si>
    <t>Albatros E6</t>
  </si>
  <si>
    <t>PKC/SWKGroep E10</t>
  </si>
  <si>
    <t>Albatros E6 - PKC/SWKGroep E10</t>
  </si>
  <si>
    <t>Gijs van der Velden</t>
  </si>
  <si>
    <t>E1E</t>
  </si>
  <si>
    <t>ACKC E1</t>
  </si>
  <si>
    <t>ACKC E1 - Albatros E1</t>
  </si>
  <si>
    <t>E1D</t>
  </si>
  <si>
    <t>IJsselvogels E1</t>
  </si>
  <si>
    <t>IJsselvogels E1 - Albatros E4</t>
  </si>
  <si>
    <t>Zuidplas</t>
  </si>
  <si>
    <t>E1F</t>
  </si>
  <si>
    <t>GKV/Enomics E2 - Albatros E2</t>
  </si>
  <si>
    <t>E2D</t>
  </si>
  <si>
    <t>Vriendenschaar (B) E3</t>
  </si>
  <si>
    <t>Vriendenschaar (B) E3 - Albatros E3</t>
  </si>
  <si>
    <t>ACKC E4</t>
  </si>
  <si>
    <t>ACKC E4 - Albatros E5</t>
  </si>
  <si>
    <t>Oranje Zwart/De Hoekse E2</t>
  </si>
  <si>
    <t>Oranje Zwart/De Hoekse E2 - Albatros E6</t>
  </si>
  <si>
    <t>E3A</t>
  </si>
  <si>
    <t>ELKV/Zevenbergen E1</t>
  </si>
  <si>
    <t>Albatros E7</t>
  </si>
  <si>
    <t>ELKV/Zevenbergen E1 - Albatros E7</t>
  </si>
  <si>
    <t>De Borgh</t>
  </si>
  <si>
    <t>Vriendenschaar (B) E1</t>
  </si>
  <si>
    <t>Albatros E1 - Vriendenschaar (B) E1</t>
  </si>
  <si>
    <t>E1</t>
  </si>
  <si>
    <t>DeetosSnel E2</t>
  </si>
  <si>
    <t>Albatros E2 - DeetosSnel E2</t>
  </si>
  <si>
    <t>E2</t>
  </si>
  <si>
    <t>Sporting Delta E3</t>
  </si>
  <si>
    <t>Albatros E3 - Sporting Delta E3</t>
  </si>
  <si>
    <t>E3</t>
  </si>
  <si>
    <t>Nieuwerkerk E4</t>
  </si>
  <si>
    <t>Albatros E4 - Nieuwerkerk E4</t>
  </si>
  <si>
    <t>E4</t>
  </si>
  <si>
    <t>Serena Schouten</t>
  </si>
  <si>
    <t>WION E2</t>
  </si>
  <si>
    <t>Albatros E5 - WION E2</t>
  </si>
  <si>
    <t>E5</t>
  </si>
  <si>
    <t>Sterre van Vliet</t>
  </si>
  <si>
    <t>Vriendenschaar (H) E4</t>
  </si>
  <si>
    <t>Vriendenschaar (H) E4 - Albatros E8</t>
  </si>
  <si>
    <t>Keep Fit '70 E3</t>
  </si>
  <si>
    <t>Keep Fit '70 E3 - Albatros E7</t>
  </si>
  <si>
    <t>In de Roos</t>
  </si>
  <si>
    <t>Ventura Sport E1</t>
  </si>
  <si>
    <t>Albatros E6 - Ventura Sport E1</t>
  </si>
  <si>
    <t>Albatros E8 - Conventus E3</t>
  </si>
  <si>
    <t>E8</t>
  </si>
  <si>
    <t>PKC/SWKGroep E10 - Albatros E6</t>
  </si>
  <si>
    <t>Voltreffers E1</t>
  </si>
  <si>
    <t>Voltreffers E1 - Albatros E2</t>
  </si>
  <si>
    <t>KOAG E4</t>
  </si>
  <si>
    <t>KOAG E4 - Albatros E3</t>
  </si>
  <si>
    <t>Korbis E3</t>
  </si>
  <si>
    <t>Korbis E3 - Albatros E5</t>
  </si>
  <si>
    <t>Merwede E2</t>
  </si>
  <si>
    <t>Merwede E2 - Albatros E4</t>
  </si>
  <si>
    <t>RWA E1</t>
  </si>
  <si>
    <t>Albatros E1 - RWA E1</t>
  </si>
  <si>
    <t>PKC/SWKGroep E3</t>
  </si>
  <si>
    <t>Albatros E2 - PKC/SWKGroep E3</t>
  </si>
  <si>
    <t>Steffi La Grand</t>
  </si>
  <si>
    <t>KCR E3</t>
  </si>
  <si>
    <t>Albatros E3 - KCR E3</t>
  </si>
  <si>
    <t>KCR E2</t>
  </si>
  <si>
    <t>Albatros E4 - KCR E2</t>
  </si>
  <si>
    <t>HKC (Ha) E3</t>
  </si>
  <si>
    <t>Albatros E5 - HKC (Ha) E3</t>
  </si>
  <si>
    <t>Albatros E6 - Oranje Zwart/De Hoekse E2</t>
  </si>
  <si>
    <t>Ventura Sport E1 - Albatros E6</t>
  </si>
  <si>
    <t>Albatros E1 - Kinderdijk E1</t>
  </si>
  <si>
    <t>A1</t>
  </si>
  <si>
    <t>Nieuwerkerk E3</t>
  </si>
  <si>
    <t>Albatros E2 - Nieuwerkerk E3</t>
  </si>
  <si>
    <t>A4</t>
  </si>
  <si>
    <t>Vitesse (Ba) E3</t>
  </si>
  <si>
    <t>Albatros E3 - Vitesse (Ba) E3</t>
  </si>
  <si>
    <t>Olympia (S) E2</t>
  </si>
  <si>
    <t>Albatros E4 - Olympia (S) E2</t>
  </si>
  <si>
    <t>DVS '69 E2</t>
  </si>
  <si>
    <t>Albatros E5 - DVS '69 E2</t>
  </si>
  <si>
    <t>Vriendenschaar (B) E4</t>
  </si>
  <si>
    <t>Vriendenschaar (B) E4 - Albatros E6</t>
  </si>
  <si>
    <t>Korbatjo E3</t>
  </si>
  <si>
    <t>Albatros E7 - Korbatjo E3</t>
  </si>
  <si>
    <t>E7</t>
  </si>
  <si>
    <t>A2</t>
  </si>
  <si>
    <t>Springfield E3</t>
  </si>
  <si>
    <t>Albatros E8 - Springfield E3</t>
  </si>
  <si>
    <t>Albatros E2 - Voltreffers E1</t>
  </si>
  <si>
    <t>Albatros E3 - KOAG E4</t>
  </si>
  <si>
    <t>Albatros E4 - Merwede E2</t>
  </si>
  <si>
    <t>Albatros E5 - Korbis E3</t>
  </si>
  <si>
    <t>Merwede E5</t>
  </si>
  <si>
    <t>Merwede E5 - Albatros E8</t>
  </si>
  <si>
    <t>De Valk</t>
  </si>
  <si>
    <t>HKC (Ha) E4</t>
  </si>
  <si>
    <t>HKC (Ha) E4 - Albatros E7</t>
  </si>
  <si>
    <t>Nieuwerkerk E5</t>
  </si>
  <si>
    <t>Albatros E6 - Nieuwerkerk E5</t>
  </si>
  <si>
    <t>Juliana E1</t>
  </si>
  <si>
    <t>Juliana E1 - Albatros E6</t>
  </si>
  <si>
    <t>Het Veerhuis</t>
  </si>
  <si>
    <t>RWA E4</t>
  </si>
  <si>
    <t>Albatros E7 - RWA E4</t>
  </si>
  <si>
    <t>Nieuwerkerk E6</t>
  </si>
  <si>
    <t>Albatros E8 - Nieuwerkerk E6</t>
  </si>
  <si>
    <t>DSO (K) F2</t>
  </si>
  <si>
    <t>Albatros F4 - DSO (K) F2</t>
  </si>
  <si>
    <t>ACKC F2</t>
  </si>
  <si>
    <t>Albatros F5 - ACKC F2</t>
  </si>
  <si>
    <t>GKV/Enomics F2 - Albatros F5</t>
  </si>
  <si>
    <t>F1E</t>
  </si>
  <si>
    <t>Nieuwerkerk F2</t>
  </si>
  <si>
    <t>Nieuwerkerk F2 - Albatros F2</t>
  </si>
  <si>
    <t>Nieuwerkerk F6</t>
  </si>
  <si>
    <t>Nieuwerkerk F6 - Albatros F4</t>
  </si>
  <si>
    <t>F2A</t>
  </si>
  <si>
    <t>Korbis F2</t>
  </si>
  <si>
    <t>Albatros F3 - Korbis F2</t>
  </si>
  <si>
    <t>F3</t>
  </si>
  <si>
    <t>F1D</t>
  </si>
  <si>
    <t>Olympia (S) F1</t>
  </si>
  <si>
    <t>Albatros F1 - Olympia (S) F1</t>
  </si>
  <si>
    <t>F1</t>
  </si>
  <si>
    <t>Maassluis F3</t>
  </si>
  <si>
    <t>Albatros F4 - Maassluis F3</t>
  </si>
  <si>
    <t>PKC/SWKGroep F2</t>
  </si>
  <si>
    <t>Albatros F2 - PKC/SWKGroep F2</t>
  </si>
  <si>
    <t>F2</t>
  </si>
  <si>
    <t>Maassluis F1</t>
  </si>
  <si>
    <t>Maassluis F1 - Albatros F1</t>
  </si>
  <si>
    <t>Nieuwerkerk F3</t>
  </si>
  <si>
    <t>Nieuwerkerk F3 - Albatros F3</t>
  </si>
  <si>
    <t>Nexus F1</t>
  </si>
  <si>
    <t>Albatros F3 - Nexus F1</t>
  </si>
  <si>
    <t>Juliana F1</t>
  </si>
  <si>
    <t>Juliana F1 - Albatros F2</t>
  </si>
  <si>
    <t>WION F1</t>
  </si>
  <si>
    <t>Albatros F1 - WION F1</t>
  </si>
  <si>
    <t>Vitesse (Ba) F4</t>
  </si>
  <si>
    <t>Vitesse (Ba) F4 - Albatros F4</t>
  </si>
  <si>
    <t>DSO (K) F2 - Albatros F4</t>
  </si>
  <si>
    <t>ACKC F2 - Albatros F5</t>
  </si>
  <si>
    <t>Sportzaal 't Verlaat</t>
  </si>
  <si>
    <t>DeetosSnel F3</t>
  </si>
  <si>
    <t>Albatros F4 - DeetosSnel F3</t>
  </si>
  <si>
    <t>Oranje Wit (D) F1</t>
  </si>
  <si>
    <t>Albatros F2 - Oranje Wit (D) F1</t>
  </si>
  <si>
    <t>Merwede F2</t>
  </si>
  <si>
    <t>Merwede F2 - Albatros F3</t>
  </si>
  <si>
    <t>Kinderdijk F2</t>
  </si>
  <si>
    <t>Kinderdijk F2 - Albatros F1</t>
  </si>
  <si>
    <t>Blokweer</t>
  </si>
  <si>
    <t>Albatros F5 - HKC (Ha) F2</t>
  </si>
  <si>
    <t>Lianne van Hekezen</t>
  </si>
  <si>
    <t>KCC/SO natural F1</t>
  </si>
  <si>
    <t>Albatros F2 - KCC/SO natural F1</t>
  </si>
  <si>
    <t>RWA F2</t>
  </si>
  <si>
    <t>RWA F2 - Albatros F5</t>
  </si>
  <si>
    <t>Rhoon</t>
  </si>
  <si>
    <t>Voltreffers F1</t>
  </si>
  <si>
    <t>Voltreffers F1 - Albatros F2</t>
  </si>
  <si>
    <t>RWA F1</t>
  </si>
  <si>
    <t>Albatros F3 - RWA F1</t>
  </si>
  <si>
    <t>Vitesse (Ba) F1</t>
  </si>
  <si>
    <t>Vitesse (Ba) F1 - Albatros F1</t>
  </si>
  <si>
    <t>Sporting Delta F2</t>
  </si>
  <si>
    <t>Sporting Delta F2 - Albatros F3</t>
  </si>
  <si>
    <t>DeetosSnel F3 - Albatros F4</t>
  </si>
  <si>
    <t>Oranje Wit (D) F1 - Albatros F2</t>
  </si>
  <si>
    <t>Albatros F3 - Merwede F2</t>
  </si>
  <si>
    <t>Albatros F1 - Kinderdijk F2</t>
  </si>
  <si>
    <t>HKC (Ha) F2 - Albatros F5</t>
  </si>
  <si>
    <t>KCC/SO natural F1 - Albatros F2</t>
  </si>
  <si>
    <t>KCR F1</t>
  </si>
  <si>
    <t>Albatros F1 - KCR F1</t>
  </si>
  <si>
    <t>Albatros F5 - RWA F2</t>
  </si>
  <si>
    <t>Albatros F2 - Voltreffers F1</t>
  </si>
  <si>
    <t>RWA F1 - Albatros F3</t>
  </si>
  <si>
    <t>Albatros F3 - Sporting Delta F2</t>
  </si>
  <si>
    <t>Albatros F1 - Vitesse (Ba) F1</t>
  </si>
  <si>
    <t>KCR F1 - Albatros F1</t>
  </si>
  <si>
    <t>Korbis F2 - Albatros F3</t>
  </si>
  <si>
    <t>Olympia (S) F1 - Albatros F1</t>
  </si>
  <si>
    <t>Albatros F4 - Nieuwerkerk F6</t>
  </si>
  <si>
    <t>Albatros F5 - GKV/Enomics F2</t>
  </si>
  <si>
    <t>Albatros F2 - Nieuwerkerk F2</t>
  </si>
  <si>
    <t>Maassluis F3 - Albatros F4</t>
  </si>
  <si>
    <t>PKC/SWKGroep F2 - Albatros F2</t>
  </si>
  <si>
    <t>Albatros F3 - Nieuwerkerk F3</t>
  </si>
  <si>
    <t>DeetosSnel A4</t>
  </si>
  <si>
    <t>DeetosSnel A4 - Albatros A3</t>
  </si>
  <si>
    <t>Albatros A4 - Springfield A1</t>
  </si>
  <si>
    <t>Keep Fit '70 A2 - Albatros A4</t>
  </si>
  <si>
    <t>Korbatjo A1</t>
  </si>
  <si>
    <t>Albatros A3 - Korbatjo A1</t>
  </si>
  <si>
    <t>Gemini A2 - Albatros A4</t>
  </si>
  <si>
    <t>Scheldevogels A1</t>
  </si>
  <si>
    <t>Scheldevogels A1 - Albatros A3</t>
  </si>
  <si>
    <t>Tuinwijk</t>
  </si>
  <si>
    <t>Albatros A4 - VIOS (W) A1</t>
  </si>
  <si>
    <t>Albatros A3 - DeetosSnel A4</t>
  </si>
  <si>
    <t>Sporting Delta A3</t>
  </si>
  <si>
    <t>Albatros A3 - Sporting Delta A3</t>
  </si>
  <si>
    <t>Korbatjo A1 - Albatros A3</t>
  </si>
  <si>
    <t>Albatros A4 - 't Capproen A1</t>
  </si>
  <si>
    <t>Albatros A3 - Scheldevogels A1</t>
  </si>
  <si>
    <t>Sporting Delta A3 - Albatros A3</t>
  </si>
  <si>
    <t>ZKV (Zu) A1 - Albatros A3</t>
  </si>
  <si>
    <t>Albatros A4 - DVS '69 A2</t>
  </si>
  <si>
    <t>Kinderdijk A3 - Albatros A3</t>
  </si>
  <si>
    <t>D2C</t>
  </si>
  <si>
    <t>Albatros D3 - KCR D2</t>
  </si>
  <si>
    <t>D3</t>
  </si>
  <si>
    <t>Vriendenschaar (B) D2</t>
  </si>
  <si>
    <t>Albatros D3 - Vriendenschaar (B) D2</t>
  </si>
  <si>
    <t>D1B</t>
  </si>
  <si>
    <t>DSO (K) D1</t>
  </si>
  <si>
    <t>Albatros D2 - DSO (K) D1</t>
  </si>
  <si>
    <t>D2</t>
  </si>
  <si>
    <t>D3E</t>
  </si>
  <si>
    <t>Triade D1</t>
  </si>
  <si>
    <t>Albatros D4 - Triade D1</t>
  </si>
  <si>
    <t>D4</t>
  </si>
  <si>
    <t>PKC/SWKGroep D5</t>
  </si>
  <si>
    <t>PKC/SWKGroep D5 - Albatros D4</t>
  </si>
  <si>
    <t>Fortis D1</t>
  </si>
  <si>
    <t>Albatros D2 - Fortis D1</t>
  </si>
  <si>
    <t>ADO D3</t>
  </si>
  <si>
    <t>Albatros D4 - ADO D3</t>
  </si>
  <si>
    <t>KCR D2 - Albatros D3</t>
  </si>
  <si>
    <t>ELKV/Zevenbergen D1</t>
  </si>
  <si>
    <t>ELKV/Zevenbergen D1 - Albatros D4</t>
  </si>
  <si>
    <t>Het Turfschip Etten-Leur</t>
  </si>
  <si>
    <t>Nieuwerkerk D4</t>
  </si>
  <si>
    <t>Albatros D3 - Nieuwerkerk D4</t>
  </si>
  <si>
    <t>DeetosSnel D2 - Albatros D2</t>
  </si>
  <si>
    <t>TOP (A) D1</t>
  </si>
  <si>
    <t>Albatros D2 - TOP (A) D1</t>
  </si>
  <si>
    <t>Oranje Wit (D) D5</t>
  </si>
  <si>
    <t>Oranje Wit (D) D5 - Albatros D4</t>
  </si>
  <si>
    <t>HKC (Ha) D1</t>
  </si>
  <si>
    <t>HKC (Ha) D1 - Albatros D2</t>
  </si>
  <si>
    <t>Albatros D2 - DeetosSnel D2</t>
  </si>
  <si>
    <t>Albatros D4 - ELKV/Zevenbergen D1</t>
  </si>
  <si>
    <t>Nieuwerkerk D4 - Albatros D3</t>
  </si>
  <si>
    <t>GKV/Enomics D2</t>
  </si>
  <si>
    <t>Albatros D3 - GKV/Enomics D2</t>
  </si>
  <si>
    <t>Seolto D1</t>
  </si>
  <si>
    <t>Albatros D2 - Seolto D1</t>
  </si>
  <si>
    <t>RWA D2</t>
  </si>
  <si>
    <t>Albatros D4 - RWA D2</t>
  </si>
  <si>
    <t>TOP (A) D1 - Albatros D2</t>
  </si>
  <si>
    <t>De Blikken</t>
  </si>
  <si>
    <t>Olympia (S) D2</t>
  </si>
  <si>
    <t>Albatros D3 - Olympia (S) D2</t>
  </si>
  <si>
    <t>Twist D1</t>
  </si>
  <si>
    <t>Twist D1 - Albatros D3</t>
  </si>
  <si>
    <t>Westwijk</t>
  </si>
  <si>
    <t>Albatros D2 - HKC (Ha) D1</t>
  </si>
  <si>
    <t>Albatros D4 - Oranje Wit (D) D5</t>
  </si>
  <si>
    <t>Seolto D1 - Albatros D2</t>
  </si>
  <si>
    <t>RWA D2 - Albatros D4</t>
  </si>
  <si>
    <t>GKV/Enomics D2 - Albatros D3</t>
  </si>
  <si>
    <t>DSO (K) D1 - Albatros D2</t>
  </si>
  <si>
    <t>Triade D1 - Albatros D4</t>
  </si>
  <si>
    <t>Vriendenschaar (B) D2 - Albatros D3</t>
  </si>
  <si>
    <t>Olympia (S) D2 - Albatros D3</t>
  </si>
  <si>
    <t>Albatros D4 - PKC/SWKGroep D5</t>
  </si>
  <si>
    <t>Fortis D1 - Albatros D2</t>
  </si>
  <si>
    <t>De Belt</t>
  </si>
  <si>
    <t>ADO D3 - Albatros D4</t>
  </si>
  <si>
    <t>Albatros D3 - Twist D1</t>
  </si>
  <si>
    <t>Twist E4</t>
  </si>
  <si>
    <t>Albatros E7 - Twist E4</t>
  </si>
  <si>
    <t>GKV/Enomics E5</t>
  </si>
  <si>
    <t>Albatros E8 - GKV/Enomics E5</t>
  </si>
  <si>
    <t>KCR E2 - Albatros E4</t>
  </si>
  <si>
    <t>HKC (Ha) E3 - Albatros E5</t>
  </si>
  <si>
    <t>KCR E3 - Albatros E3</t>
  </si>
  <si>
    <t>PKC/SWKGroep E3 - Albatros E2</t>
  </si>
  <si>
    <t>RWA E1 - Albatros E1</t>
  </si>
  <si>
    <t>Maassluis E2</t>
  </si>
  <si>
    <t>Maassluis E2 - Albatros E4</t>
  </si>
  <si>
    <t>IJsselvogels E3</t>
  </si>
  <si>
    <t>IJsselvogels E3 - Albatros E3</t>
  </si>
  <si>
    <t>Korbis E2</t>
  </si>
  <si>
    <t>Korbis E2 - Albatros E1</t>
  </si>
  <si>
    <t>Albatros E1 - HKC (Ha) E1</t>
  </si>
  <si>
    <t>NIO E1</t>
  </si>
  <si>
    <t>Albatros E2 - NIO E1</t>
  </si>
  <si>
    <t>Albatros E5 - NIO E2</t>
  </si>
  <si>
    <t>Korbatjo E3 - Albatros E7</t>
  </si>
  <si>
    <t>Springfield E3 - Albatros E8</t>
  </si>
  <si>
    <t>Albatros E6 - Vriendenschaar (B) E4</t>
  </si>
  <si>
    <t>DVS '69 E2 - Albatros E5</t>
  </si>
  <si>
    <t>Nieuwerkerk E3 - Albatros E2</t>
  </si>
  <si>
    <t>Vitesse (Ba) E3 - Albatros E3</t>
  </si>
  <si>
    <t>Kinderdijk E1 - Albatros E1</t>
  </si>
  <si>
    <t>Olympia (S) E2 - Albatros E4</t>
  </si>
  <si>
    <t>Albatros E7 - HKC (Ha) E4</t>
  </si>
  <si>
    <t>Albatros E8 - Merwede E5</t>
  </si>
  <si>
    <t>Nieuwerkerk E5 - Albatros E6</t>
  </si>
  <si>
    <t>Albatros E1 - ACKC E1</t>
  </si>
  <si>
    <t>Albatros E2 - GKV/Enomics E2</t>
  </si>
  <si>
    <t>Albatros E3 - Vriendenschaar (B) E3</t>
  </si>
  <si>
    <t>Albatros E4 - IJsselvogels E1</t>
  </si>
  <si>
    <t>Albatros E5 - ACKC E4</t>
  </si>
  <si>
    <t>Nieuwerkerk E6 - Albatros E8</t>
  </si>
  <si>
    <t>Albatros E6 - Juliana E1</t>
  </si>
  <si>
    <t>RWA E4 - Albatros E7</t>
  </si>
  <si>
    <t>GKV/Enomics E5 - Albatros E8</t>
  </si>
  <si>
    <t>Twist E4 - Albatros E7</t>
  </si>
  <si>
    <t>Vriendenschaar (B) E1 - Albatros E1</t>
  </si>
  <si>
    <t>WION E2 - Albatros E5</t>
  </si>
  <si>
    <t>WION-hal</t>
  </si>
  <si>
    <t>DeetosSnel E2 - Albatros E2</t>
  </si>
  <si>
    <t>Nieuwerkerk E4 - Albatros E4</t>
  </si>
  <si>
    <t>Comenius College</t>
  </si>
  <si>
    <t>Sporting Delta E3 - Albatros E3</t>
  </si>
  <si>
    <t>Albatros E7 - ELKV/Zevenbergen E1</t>
  </si>
  <si>
    <t>Albatros E1 - Korbis E2</t>
  </si>
  <si>
    <t>Albatros E3 - IJsselvogels E3</t>
  </si>
  <si>
    <t>Albatros E4 - Maassluis E2</t>
  </si>
  <si>
    <t>Albatros E7 - Keep Fit '70 E3</t>
  </si>
  <si>
    <t>Albatros E8 - Vriendenschaar (H) E4</t>
  </si>
  <si>
    <t>NIO E1 - Albatros E2</t>
  </si>
  <si>
    <t>HKC (Ha) E1 - Albatros E1</t>
  </si>
  <si>
    <t>Twist 3</t>
  </si>
  <si>
    <t>Albatros 4 - Twist 3</t>
  </si>
  <si>
    <t>Twist 3 - Albatros 4</t>
  </si>
  <si>
    <t>DHKD</t>
  </si>
  <si>
    <t>Vitesse (Ba) D1</t>
  </si>
  <si>
    <t>Vitesse (Ba) D1 - Albatros D1</t>
  </si>
  <si>
    <t>Albatros D1 - Oranje Wit (D) D1</t>
  </si>
  <si>
    <t>Albatros D1 - Nieuwerkerk D1</t>
  </si>
  <si>
    <t>Maassluis D1</t>
  </si>
  <si>
    <t>Maassluis D1 - Albatros D1</t>
  </si>
  <si>
    <t>Oranje Wit (D) D1 - Albatros D1</t>
  </si>
  <si>
    <t>Sporting Delta D1</t>
  </si>
  <si>
    <t>Albatros D1 - Sporting Delta D1</t>
  </si>
  <si>
    <t>Kinderdijk D1</t>
  </si>
  <si>
    <t>Kinderdijk D1 - Albatros D1</t>
  </si>
  <si>
    <t>Albatros D1 - DeetosSnel D1</t>
  </si>
  <si>
    <t>Sporting Delta D1 - Albatros D1</t>
  </si>
  <si>
    <t>Albatros D1 - Vitesse (Ba) D1</t>
  </si>
  <si>
    <t>Albatros D1 - Kinderdijk D1</t>
  </si>
  <si>
    <t>Nieuwerkerk D1 - Albatros D1</t>
  </si>
  <si>
    <t>Albatros D1 - Maassluis D1</t>
  </si>
  <si>
    <t>DeetosSnel D1 - Albatros D1</t>
  </si>
  <si>
    <t>C2F</t>
  </si>
  <si>
    <t>TOGO C1</t>
  </si>
  <si>
    <t>TOGO C1 - Albatros C1</t>
  </si>
  <si>
    <t>Omnium</t>
  </si>
  <si>
    <t>Ten Donck C1</t>
  </si>
  <si>
    <t>Albatros C1 - Ten Donck C1</t>
  </si>
  <si>
    <t>KCC/SO natural C2</t>
  </si>
  <si>
    <t>Albatros C1 - KCC/SO natural C2</t>
  </si>
  <si>
    <t>KOAG C2</t>
  </si>
  <si>
    <t>KOAG C2 - Albatros C1</t>
  </si>
  <si>
    <t>Ten Donck C1 - Albatros C1</t>
  </si>
  <si>
    <t>Reyerparkhal</t>
  </si>
  <si>
    <t>Tjoba C1</t>
  </si>
  <si>
    <t>Albatros C1 - Tjoba C1</t>
  </si>
  <si>
    <t>HKC (Ha) C1</t>
  </si>
  <si>
    <t>HKC (Ha) C1 - Albatros C1</t>
  </si>
  <si>
    <t>Albatros C1 - ONDO (M) C1</t>
  </si>
  <si>
    <t>Tjoba C1 - Albatros C1</t>
  </si>
  <si>
    <t>Albatros C1 - TOGO C1</t>
  </si>
  <si>
    <t>Albatros C1 - HKC (Ha) C1</t>
  </si>
  <si>
    <t>KCC/SO natural C2 - Albatros C1</t>
  </si>
  <si>
    <t>Albatros C1 - KOAG C2</t>
  </si>
  <si>
    <t>ONDO (M) C1 - Albatros C1</t>
  </si>
  <si>
    <t>B1H</t>
  </si>
  <si>
    <t>Vriendenschaar (H) B1 - Albatros B1</t>
  </si>
  <si>
    <t>Albatros B1 - TOP (A) B1</t>
  </si>
  <si>
    <t>Merwede B1</t>
  </si>
  <si>
    <t>Albatros B1 - Merwede B1</t>
  </si>
  <si>
    <t>Oranje Wit (D) B2</t>
  </si>
  <si>
    <t>Oranje Wit (D) B2 - Albatros B1</t>
  </si>
  <si>
    <t>TOP (A) B1 - Albatros B1</t>
  </si>
  <si>
    <t>Fortis B1</t>
  </si>
  <si>
    <t>Albatros B1 - Fortis B1</t>
  </si>
  <si>
    <t>Kinderdijk B1 - Albatros B1</t>
  </si>
  <si>
    <t>ONDO (M) B1</t>
  </si>
  <si>
    <t>Albatros B1 - ONDO (M) B1</t>
  </si>
  <si>
    <t>Fortis B1 - Albatros B1</t>
  </si>
  <si>
    <t>Albatros B1 - Vriendenschaar (H) B1</t>
  </si>
  <si>
    <t>Albatros B1 - Kinderdijk B1</t>
  </si>
  <si>
    <t>Merwede B1 - Albatros B1</t>
  </si>
  <si>
    <t>Albatros B1 - Oranje Wit (D) B2</t>
  </si>
  <si>
    <t>ONDO (M) B1 - Albatros B1</t>
  </si>
  <si>
    <t>AOKD</t>
  </si>
  <si>
    <t>TOP (A) A1 - Albatros A1</t>
  </si>
  <si>
    <t>GKV/Enomics A1</t>
  </si>
  <si>
    <t>Albatros A1 - GKV/Enomics A1</t>
  </si>
  <si>
    <t>Sporting Delta A1</t>
  </si>
  <si>
    <t>Albatros A1 - Sporting Delta A1</t>
  </si>
  <si>
    <t>A2L</t>
  </si>
  <si>
    <t>RWA A2</t>
  </si>
  <si>
    <t>Albatros A2 - RWA A2</t>
  </si>
  <si>
    <t>PKC/SWKGroep A2</t>
  </si>
  <si>
    <t>PKC/SWKGroep A2 - Albatros A1</t>
  </si>
  <si>
    <t>Avanti (P) A2</t>
  </si>
  <si>
    <t>Avanti (P) A2 - Albatros A2</t>
  </si>
  <si>
    <t>Emerald Delfgauw</t>
  </si>
  <si>
    <t>Weidevogels A2</t>
  </si>
  <si>
    <t>Albatros A2 - Weidevogels A2</t>
  </si>
  <si>
    <t>Phoenix A1</t>
  </si>
  <si>
    <t>Phoenix A1 - Albatros A2</t>
  </si>
  <si>
    <t>De Veur Zoetermeer</t>
  </si>
  <si>
    <t>GKV/Enomics A1 - Albatros A1</t>
  </si>
  <si>
    <t>Excelsior (D) A2</t>
  </si>
  <si>
    <t>Albatros A2 - Excelsior (D) A2</t>
  </si>
  <si>
    <t>Vitesse (Ba) A1</t>
  </si>
  <si>
    <t>Albatros A1 - Vitesse (Ba) A1</t>
  </si>
  <si>
    <t>Vriendenschaar (B) A1</t>
  </si>
  <si>
    <t>Vriendenschaar (B) A1 - Albatros A2</t>
  </si>
  <si>
    <t>Albatros A2 - Phoenix A1</t>
  </si>
  <si>
    <t>KOAG A1</t>
  </si>
  <si>
    <t>Albatros A2 - KOAG A1</t>
  </si>
  <si>
    <t>Excelsior (D) A2 - Albatros A2</t>
  </si>
  <si>
    <t>De Buitenhof Delft</t>
  </si>
  <si>
    <t>DSC A1</t>
  </si>
  <si>
    <t>DSC A1 - Albatros A1</t>
  </si>
  <si>
    <t>De Vijfkamp</t>
  </si>
  <si>
    <t>DeetosSnel A2</t>
  </si>
  <si>
    <t>Albatros A1 - DeetosSnel A2</t>
  </si>
  <si>
    <t>Albatros A2 - Vriendenschaar (B) A1</t>
  </si>
  <si>
    <t>Vitesse (Ba) A1 - Albatros A1</t>
  </si>
  <si>
    <t>Albatros A1 - TOP (A) A1</t>
  </si>
  <si>
    <t>KOAG A1 - Albatros A2</t>
  </si>
  <si>
    <t>Albatros A1 - DSC A1</t>
  </si>
  <si>
    <t>RWA A2 - Albatros A2</t>
  </si>
  <si>
    <t>Sporting Delta A1 - Albatros A1</t>
  </si>
  <si>
    <t>Albatros A1 - PKC/SWKGroep A2</t>
  </si>
  <si>
    <t>Albatros A2 - Avanti (P) A2</t>
  </si>
  <si>
    <t>Weidevogels A2 - Albatros A2</t>
  </si>
  <si>
    <t>DeetosSnel A2 - Albatros A1</t>
  </si>
  <si>
    <t>Rapid 2 - Albatros 2</t>
  </si>
  <si>
    <t>Tempo 5</t>
  </si>
  <si>
    <t>Tempo 5 - Albatros 4</t>
  </si>
  <si>
    <t>Merwede 2</t>
  </si>
  <si>
    <t>Merwede 2 - Albatros 2</t>
  </si>
  <si>
    <t>VZOD 2</t>
  </si>
  <si>
    <t>VZOD 2 - Albatros 4</t>
  </si>
  <si>
    <t>Proosdijhal Kudelstaart</t>
  </si>
  <si>
    <t>Oranje Wit (D) 4</t>
  </si>
  <si>
    <t>Albatros 2 - Oranje Wit (D) 4</t>
  </si>
  <si>
    <t>Gemini 2</t>
  </si>
  <si>
    <t>Albatros 4 - Gemini 2</t>
  </si>
  <si>
    <t>Fortis 2 - Albatros 2</t>
  </si>
  <si>
    <t>Futura 2 - Albatros 4</t>
  </si>
  <si>
    <t>Zuidhaghe Den Haag</t>
  </si>
  <si>
    <t>Merwede 3 - Albatros 3</t>
  </si>
  <si>
    <t>Albatros 3 - KCR 3</t>
  </si>
  <si>
    <t>Albatros 4 - Tempo 5</t>
  </si>
  <si>
    <t>ONDO (M) 2</t>
  </si>
  <si>
    <t>ONDO (M) 2 - Albatros 2</t>
  </si>
  <si>
    <t>Dijkvogels 2</t>
  </si>
  <si>
    <t>Dijkvogels 2 - Albatros 3</t>
  </si>
  <si>
    <t>Albatros 2 - Merwede 2</t>
  </si>
  <si>
    <t>Albatros 4 - VZOD 2</t>
  </si>
  <si>
    <t>Oranje Wit (D) 4 - Albatros 2</t>
  </si>
  <si>
    <t>GKV/Enomics 3</t>
  </si>
  <si>
    <t>Albatros 3 - GKV/Enomics 3</t>
  </si>
  <si>
    <t>Gemini 2 - Albatros 4</t>
  </si>
  <si>
    <t>Rust Roest 3 - Albatros 3</t>
  </si>
  <si>
    <t>Strijphal</t>
  </si>
  <si>
    <t>Albatros 2 - ONDO (M) 2</t>
  </si>
  <si>
    <t>Albatros 3 - Dijkvogels 2</t>
  </si>
  <si>
    <t>Albatros 3 - PKC/SWKGroep 5</t>
  </si>
  <si>
    <t>GKV/Enomics 3 - Albatros 3</t>
  </si>
  <si>
    <t>Roda 2 - Albatros 2</t>
  </si>
  <si>
    <t>Albatros 4 - NIO 2</t>
  </si>
  <si>
    <t>Albatros F1 - Maassluis F1</t>
  </si>
  <si>
    <t>do</t>
  </si>
  <si>
    <t>WION F1 - Albatros F1</t>
  </si>
  <si>
    <t>Albatros F4 - Vitesse (Ba) F4</t>
  </si>
  <si>
    <t>Albatros F2 - Juliana F1</t>
  </si>
  <si>
    <t>Nexus F1 - Albatros F3</t>
  </si>
  <si>
    <t>Albatros 9 - KCC/SO natural 10</t>
  </si>
  <si>
    <t>Id</t>
  </si>
  <si>
    <t>R7C</t>
  </si>
  <si>
    <t xml:space="preserve">Albatros 9 </t>
  </si>
  <si>
    <t xml:space="preserve"> - </t>
  </si>
  <si>
    <t xml:space="preserve"> GKV/Enomics 5</t>
  </si>
  <si>
    <t>3aK60</t>
  </si>
  <si>
    <t>MW1</t>
  </si>
  <si>
    <t xml:space="preserve">Albatros 7 </t>
  </si>
  <si>
    <t xml:space="preserve"> Erasmus 2</t>
  </si>
  <si>
    <t>R6A</t>
  </si>
  <si>
    <t xml:space="preserve">Albatros 6 </t>
  </si>
  <si>
    <t xml:space="preserve"> Vriendenschaar (H) 6</t>
  </si>
  <si>
    <t>F3F</t>
  </si>
  <si>
    <t xml:space="preserve">Albatros F5 </t>
  </si>
  <si>
    <t xml:space="preserve"> ACKC F2</t>
  </si>
  <si>
    <t xml:space="preserve">Albatros F3 </t>
  </si>
  <si>
    <t xml:space="preserve"> Sporting Delta F2</t>
  </si>
  <si>
    <t>1aK60</t>
  </si>
  <si>
    <t>Sterre van der Vliet</t>
  </si>
  <si>
    <t>F1I</t>
  </si>
  <si>
    <t xml:space="preserve">Albatros F2 </t>
  </si>
  <si>
    <t xml:space="preserve"> RWA F1</t>
  </si>
  <si>
    <t>E3I</t>
  </si>
  <si>
    <t xml:space="preserve">Albatros E8 </t>
  </si>
  <si>
    <t xml:space="preserve"> Vriendenschaar (H) E4</t>
  </si>
  <si>
    <t>E3N</t>
  </si>
  <si>
    <t xml:space="preserve">Albatros E7 </t>
  </si>
  <si>
    <t xml:space="preserve"> PKC/SWKGroep E9</t>
  </si>
  <si>
    <t xml:space="preserve">Albatros E2 </t>
  </si>
  <si>
    <t xml:space="preserve"> DeetosSnel E1</t>
  </si>
  <si>
    <t>Jasper Mulder</t>
  </si>
  <si>
    <t>E1C</t>
  </si>
  <si>
    <t xml:space="preserve">Albatros E1 </t>
  </si>
  <si>
    <t xml:space="preserve"> Nieuwerkerk E2</t>
  </si>
  <si>
    <t>B5H</t>
  </si>
  <si>
    <t xml:space="preserve">Albatros B5 </t>
  </si>
  <si>
    <t xml:space="preserve"> PKC/SWKGroep B7</t>
  </si>
  <si>
    <t>4cK40</t>
  </si>
  <si>
    <t xml:space="preserve">Albatros B4 </t>
  </si>
  <si>
    <t xml:space="preserve"> Merwede B4</t>
  </si>
  <si>
    <t>A5A</t>
  </si>
  <si>
    <t xml:space="preserve">Albatros A3 </t>
  </si>
  <si>
    <t xml:space="preserve"> Vriendenschaar (H) A3</t>
  </si>
  <si>
    <t xml:space="preserve">Albatros A1 </t>
  </si>
  <si>
    <t xml:space="preserve"> KCC/SO natural A1</t>
  </si>
  <si>
    <t xml:space="preserve">Albatros A2 </t>
  </si>
  <si>
    <t xml:space="preserve"> TOP (A) A2</t>
  </si>
  <si>
    <t>R1F</t>
  </si>
  <si>
    <t xml:space="preserve">Albatros 2 </t>
  </si>
  <si>
    <t xml:space="preserve"> VEO 3</t>
  </si>
  <si>
    <t>1E</t>
  </si>
  <si>
    <t xml:space="preserve">Albatros 1 </t>
  </si>
  <si>
    <t xml:space="preserve"> Vitesse (Ba) 1</t>
  </si>
  <si>
    <t>C2L</t>
  </si>
  <si>
    <t xml:space="preserve">HKC (Ha) C1 </t>
  </si>
  <si>
    <t xml:space="preserve"> Albatros C1</t>
  </si>
  <si>
    <t>DHK-GC</t>
  </si>
  <si>
    <t xml:space="preserve">Vitesse (Ba) D1 </t>
  </si>
  <si>
    <t xml:space="preserve"> Albatros D1</t>
  </si>
  <si>
    <t>B2F</t>
  </si>
  <si>
    <t xml:space="preserve">TOP (A) B1 </t>
  </si>
  <si>
    <t xml:space="preserve"> Albatros B1</t>
  </si>
  <si>
    <t>R6J</t>
  </si>
  <si>
    <t xml:space="preserve">Merwede 7 </t>
  </si>
  <si>
    <t xml:space="preserve"> Albatros 8</t>
  </si>
  <si>
    <t xml:space="preserve">Keep Fit '70 3 </t>
  </si>
  <si>
    <t xml:space="preserve"> Albatros 5</t>
  </si>
  <si>
    <t>Vierhoeven</t>
  </si>
  <si>
    <t>1aK40 (KG)</t>
  </si>
  <si>
    <t>F3N</t>
  </si>
  <si>
    <t xml:space="preserve">Conventus F2 </t>
  </si>
  <si>
    <t xml:space="preserve"> Albatros F6</t>
  </si>
  <si>
    <t>5K25</t>
  </si>
  <si>
    <t xml:space="preserve">Keep Fit '70 F2 </t>
  </si>
  <si>
    <t xml:space="preserve"> Albatros F4</t>
  </si>
  <si>
    <t>1bK24 (KG)</t>
  </si>
  <si>
    <t>F1C</t>
  </si>
  <si>
    <t xml:space="preserve">Kinderdijk F1 </t>
  </si>
  <si>
    <t xml:space="preserve"> Albatros F1</t>
  </si>
  <si>
    <t xml:space="preserve">Merwede D4 </t>
  </si>
  <si>
    <t xml:space="preserve"> Albatros D4</t>
  </si>
  <si>
    <t>D2F</t>
  </si>
  <si>
    <t xml:space="preserve">PKC/SWKGroep D4 </t>
  </si>
  <si>
    <t xml:space="preserve"> Albatros D3</t>
  </si>
  <si>
    <t>D1A</t>
  </si>
  <si>
    <t xml:space="preserve">Tilburg D1 </t>
  </si>
  <si>
    <t xml:space="preserve"> Albatros D2</t>
  </si>
  <si>
    <t>KV Tilburg</t>
  </si>
  <si>
    <t>E2T</t>
  </si>
  <si>
    <t xml:space="preserve">ACKC E4 </t>
  </si>
  <si>
    <t xml:space="preserve"> Albatros E6</t>
  </si>
  <si>
    <t>1bK24</t>
  </si>
  <si>
    <t>E2A</t>
  </si>
  <si>
    <t xml:space="preserve">DeetosSnel E3 </t>
  </si>
  <si>
    <t xml:space="preserve"> Albatros E3</t>
  </si>
  <si>
    <t>E1N</t>
  </si>
  <si>
    <t xml:space="preserve">Oranje Wit (D) E3 </t>
  </si>
  <si>
    <t xml:space="preserve"> Albatros E4</t>
  </si>
  <si>
    <t>2cK40</t>
  </si>
  <si>
    <t>E2C</t>
  </si>
  <si>
    <t xml:space="preserve">Sporting Delta E4 </t>
  </si>
  <si>
    <t xml:space="preserve"> Albatros E5</t>
  </si>
  <si>
    <t>1b1K40</t>
  </si>
  <si>
    <t>C5D</t>
  </si>
  <si>
    <t xml:space="preserve">PKC/SWKGroep C7 </t>
  </si>
  <si>
    <t xml:space="preserve"> Albatros C3</t>
  </si>
  <si>
    <t>C3I</t>
  </si>
  <si>
    <t xml:space="preserve">PKC/SWKGroep C4 </t>
  </si>
  <si>
    <t xml:space="preserve"> Albatros C2</t>
  </si>
  <si>
    <t>B4D</t>
  </si>
  <si>
    <t xml:space="preserve">PKC/SWKGroep B5 </t>
  </si>
  <si>
    <t xml:space="preserve"> Albatros B3</t>
  </si>
  <si>
    <t>B3F</t>
  </si>
  <si>
    <t xml:space="preserve">Merwede B3 </t>
  </si>
  <si>
    <t xml:space="preserve"> Albatros B2</t>
  </si>
  <si>
    <t>A5G</t>
  </si>
  <si>
    <t xml:space="preserve">PKC/SWKGroep A6 </t>
  </si>
  <si>
    <t xml:space="preserve"> Albatros A4</t>
  </si>
  <si>
    <t>R3S</t>
  </si>
  <si>
    <t xml:space="preserve">WION 4 </t>
  </si>
  <si>
    <t xml:space="preserve"> Albatros 4</t>
  </si>
  <si>
    <t>Sportcomplex Max Planckplaats</t>
  </si>
  <si>
    <t>2aK60</t>
  </si>
  <si>
    <t>R2O</t>
  </si>
  <si>
    <t xml:space="preserve">WION 2 </t>
  </si>
  <si>
    <t xml:space="preserve"> Albatros 3</t>
  </si>
  <si>
    <t>MWA</t>
  </si>
  <si>
    <t>wo</t>
  </si>
  <si>
    <t xml:space="preserve">Albatros MW1 </t>
  </si>
  <si>
    <t xml:space="preserve"> Gemini MW1</t>
  </si>
  <si>
    <t xml:space="preserve">Albatros D2 </t>
  </si>
  <si>
    <t xml:space="preserve"> Tilburg D1</t>
  </si>
  <si>
    <t>3bK40</t>
  </si>
  <si>
    <t xml:space="preserve">Albatros 4 </t>
  </si>
  <si>
    <t xml:space="preserve"> Fortis 3</t>
  </si>
  <si>
    <t xml:space="preserve">Albatros 3 </t>
  </si>
  <si>
    <t xml:space="preserve"> ONDO (M) 2</t>
  </si>
  <si>
    <t xml:space="preserve">ZKV (Zu) B1 </t>
  </si>
  <si>
    <t xml:space="preserve"> Albatros B5</t>
  </si>
  <si>
    <t>Sportcomplex Groot Nibbeland</t>
  </si>
  <si>
    <t>1G (G)</t>
  </si>
  <si>
    <t xml:space="preserve">GKV/Enomics A1 </t>
  </si>
  <si>
    <t xml:space="preserve"> Albatros A1</t>
  </si>
  <si>
    <t xml:space="preserve">Blauw Wit (K) A1 </t>
  </si>
  <si>
    <t xml:space="preserve"> Albatros A2</t>
  </si>
  <si>
    <t>Sportterrein De Weitjes</t>
  </si>
  <si>
    <t xml:space="preserve">Excelsior (D) 2 </t>
  </si>
  <si>
    <t xml:space="preserve"> Albatros 2</t>
  </si>
  <si>
    <t>Sportpark Biesland</t>
  </si>
  <si>
    <t>1K40 (exc)</t>
  </si>
  <si>
    <t xml:space="preserve">Excelsior (D) 1 </t>
  </si>
  <si>
    <t xml:space="preserve"> Albatros 1</t>
  </si>
  <si>
    <t xml:space="preserve">DeetosSnel MW1 </t>
  </si>
  <si>
    <t xml:space="preserve"> Albatros MW1</t>
  </si>
  <si>
    <t xml:space="preserve">Albatros C1 </t>
  </si>
  <si>
    <t xml:space="preserve"> SDO (V) C1</t>
  </si>
  <si>
    <t xml:space="preserve">Albatros D1 </t>
  </si>
  <si>
    <t xml:space="preserve"> IJsselvogels D1</t>
  </si>
  <si>
    <t xml:space="preserve">Albatros B1 </t>
  </si>
  <si>
    <t xml:space="preserve"> Oranje Wit (D) B2</t>
  </si>
  <si>
    <t xml:space="preserve">Albatros 8 </t>
  </si>
  <si>
    <t xml:space="preserve"> Eureka 3</t>
  </si>
  <si>
    <t xml:space="preserve">Albatros 5 </t>
  </si>
  <si>
    <t xml:space="preserve"> Trekvogels 1</t>
  </si>
  <si>
    <t xml:space="preserve">Albatros F4 </t>
  </si>
  <si>
    <t xml:space="preserve"> Oranje Wit (D) F4</t>
  </si>
  <si>
    <t>Korfbalmasterz</t>
  </si>
  <si>
    <t xml:space="preserve">Albatros F6 </t>
  </si>
  <si>
    <t xml:space="preserve"> Oranje Zwart/De Hoekse F2</t>
  </si>
  <si>
    <t xml:space="preserve">Albatros F1 </t>
  </si>
  <si>
    <t xml:space="preserve"> Vitesse (Ba) F1</t>
  </si>
  <si>
    <t xml:space="preserve">Albatros D4 </t>
  </si>
  <si>
    <t xml:space="preserve"> Conventus D1</t>
  </si>
  <si>
    <t xml:space="preserve">Albatros D3 </t>
  </si>
  <si>
    <t xml:space="preserve"> Oranje Wit (D) D3</t>
  </si>
  <si>
    <t xml:space="preserve">Albatros E6 </t>
  </si>
  <si>
    <t xml:space="preserve"> PKC/SWKGroep E7</t>
  </si>
  <si>
    <t xml:space="preserve">Albatros E5 </t>
  </si>
  <si>
    <t xml:space="preserve"> PKC/SWKGroep E4</t>
  </si>
  <si>
    <t xml:space="preserve">Albatros E4 </t>
  </si>
  <si>
    <t xml:space="preserve"> HKC (Ha) E3</t>
  </si>
  <si>
    <t xml:space="preserve">Albatros E3 </t>
  </si>
  <si>
    <t xml:space="preserve"> HKC (Ha) E2</t>
  </si>
  <si>
    <t xml:space="preserve">Albatros C3 </t>
  </si>
  <si>
    <t xml:space="preserve"> ACKC C3</t>
  </si>
  <si>
    <t xml:space="preserve">Albatros C2 </t>
  </si>
  <si>
    <t xml:space="preserve"> SKV C1</t>
  </si>
  <si>
    <t xml:space="preserve">Albatros B3 </t>
  </si>
  <si>
    <t xml:space="preserve"> Vriendenschaar (H) B2</t>
  </si>
  <si>
    <t xml:space="preserve">Albatros B2 </t>
  </si>
  <si>
    <t xml:space="preserve"> GKV/Enomics B1</t>
  </si>
  <si>
    <t xml:space="preserve">Albatros A4 </t>
  </si>
  <si>
    <t xml:space="preserve"> VIOS (W) A1</t>
  </si>
  <si>
    <t xml:space="preserve"> Fortis A1</t>
  </si>
  <si>
    <t xml:space="preserve"> Juliana A1</t>
  </si>
  <si>
    <t xml:space="preserve"> Fortis 2</t>
  </si>
  <si>
    <t xml:space="preserve"> Fortis 1</t>
  </si>
  <si>
    <t xml:space="preserve">Voltreffers 2 </t>
  </si>
  <si>
    <t xml:space="preserve"> Albatros 6</t>
  </si>
  <si>
    <t>Sportcomplex Paterserf</t>
  </si>
  <si>
    <t xml:space="preserve">Merwede 5 </t>
  </si>
  <si>
    <t xml:space="preserve"> Albatros 7</t>
  </si>
  <si>
    <t xml:space="preserve">Vitesse (Ba) 5 </t>
  </si>
  <si>
    <t xml:space="preserve"> Albatros 9</t>
  </si>
  <si>
    <t xml:space="preserve">Merwede F5 </t>
  </si>
  <si>
    <t xml:space="preserve"> Albatros F5</t>
  </si>
  <si>
    <t xml:space="preserve">Vriendenschaar (H) F2 </t>
  </si>
  <si>
    <t xml:space="preserve"> Albatros F2</t>
  </si>
  <si>
    <t xml:space="preserve">PKC/SWKGroep F5 </t>
  </si>
  <si>
    <t xml:space="preserve"> Albatros F3</t>
  </si>
  <si>
    <t>5K24</t>
  </si>
  <si>
    <t xml:space="preserve">PKC/SWKGroep E10 </t>
  </si>
  <si>
    <t xml:space="preserve"> Albatros E8</t>
  </si>
  <si>
    <t>7K24</t>
  </si>
  <si>
    <t xml:space="preserve">Kinderdijk E1 </t>
  </si>
  <si>
    <t xml:space="preserve"> Albatros E2</t>
  </si>
  <si>
    <t xml:space="preserve">GKV/Enomics E5 </t>
  </si>
  <si>
    <t xml:space="preserve"> Albatros E7</t>
  </si>
  <si>
    <t xml:space="preserve">GKV/Enomics E1 </t>
  </si>
  <si>
    <t xml:space="preserve"> Albatros E1</t>
  </si>
  <si>
    <t xml:space="preserve">Sporting Delta B4 </t>
  </si>
  <si>
    <t xml:space="preserve"> Albatros B4</t>
  </si>
  <si>
    <t xml:space="preserve">Merwede A3 </t>
  </si>
  <si>
    <t xml:space="preserve"> Albatros A3</t>
  </si>
  <si>
    <t xml:space="preserve">ONDO (M) 3 </t>
  </si>
  <si>
    <t xml:space="preserve">Tjoba 3 </t>
  </si>
  <si>
    <t xml:space="preserve">Sporting Delta MW1 </t>
  </si>
  <si>
    <t xml:space="preserve"> PKC/SWKGroep C2</t>
  </si>
  <si>
    <t xml:space="preserve"> KVS/Maritiem D1</t>
  </si>
  <si>
    <t xml:space="preserve"> NIO 3</t>
  </si>
  <si>
    <t xml:space="preserve"> PKC/SWKGroep 7</t>
  </si>
  <si>
    <t xml:space="preserve"> Kinderdijk F3</t>
  </si>
  <si>
    <t xml:space="preserve"> Juliana F5</t>
  </si>
  <si>
    <t xml:space="preserve"> DeetosSnel F3</t>
  </si>
  <si>
    <t xml:space="preserve"> Sporting Delta F1</t>
  </si>
  <si>
    <t>Jasmijn Goud</t>
  </si>
  <si>
    <t xml:space="preserve"> DeetosSnel D2</t>
  </si>
  <si>
    <t xml:space="preserve"> GKV/Enomics E4</t>
  </si>
  <si>
    <t xml:space="preserve"> Kinderdijk E5</t>
  </si>
  <si>
    <t xml:space="preserve"> Merwede E3</t>
  </si>
  <si>
    <t xml:space="preserve"> PKC/SWKGroep E2</t>
  </si>
  <si>
    <t xml:space="preserve"> Kinderdijk B3</t>
  </si>
  <si>
    <t xml:space="preserve"> NIO A1</t>
  </si>
  <si>
    <t xml:space="preserve"> DSO (K) 3</t>
  </si>
  <si>
    <t xml:space="preserve"> Weidevogels 2</t>
  </si>
  <si>
    <t xml:space="preserve">DeetosSnel B2 </t>
  </si>
  <si>
    <t xml:space="preserve">DeetosSnel 5 </t>
  </si>
  <si>
    <t xml:space="preserve">RWA 7 </t>
  </si>
  <si>
    <t xml:space="preserve">ACKC 4 </t>
  </si>
  <si>
    <t>G2</t>
  </si>
  <si>
    <t xml:space="preserve">Albatros G1 </t>
  </si>
  <si>
    <t xml:space="preserve"> Velocitas G1</t>
  </si>
  <si>
    <t>Sportveld Ellemare</t>
  </si>
  <si>
    <t xml:space="preserve">Nikantes G1 </t>
  </si>
  <si>
    <t xml:space="preserve"> Albatros G1</t>
  </si>
  <si>
    <t xml:space="preserve">Keep Fit '70 F1 </t>
  </si>
  <si>
    <t xml:space="preserve">PKC/SWKGroep F2 </t>
  </si>
  <si>
    <t xml:space="preserve">DeetosSnel D4 </t>
  </si>
  <si>
    <t xml:space="preserve">Ventura Sport D1 </t>
  </si>
  <si>
    <t>Sportcomplex Sportlaan</t>
  </si>
  <si>
    <t xml:space="preserve">SKV E2 </t>
  </si>
  <si>
    <t xml:space="preserve">Vriendenschaar (H) E3 </t>
  </si>
  <si>
    <t xml:space="preserve">Vriendenschaar (H) E2 </t>
  </si>
  <si>
    <t xml:space="preserve">GKV/Enomics E2 </t>
  </si>
  <si>
    <t xml:space="preserve">ACKC C2 </t>
  </si>
  <si>
    <t xml:space="preserve">GKV/Enomics C3 </t>
  </si>
  <si>
    <t xml:space="preserve">ADO B1 </t>
  </si>
  <si>
    <t xml:space="preserve">HKC (Ha) B2 </t>
  </si>
  <si>
    <t xml:space="preserve">GKV/Enomics B2 </t>
  </si>
  <si>
    <t xml:space="preserve">SKV A1 </t>
  </si>
  <si>
    <t xml:space="preserve">ADO A1 </t>
  </si>
  <si>
    <t xml:space="preserve">Sporting Delta A1 </t>
  </si>
  <si>
    <t xml:space="preserve">Valto 2 </t>
  </si>
  <si>
    <t>Sportpark De Zwet</t>
  </si>
  <si>
    <t xml:space="preserve">Valto 1 </t>
  </si>
  <si>
    <t xml:space="preserve"> Oranje Wit (D) MW1</t>
  </si>
  <si>
    <t xml:space="preserve"> DeetosSnel B2</t>
  </si>
  <si>
    <t xml:space="preserve"> ACKC 4</t>
  </si>
  <si>
    <t xml:space="preserve"> RWA 7</t>
  </si>
  <si>
    <t xml:space="preserve"> DeetosSnel 5</t>
  </si>
  <si>
    <t xml:space="preserve"> Keep Fit '70 F1</t>
  </si>
  <si>
    <t xml:space="preserve"> PKC/SWKGroep F2</t>
  </si>
  <si>
    <t xml:space="preserve"> Ventura Sport D1</t>
  </si>
  <si>
    <t>Jens de Kruijter</t>
  </si>
  <si>
    <t xml:space="preserve"> DeetosSnel D4</t>
  </si>
  <si>
    <t xml:space="preserve"> SKV E2</t>
  </si>
  <si>
    <t xml:space="preserve"> Vriendenschaar (H) E3</t>
  </si>
  <si>
    <t xml:space="preserve"> GKV/Enomics E2</t>
  </si>
  <si>
    <t xml:space="preserve"> Vriendenschaar (H) E2</t>
  </si>
  <si>
    <t xml:space="preserve"> GKV/Enomics C3</t>
  </si>
  <si>
    <t xml:space="preserve"> ACKC C2</t>
  </si>
  <si>
    <t xml:space="preserve"> GKV/Enomics B2</t>
  </si>
  <si>
    <t>Mark Buitendijk</t>
  </si>
  <si>
    <t xml:space="preserve"> HKC (Ha) B2</t>
  </si>
  <si>
    <t xml:space="preserve"> ADO B1</t>
  </si>
  <si>
    <t>Matthijs van Joolingen</t>
  </si>
  <si>
    <t xml:space="preserve"> SKV A1</t>
  </si>
  <si>
    <t xml:space="preserve"> PKC/SWKGroep A2</t>
  </si>
  <si>
    <t xml:space="preserve"> TOGO A1</t>
  </si>
  <si>
    <t xml:space="preserve"> PKC/SWKGroep 4</t>
  </si>
  <si>
    <t xml:space="preserve"> WION 1</t>
  </si>
  <si>
    <t xml:space="preserve">PKC/SWKGroep C2 </t>
  </si>
  <si>
    <t xml:space="preserve">KVS/Maritiem D1 </t>
  </si>
  <si>
    <t>Cas van Dijkpark</t>
  </si>
  <si>
    <t xml:space="preserve">PKC/SWKGroep 7 </t>
  </si>
  <si>
    <t xml:space="preserve">NIO 3 </t>
  </si>
  <si>
    <t>Sportveld Abeelweg</t>
  </si>
  <si>
    <t xml:space="preserve">Juliana F5 </t>
  </si>
  <si>
    <t>Gem. sportpark</t>
  </si>
  <si>
    <t xml:space="preserve">Kinderdijk F3 </t>
  </si>
  <si>
    <t xml:space="preserve">Sporting Delta F1 </t>
  </si>
  <si>
    <t xml:space="preserve">DeetosSnel F3 </t>
  </si>
  <si>
    <t xml:space="preserve">DeetosSnel D2 </t>
  </si>
  <si>
    <t xml:space="preserve">Kinderdijk E5 </t>
  </si>
  <si>
    <t>3G (G)</t>
  </si>
  <si>
    <t xml:space="preserve">Merwede E3 </t>
  </si>
  <si>
    <t xml:space="preserve">PKC/SWKGroep E2 </t>
  </si>
  <si>
    <t>6K24</t>
  </si>
  <si>
    <t xml:space="preserve">GKV/Enomics E4 </t>
  </si>
  <si>
    <t xml:space="preserve">Kinderdijk B3 </t>
  </si>
  <si>
    <t>2G (G)</t>
  </si>
  <si>
    <t xml:space="preserve">NIO A1 </t>
  </si>
  <si>
    <t xml:space="preserve">PKC/SWKGroep 6 </t>
  </si>
  <si>
    <t xml:space="preserve">Vitesse (Ba) 2 </t>
  </si>
  <si>
    <t xml:space="preserve"> Korbatjo MW1</t>
  </si>
  <si>
    <t xml:space="preserve"> Vitesse (Ba) 5</t>
  </si>
  <si>
    <t xml:space="preserve"> Merwede 5</t>
  </si>
  <si>
    <t xml:space="preserve"> Voltreffers 2</t>
  </si>
  <si>
    <t xml:space="preserve"> Merwede F5</t>
  </si>
  <si>
    <t xml:space="preserve"> PKC/SWKGroep F5</t>
  </si>
  <si>
    <t xml:space="preserve"> Vriendenschaar (H) F2</t>
  </si>
  <si>
    <t xml:space="preserve"> PKC/SWKGroep E10</t>
  </si>
  <si>
    <t xml:space="preserve"> GKV/Enomics E5</t>
  </si>
  <si>
    <t xml:space="preserve"> Kinderdijk E1</t>
  </si>
  <si>
    <t xml:space="preserve"> GKV/Enomics E1</t>
  </si>
  <si>
    <t xml:space="preserve"> ZKV (Zu) B1</t>
  </si>
  <si>
    <t xml:space="preserve"> Sporting Delta B4</t>
  </si>
  <si>
    <t xml:space="preserve"> Merwede A3</t>
  </si>
  <si>
    <t xml:space="preserve"> RWA 3</t>
  </si>
  <si>
    <t xml:space="preserve">SDO (V) C1 </t>
  </si>
  <si>
    <t>Rapportstraat</t>
  </si>
  <si>
    <t>1cK40</t>
  </si>
  <si>
    <t xml:space="preserve">IJsselvogels D1 </t>
  </si>
  <si>
    <t>Sportlaan Moordrecht</t>
  </si>
  <si>
    <t xml:space="preserve">Oranje Wit (D) B2 </t>
  </si>
  <si>
    <t xml:space="preserve">Trekvogels 1 </t>
  </si>
  <si>
    <t xml:space="preserve">Eureka 3 </t>
  </si>
  <si>
    <t>Sportveld Koninginneweg</t>
  </si>
  <si>
    <t xml:space="preserve">Oranje Wit (D) F4 </t>
  </si>
  <si>
    <t xml:space="preserve">Vitesse (Ba) F1 </t>
  </si>
  <si>
    <t xml:space="preserve">Oranje Zwart/De Hoekse F2 </t>
  </si>
  <si>
    <t>Sportveld Munnikendijk</t>
  </si>
  <si>
    <t xml:space="preserve">Conventus D1 </t>
  </si>
  <si>
    <t xml:space="preserve">Oranje Wit (D) D3 </t>
  </si>
  <si>
    <t xml:space="preserve">De Korfrakkers D1 </t>
  </si>
  <si>
    <t>Watermolenweg</t>
  </si>
  <si>
    <t xml:space="preserve">PKC/SWKGroep E7 </t>
  </si>
  <si>
    <t xml:space="preserve">PKC/SWKGroep E4 </t>
  </si>
  <si>
    <t xml:space="preserve">HKC (Ha) E3 </t>
  </si>
  <si>
    <t xml:space="preserve">HKC (Ha) E2 </t>
  </si>
  <si>
    <t xml:space="preserve">SKV C1 </t>
  </si>
  <si>
    <t xml:space="preserve">ACKC C3 </t>
  </si>
  <si>
    <t xml:space="preserve">Vriendenschaar (H) B2 </t>
  </si>
  <si>
    <t xml:space="preserve">GKV/Enomics B1 </t>
  </si>
  <si>
    <t xml:space="preserve">VIOS (W) A1 </t>
  </si>
  <si>
    <t>Sportpark De Vier Heulen</t>
  </si>
  <si>
    <t xml:space="preserve">Tjoba A1 </t>
  </si>
  <si>
    <t xml:space="preserve">Tilburg A1 </t>
  </si>
  <si>
    <t xml:space="preserve">Tilburg 2 </t>
  </si>
  <si>
    <t xml:space="preserve">Tilburg 1 </t>
  </si>
  <si>
    <t xml:space="preserve"> HKC (Ha) C1</t>
  </si>
  <si>
    <t xml:space="preserve"> Vitesse (Ba) D1</t>
  </si>
  <si>
    <t xml:space="preserve"> TOP (A) B1</t>
  </si>
  <si>
    <t xml:space="preserve"> Merwede 7</t>
  </si>
  <si>
    <t xml:space="preserve"> Keep Fit '70 3</t>
  </si>
  <si>
    <t xml:space="preserve"> Keep Fit '70 F2</t>
  </si>
  <si>
    <t xml:space="preserve"> Conventus F2</t>
  </si>
  <si>
    <t xml:space="preserve"> Kinderdijk F1</t>
  </si>
  <si>
    <t xml:space="preserve"> Merwede D4</t>
  </si>
  <si>
    <t xml:space="preserve"> PKC/SWKGroep D4</t>
  </si>
  <si>
    <t xml:space="preserve"> De Korfrakkers D1</t>
  </si>
  <si>
    <t xml:space="preserve"> ACKC E4</t>
  </si>
  <si>
    <t xml:space="preserve"> Sporting Delta E4</t>
  </si>
  <si>
    <t xml:space="preserve"> Oranje Wit (D) E3</t>
  </si>
  <si>
    <t xml:space="preserve"> DeetosSnel E3</t>
  </si>
  <si>
    <t xml:space="preserve"> PKC/SWKGroep C7</t>
  </si>
  <si>
    <t xml:space="preserve"> PKC/SWKGroep C4</t>
  </si>
  <si>
    <t xml:space="preserve"> PKC/SWKGroep B5</t>
  </si>
  <si>
    <t xml:space="preserve"> Merwede B3</t>
  </si>
  <si>
    <t xml:space="preserve"> PKC/SWKGroep A6</t>
  </si>
  <si>
    <t xml:space="preserve"> KCR A1</t>
  </si>
  <si>
    <t xml:space="preserve"> Luctor A1</t>
  </si>
  <si>
    <t xml:space="preserve"> Maassluis 3</t>
  </si>
  <si>
    <t xml:space="preserve"> ONDO (M) 1</t>
  </si>
  <si>
    <t xml:space="preserve">Vriendenschaar (H) 6 </t>
  </si>
  <si>
    <t xml:space="preserve">Erasmus 2 </t>
  </si>
  <si>
    <t>Sportcomplex J.A. Lebbinklaan</t>
  </si>
  <si>
    <t xml:space="preserve">GKV/Enomics 5 </t>
  </si>
  <si>
    <t xml:space="preserve"> Thor (R) G1</t>
  </si>
  <si>
    <t>Sportpark Zoeterwoudsesingel</t>
  </si>
  <si>
    <t xml:space="preserve">Velocitas G1 </t>
  </si>
  <si>
    <t xml:space="preserve">RWA F1 </t>
  </si>
  <si>
    <t>3b2K24</t>
  </si>
  <si>
    <t xml:space="preserve">ACKC F2 </t>
  </si>
  <si>
    <t xml:space="preserve">Sporting Delta F2 </t>
  </si>
  <si>
    <t xml:space="preserve">PKC/SWKGroep E9 </t>
  </si>
  <si>
    <t xml:space="preserve">Vriendenschaar (H) E4 </t>
  </si>
  <si>
    <t xml:space="preserve">Nieuwerkerk E2 </t>
  </si>
  <si>
    <t>2bK24</t>
  </si>
  <si>
    <t xml:space="preserve">DeetosSnel E1 </t>
  </si>
  <si>
    <t xml:space="preserve">Merwede B4 </t>
  </si>
  <si>
    <t xml:space="preserve">PKC/SWKGroep B7 </t>
  </si>
  <si>
    <t xml:space="preserve">Vriendenschaar (H) A3 </t>
  </si>
  <si>
    <t xml:space="preserve">Merwede 4 </t>
  </si>
  <si>
    <t xml:space="preserve">DES (D) 4 </t>
  </si>
  <si>
    <t>3K40 (des)</t>
  </si>
  <si>
    <t xml:space="preserve">Merwede MW2 </t>
  </si>
  <si>
    <t>B-059</t>
  </si>
  <si>
    <t>Veld 1</t>
  </si>
  <si>
    <t>E-054</t>
  </si>
  <si>
    <t xml:space="preserve">WION E1 </t>
  </si>
  <si>
    <t>4korfbal</t>
  </si>
  <si>
    <t>R3V</t>
  </si>
  <si>
    <t xml:space="preserve">Vriendenschaar (H) 3 </t>
  </si>
  <si>
    <t>R1E</t>
  </si>
  <si>
    <t xml:space="preserve">Vriendenschaar (H) 2 </t>
  </si>
  <si>
    <t xml:space="preserve">Vriendenschaar (H) 1 </t>
  </si>
  <si>
    <t>F-041</t>
  </si>
  <si>
    <t xml:space="preserve">Vriendenschaar (H) F3 </t>
  </si>
  <si>
    <t>F-002</t>
  </si>
  <si>
    <t xml:space="preserve">Vriendenschaar (H) F1 </t>
  </si>
  <si>
    <t>E-062</t>
  </si>
  <si>
    <t xml:space="preserve">Vriendenschaar (H) E5 </t>
  </si>
  <si>
    <t>E-026</t>
  </si>
  <si>
    <t>Appelgaard</t>
  </si>
  <si>
    <t>E-034</t>
  </si>
  <si>
    <t>D-037</t>
  </si>
  <si>
    <t xml:space="preserve">Vriendenschaar (H) D3 </t>
  </si>
  <si>
    <t>DHKE</t>
  </si>
  <si>
    <t xml:space="preserve">Vriendenschaar (H) D1 </t>
  </si>
  <si>
    <t>D-054</t>
  </si>
  <si>
    <t xml:space="preserve">Vriendenschaar (B) D2 </t>
  </si>
  <si>
    <t xml:space="preserve">Voltreffers F1 </t>
  </si>
  <si>
    <t xml:space="preserve">Vitesse (Ba) 3 </t>
  </si>
  <si>
    <t>G-002</t>
  </si>
  <si>
    <t xml:space="preserve">Vitesse (Ba) G1 </t>
  </si>
  <si>
    <t>E-018</t>
  </si>
  <si>
    <t xml:space="preserve">Vitesse (Ba) E3 </t>
  </si>
  <si>
    <t>C-012</t>
  </si>
  <si>
    <t xml:space="preserve">Vitesse (Ba) C3 </t>
  </si>
  <si>
    <t>C-002</t>
  </si>
  <si>
    <t xml:space="preserve">Vitesse (Ba) C2 </t>
  </si>
  <si>
    <t>C1G</t>
  </si>
  <si>
    <t xml:space="preserve">Vitesse (Ba) C1 </t>
  </si>
  <si>
    <t>B1G</t>
  </si>
  <si>
    <t xml:space="preserve">Vitesse (Ba) B1 </t>
  </si>
  <si>
    <t>S-045</t>
  </si>
  <si>
    <t xml:space="preserve">VIOS (W) 3 </t>
  </si>
  <si>
    <t>B-027</t>
  </si>
  <si>
    <t xml:space="preserve">VIOS (W) B1 </t>
  </si>
  <si>
    <t xml:space="preserve">VEO 6 </t>
  </si>
  <si>
    <t>Essesteyn</t>
  </si>
  <si>
    <t xml:space="preserve">VEO 2 </t>
  </si>
  <si>
    <t xml:space="preserve">VEO 1 </t>
  </si>
  <si>
    <t>S-016</t>
  </si>
  <si>
    <t xml:space="preserve">Ventura Sport 3 </t>
  </si>
  <si>
    <t xml:space="preserve">Ventura Sport F2 </t>
  </si>
  <si>
    <t>A-042</t>
  </si>
  <si>
    <t xml:space="preserve">Ventura Sport A3 </t>
  </si>
  <si>
    <t>Drie Oktoberhal</t>
  </si>
  <si>
    <t>veld 1</t>
  </si>
  <si>
    <t>Vreeloo</t>
  </si>
  <si>
    <t>Hal 1</t>
  </si>
  <si>
    <t>AOKC</t>
  </si>
  <si>
    <t xml:space="preserve">Valto A1 </t>
  </si>
  <si>
    <t xml:space="preserve">Twist 4 </t>
  </si>
  <si>
    <t>Hal 2</t>
  </si>
  <si>
    <t>E-074</t>
  </si>
  <si>
    <t xml:space="preserve">Twist E3 </t>
  </si>
  <si>
    <t>A-019</t>
  </si>
  <si>
    <t xml:space="preserve">Twist A2 </t>
  </si>
  <si>
    <t xml:space="preserve">Twist A1 </t>
  </si>
  <si>
    <t>S-033</t>
  </si>
  <si>
    <t xml:space="preserve">Triade 4 </t>
  </si>
  <si>
    <t xml:space="preserve">Triade 3 </t>
  </si>
  <si>
    <t>F-036</t>
  </si>
  <si>
    <t xml:space="preserve">Triade F1 </t>
  </si>
  <si>
    <t>C-024</t>
  </si>
  <si>
    <t xml:space="preserve">Triade C1 </t>
  </si>
  <si>
    <t xml:space="preserve"> Albatros C4</t>
  </si>
  <si>
    <t xml:space="preserve">TOP (A) C1 </t>
  </si>
  <si>
    <t xml:space="preserve">Tjoba 2 </t>
  </si>
  <si>
    <t xml:space="preserve">Tjoba 1 </t>
  </si>
  <si>
    <t xml:space="preserve">Tilburg C1 </t>
  </si>
  <si>
    <t>Westerwel</t>
  </si>
  <si>
    <t xml:space="preserve">Ten Donck E1 </t>
  </si>
  <si>
    <t xml:space="preserve">Tempo A1 </t>
  </si>
  <si>
    <t>Limeshallen</t>
  </si>
  <si>
    <t>Hal 2 (rechts)</t>
  </si>
  <si>
    <t xml:space="preserve">t Capproen C1 </t>
  </si>
  <si>
    <t xml:space="preserve">t Capproen B2 </t>
  </si>
  <si>
    <t>De Morgenstont</t>
  </si>
  <si>
    <t xml:space="preserve">Sporting Trigon G1 </t>
  </si>
  <si>
    <t>De Does</t>
  </si>
  <si>
    <t xml:space="preserve">Sporting Delta E2 </t>
  </si>
  <si>
    <t xml:space="preserve">Sporting Delta D3 </t>
  </si>
  <si>
    <t xml:space="preserve">Sporting Delta C1 </t>
  </si>
  <si>
    <t xml:space="preserve">Sporting Delta A4 </t>
  </si>
  <si>
    <t xml:space="preserve">Sporting Delta A2 </t>
  </si>
  <si>
    <t xml:space="preserve">Sperwers E1 </t>
  </si>
  <si>
    <t>Wielewaal</t>
  </si>
  <si>
    <t xml:space="preserve">SKV 2 </t>
  </si>
  <si>
    <t>Sportzaal De Bolderik</t>
  </si>
  <si>
    <t xml:space="preserve">SKV E1 </t>
  </si>
  <si>
    <t xml:space="preserve">SKV B1 </t>
  </si>
  <si>
    <t xml:space="preserve">RWA 6 </t>
  </si>
  <si>
    <t xml:space="preserve">RWA 4 </t>
  </si>
  <si>
    <t xml:space="preserve">RWA 1 </t>
  </si>
  <si>
    <t>C-051</t>
  </si>
  <si>
    <t xml:space="preserve">RWA C2 </t>
  </si>
  <si>
    <t xml:space="preserve"> Albatros C5</t>
  </si>
  <si>
    <t xml:space="preserve">RWA C1 </t>
  </si>
  <si>
    <t>R2K</t>
  </si>
  <si>
    <t xml:space="preserve">Rust Roest 3 </t>
  </si>
  <si>
    <t xml:space="preserve">Reeuwijk A1 </t>
  </si>
  <si>
    <t>De Meerkoet</t>
  </si>
  <si>
    <t xml:space="preserve">PKC/SWKGroep 5 </t>
  </si>
  <si>
    <t>Vrijdag Hal 1</t>
  </si>
  <si>
    <t>S-002</t>
  </si>
  <si>
    <t xml:space="preserve">PKC/SWKGroep 11 </t>
  </si>
  <si>
    <t xml:space="preserve">PKC/SWKGroep 10 </t>
  </si>
  <si>
    <t xml:space="preserve">PKC/SWKGroep F8 </t>
  </si>
  <si>
    <t>4korfbal 2</t>
  </si>
  <si>
    <t>F-052</t>
  </si>
  <si>
    <t xml:space="preserve">PKC/SWKGroep F4 </t>
  </si>
  <si>
    <t>4korfbal 1</t>
  </si>
  <si>
    <t>F-010</t>
  </si>
  <si>
    <t xml:space="preserve">PKC/SWKGroep F1 </t>
  </si>
  <si>
    <t xml:space="preserve">PKC/SWKGroep E8 </t>
  </si>
  <si>
    <t xml:space="preserve">PKC/SWKGroep E6 </t>
  </si>
  <si>
    <t xml:space="preserve">PKC/SWKGroep E5 </t>
  </si>
  <si>
    <t xml:space="preserve">PKC/SWKGroep E3 </t>
  </si>
  <si>
    <t>B-011</t>
  </si>
  <si>
    <t xml:space="preserve">PKC/SWKGroep B4 </t>
  </si>
  <si>
    <t xml:space="preserve">PKC/SWKGroep B2 </t>
  </si>
  <si>
    <t xml:space="preserve">PKC/SWKGroep A8 </t>
  </si>
  <si>
    <t xml:space="preserve">PKC/SWKGroep A2 </t>
  </si>
  <si>
    <t xml:space="preserve">Phoenix C2 </t>
  </si>
  <si>
    <t>Oosterpoort</t>
  </si>
  <si>
    <t>E-119</t>
  </si>
  <si>
    <t xml:space="preserve">OZC E3 </t>
  </si>
  <si>
    <t xml:space="preserve">OZC D1 </t>
  </si>
  <si>
    <t xml:space="preserve">OZC C1 </t>
  </si>
  <si>
    <t xml:space="preserve">OZC B2 </t>
  </si>
  <si>
    <t xml:space="preserve">OZC B1 </t>
  </si>
  <si>
    <t xml:space="preserve">Oranje Zwart/De Hoekse 2 </t>
  </si>
  <si>
    <t>Dorpshart</t>
  </si>
  <si>
    <t xml:space="preserve">Oranje Zwart/De Hoekse B1 </t>
  </si>
  <si>
    <t xml:space="preserve">Oranje Zwart/De Hoekse A1 </t>
  </si>
  <si>
    <t xml:space="preserve">Oranje Wit (D) 7 </t>
  </si>
  <si>
    <t xml:space="preserve">Oranje Wit (D) 6 </t>
  </si>
  <si>
    <t xml:space="preserve">Oranje Wit (D) 4 </t>
  </si>
  <si>
    <t xml:space="preserve">Oranje Wit (D) F3 </t>
  </si>
  <si>
    <t xml:space="preserve">Oranje Wit (D) F2 </t>
  </si>
  <si>
    <t xml:space="preserve">Oranje Wit (D) F1 </t>
  </si>
  <si>
    <t xml:space="preserve">Oranje Wit (D) E2 </t>
  </si>
  <si>
    <t>D-011</t>
  </si>
  <si>
    <t xml:space="preserve">Oranje Wit (D) D2 </t>
  </si>
  <si>
    <t xml:space="preserve">Oranje Wit (D) D1 </t>
  </si>
  <si>
    <t xml:space="preserve">Oranje Wit (D) C4 </t>
  </si>
  <si>
    <t xml:space="preserve">Oranje Wit (D) C2 </t>
  </si>
  <si>
    <t xml:space="preserve">Oranje Wit (D) B5 </t>
  </si>
  <si>
    <t>S-001</t>
  </si>
  <si>
    <t xml:space="preserve">ONDO (G) 5 </t>
  </si>
  <si>
    <t>Westlandhal</t>
  </si>
  <si>
    <t xml:space="preserve">ONDO (G) C2 </t>
  </si>
  <si>
    <t>De Hoekstee</t>
  </si>
  <si>
    <t xml:space="preserve">ONDO (G) B5 </t>
  </si>
  <si>
    <t xml:space="preserve">Olympia (S) E2 </t>
  </si>
  <si>
    <t xml:space="preserve">Olympia (S) C1 </t>
  </si>
  <si>
    <t xml:space="preserve">ODO E4 </t>
  </si>
  <si>
    <t>De Hofstede</t>
  </si>
  <si>
    <t xml:space="preserve">NKV D1 </t>
  </si>
  <si>
    <t>Meerrijk</t>
  </si>
  <si>
    <t xml:space="preserve">NIO E3 </t>
  </si>
  <si>
    <t xml:space="preserve">Nieuwerkerk 8 </t>
  </si>
  <si>
    <t xml:space="preserve">Nieuwerkerk 10 </t>
  </si>
  <si>
    <t xml:space="preserve">Nieuwerkerk F3 </t>
  </si>
  <si>
    <t xml:space="preserve">Nieuwerkerk E6 </t>
  </si>
  <si>
    <t xml:space="preserve">Nieuwerkerk D4 </t>
  </si>
  <si>
    <t xml:space="preserve">Nieuwerkerk B3 </t>
  </si>
  <si>
    <t xml:space="preserve">Nieuwerkerk A3 </t>
  </si>
  <si>
    <t xml:space="preserve">Nexus E2 </t>
  </si>
  <si>
    <t xml:space="preserve">Movado F2 </t>
  </si>
  <si>
    <t xml:space="preserve">Movado F1 </t>
  </si>
  <si>
    <t xml:space="preserve">Movado E1 </t>
  </si>
  <si>
    <t xml:space="preserve">Merwede/Multiplaat 7 </t>
  </si>
  <si>
    <t>Veld 1 vrijdag</t>
  </si>
  <si>
    <t xml:space="preserve">Merwede/Multiplaat 6 </t>
  </si>
  <si>
    <t xml:space="preserve">Merwede/Multiplaat 5 </t>
  </si>
  <si>
    <t xml:space="preserve">Merwede/Multiplaat 4 </t>
  </si>
  <si>
    <t xml:space="preserve">Merwede/Multiplaat F4 </t>
  </si>
  <si>
    <t xml:space="preserve">Merwede/Multiplaat F1 </t>
  </si>
  <si>
    <t xml:space="preserve">Merwede/Multiplaat E4 </t>
  </si>
  <si>
    <t xml:space="preserve">Merwede/Multiplaat E3 </t>
  </si>
  <si>
    <t xml:space="preserve">Merwede/Multiplaat E1 </t>
  </si>
  <si>
    <t xml:space="preserve">Merwede/Multiplaat D3 </t>
  </si>
  <si>
    <t xml:space="preserve">Merwede/Multiplaat C4 </t>
  </si>
  <si>
    <t xml:space="preserve">Maassluis 2 </t>
  </si>
  <si>
    <t xml:space="preserve">Maassluis C2 </t>
  </si>
  <si>
    <t xml:space="preserve">Maassluis A3 </t>
  </si>
  <si>
    <t xml:space="preserve">Korbis D3 </t>
  </si>
  <si>
    <t xml:space="preserve">Korbatjo 3 </t>
  </si>
  <si>
    <t xml:space="preserve">Korbatjo F1 </t>
  </si>
  <si>
    <t xml:space="preserve">Korbatjo A2 </t>
  </si>
  <si>
    <t xml:space="preserve">KOAG 5 </t>
  </si>
  <si>
    <t xml:space="preserve">KOAG G1 </t>
  </si>
  <si>
    <t>G-team</t>
  </si>
  <si>
    <t xml:space="preserve">KOAG B1 </t>
  </si>
  <si>
    <t xml:space="preserve">Kinderdijk 6 </t>
  </si>
  <si>
    <t xml:space="preserve">Kinderdijk 5 </t>
  </si>
  <si>
    <t xml:space="preserve">Kinderdijk F2 </t>
  </si>
  <si>
    <t xml:space="preserve">Kinderdijk E4 </t>
  </si>
  <si>
    <t xml:space="preserve">Kinderdijk E3 </t>
  </si>
  <si>
    <t xml:space="preserve">Kinderdijk D2 </t>
  </si>
  <si>
    <t xml:space="preserve">Kinderdijk C3 </t>
  </si>
  <si>
    <t xml:space="preserve">Kinderdijk B1 </t>
  </si>
  <si>
    <t xml:space="preserve">Kinderdijk A2 </t>
  </si>
  <si>
    <t xml:space="preserve">KCR 3 </t>
  </si>
  <si>
    <t xml:space="preserve">KCR E5 </t>
  </si>
  <si>
    <t xml:space="preserve">KCR E3 </t>
  </si>
  <si>
    <t xml:space="preserve">KCR D3 </t>
  </si>
  <si>
    <t xml:space="preserve">KCR D2 </t>
  </si>
  <si>
    <t xml:space="preserve">KCR B1 </t>
  </si>
  <si>
    <t xml:space="preserve">KCC/SO natural 7 </t>
  </si>
  <si>
    <t xml:space="preserve">KCC/SO natural 10 </t>
  </si>
  <si>
    <t xml:space="preserve">KCC/SO natural A3 </t>
  </si>
  <si>
    <t xml:space="preserve">KCC/SO natural A1 </t>
  </si>
  <si>
    <t xml:space="preserve">Juliana 1 </t>
  </si>
  <si>
    <t xml:space="preserve">IJsselvogels 2 </t>
  </si>
  <si>
    <t xml:space="preserve">HKC (Ha) 3 </t>
  </si>
  <si>
    <t xml:space="preserve">HKC (Ha) F3 </t>
  </si>
  <si>
    <t xml:space="preserve">HKC (Ha) E5 </t>
  </si>
  <si>
    <t xml:space="preserve">HKC (Ha) E4 </t>
  </si>
  <si>
    <t xml:space="preserve">HKC (Ha) D1 </t>
  </si>
  <si>
    <t xml:space="preserve">HKC (Ha) C2 </t>
  </si>
  <si>
    <t xml:space="preserve">HKC (Ha) A3 </t>
  </si>
  <si>
    <t xml:space="preserve">Good Luck B1 </t>
  </si>
  <si>
    <t>De Staver</t>
  </si>
  <si>
    <t xml:space="preserve">GKV/Enomics 3 </t>
  </si>
  <si>
    <t xml:space="preserve">GKV/Enomics F3 </t>
  </si>
  <si>
    <t xml:space="preserve">GKV/Enomics F2 </t>
  </si>
  <si>
    <t xml:space="preserve">GKV/Enomics F1 </t>
  </si>
  <si>
    <t xml:space="preserve">GKV/Enomics E3 </t>
  </si>
  <si>
    <t xml:space="preserve">GKV/Enomics D2 </t>
  </si>
  <si>
    <t xml:space="preserve">GKV/Enomics D1 </t>
  </si>
  <si>
    <t xml:space="preserve">Fortuna/Delta Logistiek E8 </t>
  </si>
  <si>
    <t>Fortuna-hal</t>
  </si>
  <si>
    <t xml:space="preserve">Fortuna/Delta Logistiek C4 </t>
  </si>
  <si>
    <t xml:space="preserve">Fortuna/Delta Logistiek C3 </t>
  </si>
  <si>
    <t xml:space="preserve">Fortuna/Delta Logistiek A2 </t>
  </si>
  <si>
    <t xml:space="preserve">Fortis 3 </t>
  </si>
  <si>
    <t xml:space="preserve">Fortis 2 </t>
  </si>
  <si>
    <t xml:space="preserve">Fortis 1 </t>
  </si>
  <si>
    <t xml:space="preserve">Fortis C1 </t>
  </si>
  <si>
    <t xml:space="preserve">Focus B1 </t>
  </si>
  <si>
    <t xml:space="preserve">Feijenoord D1 </t>
  </si>
  <si>
    <t>Nieuwe Persoonshal</t>
  </si>
  <si>
    <t xml:space="preserve">Excelsior (D) C1 </t>
  </si>
  <si>
    <t>De Buitenhof</t>
  </si>
  <si>
    <t xml:space="preserve">Eureka A1 </t>
  </si>
  <si>
    <t xml:space="preserve">Erasmus 3 </t>
  </si>
  <si>
    <t>Erasmus</t>
  </si>
  <si>
    <t xml:space="preserve">DVS '69 F1 </t>
  </si>
  <si>
    <t xml:space="preserve">DVS '69 E3 </t>
  </si>
  <si>
    <t xml:space="preserve">DVS '69 C1 </t>
  </si>
  <si>
    <t xml:space="preserve">DVS '69 A1 </t>
  </si>
  <si>
    <t xml:space="preserve">DVO/Accountor G1 </t>
  </si>
  <si>
    <t xml:space="preserve">DSO (K) 3 </t>
  </si>
  <si>
    <t xml:space="preserve">DSO (K) D2 </t>
  </si>
  <si>
    <t xml:space="preserve">DSO (K) B1 </t>
  </si>
  <si>
    <t xml:space="preserve">DSC D1 </t>
  </si>
  <si>
    <t xml:space="preserve">Dijkvogels C2 </t>
  </si>
  <si>
    <t xml:space="preserve">Dijkvogels A3 </t>
  </si>
  <si>
    <t xml:space="preserve">Die Haghe A1 </t>
  </si>
  <si>
    <t>Sportcampus Zuiderpark</t>
  </si>
  <si>
    <t>Breedtehal A</t>
  </si>
  <si>
    <t xml:space="preserve">DES (D) C2 </t>
  </si>
  <si>
    <t>De Hoornbloem</t>
  </si>
  <si>
    <t xml:space="preserve">DeetosSnel 6 </t>
  </si>
  <si>
    <t xml:space="preserve">DeetosSnel F2 </t>
  </si>
  <si>
    <t xml:space="preserve">DeetosSnel D1 </t>
  </si>
  <si>
    <t xml:space="preserve">DeetosSnel B3 </t>
  </si>
  <si>
    <t xml:space="preserve">Conventus B3 </t>
  </si>
  <si>
    <t xml:space="preserve">Conventus B1 </t>
  </si>
  <si>
    <t xml:space="preserve">Avanti (P) 6 </t>
  </si>
  <si>
    <t>De Viergang</t>
  </si>
  <si>
    <t xml:space="preserve">Avanti (P) E9 </t>
  </si>
  <si>
    <t>Emerald</t>
  </si>
  <si>
    <t xml:space="preserve">Avanti (P) C5 </t>
  </si>
  <si>
    <t xml:space="preserve">Avanti (P) A5 </t>
  </si>
  <si>
    <t xml:space="preserve"> Nieuwerkerk 8</t>
  </si>
  <si>
    <t xml:space="preserve"> ONDO (G) 5</t>
  </si>
  <si>
    <t xml:space="preserve"> KCC/SO natural 7</t>
  </si>
  <si>
    <t xml:space="preserve"> Avanti (P) 6</t>
  </si>
  <si>
    <t xml:space="preserve"> Erasmus 3</t>
  </si>
  <si>
    <t xml:space="preserve"> Nieuwerkerk 10</t>
  </si>
  <si>
    <t xml:space="preserve"> VEO 6</t>
  </si>
  <si>
    <t xml:space="preserve"> KCC/SO natural 10</t>
  </si>
  <si>
    <t xml:space="preserve"> VIOS (W) 3</t>
  </si>
  <si>
    <t xml:space="preserve"> ADO 4</t>
  </si>
  <si>
    <t xml:space="preserve"> Korbatjo 3</t>
  </si>
  <si>
    <t xml:space="preserve"> PKC/SWKGroep 11</t>
  </si>
  <si>
    <t xml:space="preserve"> Oranje Wit (D) 6</t>
  </si>
  <si>
    <t xml:space="preserve"> ACKC 3</t>
  </si>
  <si>
    <t xml:space="preserve"> Merwede/Multiplaat 6</t>
  </si>
  <si>
    <t xml:space="preserve"> Kinderdijk 5</t>
  </si>
  <si>
    <t xml:space="preserve"> KOAG 5</t>
  </si>
  <si>
    <t xml:space="preserve"> SKV 2</t>
  </si>
  <si>
    <t xml:space="preserve"> Oranje Wit (D) 7</t>
  </si>
  <si>
    <t xml:space="preserve"> Merwede/Multiplaat 7</t>
  </si>
  <si>
    <t xml:space="preserve"> Triade 4</t>
  </si>
  <si>
    <t xml:space="preserve"> Oranje Zwart/De Hoekse 2</t>
  </si>
  <si>
    <t xml:space="preserve"> DeetosSnel 6</t>
  </si>
  <si>
    <t xml:space="preserve"> Merwede/Multiplaat 5</t>
  </si>
  <si>
    <t xml:space="preserve"> RWA 6</t>
  </si>
  <si>
    <t xml:space="preserve"> PKC/SWKGroep 10</t>
  </si>
  <si>
    <t xml:space="preserve"> Triade 3</t>
  </si>
  <si>
    <t xml:space="preserve"> Ventura Sport 3</t>
  </si>
  <si>
    <t xml:space="preserve"> Kinderdijk 6</t>
  </si>
  <si>
    <t xml:space="preserve"> RWA 4</t>
  </si>
  <si>
    <t xml:space="preserve"> PKC/SWKGroep 6</t>
  </si>
  <si>
    <t xml:space="preserve"> Vriendenschaar (H) 3</t>
  </si>
  <si>
    <t xml:space="preserve"> Twist 4</t>
  </si>
  <si>
    <t xml:space="preserve"> Vitesse (Ba) 3</t>
  </si>
  <si>
    <t xml:space="preserve"> Rust Roest 3</t>
  </si>
  <si>
    <t xml:space="preserve"> KCR 3</t>
  </si>
  <si>
    <t xml:space="preserve"> GKV/Enomics 3</t>
  </si>
  <si>
    <t xml:space="preserve"> PKC/SWKGroep 5</t>
  </si>
  <si>
    <t xml:space="preserve"> Merwede/Multiplaat 4</t>
  </si>
  <si>
    <t xml:space="preserve"> HKC (Ha) 3</t>
  </si>
  <si>
    <t xml:space="preserve"> Oranje Wit (D) 4</t>
  </si>
  <si>
    <t xml:space="preserve"> VEO 2</t>
  </si>
  <si>
    <t xml:space="preserve"> Maassluis 2</t>
  </si>
  <si>
    <t xml:space="preserve"> IJsselvogels 2</t>
  </si>
  <si>
    <t xml:space="preserve"> Vriendenschaar (H) 2</t>
  </si>
  <si>
    <t xml:space="preserve"> Tjoba 2</t>
  </si>
  <si>
    <t xml:space="preserve"> Valto 2</t>
  </si>
  <si>
    <t xml:space="preserve"> VEO 1</t>
  </si>
  <si>
    <t xml:space="preserve"> Juliana 1</t>
  </si>
  <si>
    <t xml:space="preserve"> RWA 1</t>
  </si>
  <si>
    <t xml:space="preserve"> Vriendenschaar (H) 1</t>
  </si>
  <si>
    <t xml:space="preserve"> Tjoba 1</t>
  </si>
  <si>
    <t xml:space="preserve"> Valto 1</t>
  </si>
  <si>
    <t xml:space="preserve"> DVO/Accountor G1</t>
  </si>
  <si>
    <t xml:space="preserve"> Sporting Trigon G1</t>
  </si>
  <si>
    <t xml:space="preserve"> Vitesse (Ba) G1</t>
  </si>
  <si>
    <t xml:space="preserve"> KOAG G1</t>
  </si>
  <si>
    <t>Sander Carton</t>
  </si>
  <si>
    <t xml:space="preserve"> ADO F2</t>
  </si>
  <si>
    <t xml:space="preserve"> PKC/SWKGroep F4</t>
  </si>
  <si>
    <t>Isis Schipper</t>
  </si>
  <si>
    <t xml:space="preserve"> Oranje Wit (D) F3</t>
  </si>
  <si>
    <t>Kyran Voogd</t>
  </si>
  <si>
    <t xml:space="preserve"> Ventura Sport F2</t>
  </si>
  <si>
    <t xml:space="preserve"> Vriendenschaar (H) F3</t>
  </si>
  <si>
    <t xml:space="preserve"> Nieuwerkerk F3</t>
  </si>
  <si>
    <t>Kevin Zinsmeister</t>
  </si>
  <si>
    <t xml:space="preserve"> GKV/Enomics F3</t>
  </si>
  <si>
    <t xml:space="preserve"> Merwede/Multiplaat F4</t>
  </si>
  <si>
    <t xml:space="preserve"> DeetosSnel F2</t>
  </si>
  <si>
    <t xml:space="preserve"> GKV/Enomics F2</t>
  </si>
  <si>
    <t xml:space="preserve"> Oranje Wit (D) F2</t>
  </si>
  <si>
    <t xml:space="preserve"> DVS '69 F1</t>
  </si>
  <si>
    <t xml:space="preserve"> Movado F2</t>
  </si>
  <si>
    <t xml:space="preserve"> Triade F1</t>
  </si>
  <si>
    <t xml:space="preserve"> PKC/SWKGroep F8</t>
  </si>
  <si>
    <t xml:space="preserve"> Korbatjo F1</t>
  </si>
  <si>
    <t>Naomi Wensveen</t>
  </si>
  <si>
    <t xml:space="preserve"> Kinderdijk F2</t>
  </si>
  <si>
    <t xml:space="preserve"> ACKC F1</t>
  </si>
  <si>
    <t>Valérie van der Hoek</t>
  </si>
  <si>
    <t xml:space="preserve"> HKC (Ha) F3</t>
  </si>
  <si>
    <t xml:space="preserve"> Oranje Wit (D) F1</t>
  </si>
  <si>
    <t xml:space="preserve"> Vriendenschaar (H) F1</t>
  </si>
  <si>
    <t xml:space="preserve"> Movado F1</t>
  </si>
  <si>
    <t xml:space="preserve"> GKV/Enomics F1</t>
  </si>
  <si>
    <t xml:space="preserve"> PKC/SWKGroep F1</t>
  </si>
  <si>
    <t xml:space="preserve"> Voltreffers F1</t>
  </si>
  <si>
    <t xml:space="preserve"> Merwede/Multiplaat F1</t>
  </si>
  <si>
    <t xml:space="preserve"> Avanti (P) E9</t>
  </si>
  <si>
    <t xml:space="preserve"> DVS '69 E3</t>
  </si>
  <si>
    <t>Erik Bos</t>
  </si>
  <si>
    <t xml:space="preserve"> Nieuwerkerk E6</t>
  </si>
  <si>
    <t xml:space="preserve"> OZC E3</t>
  </si>
  <si>
    <t xml:space="preserve"> ODO E4</t>
  </si>
  <si>
    <t xml:space="preserve"> Fortuna/Delta Logistiek E8</t>
  </si>
  <si>
    <t xml:space="preserve"> Kinderdijk E4</t>
  </si>
  <si>
    <t xml:space="preserve"> GKV/Enomics E3</t>
  </si>
  <si>
    <t xml:space="preserve"> Vriendenschaar (H) E5</t>
  </si>
  <si>
    <t xml:space="preserve"> SKV E1</t>
  </si>
  <si>
    <t xml:space="preserve"> KCR E5</t>
  </si>
  <si>
    <t xml:space="preserve"> Twist E3</t>
  </si>
  <si>
    <t xml:space="preserve"> PKC/SWKGroep E8</t>
  </si>
  <si>
    <t xml:space="preserve"> Sperwers E1</t>
  </si>
  <si>
    <t xml:space="preserve"> HKC (Ha) E5</t>
  </si>
  <si>
    <t xml:space="preserve"> NIO E3</t>
  </si>
  <si>
    <t>Rick den Otter</t>
  </si>
  <si>
    <t xml:space="preserve"> PKC/SWKGroep E6</t>
  </si>
  <si>
    <t xml:space="preserve"> Movado E1</t>
  </si>
  <si>
    <t xml:space="preserve"> Kinderdijk E3</t>
  </si>
  <si>
    <t xml:space="preserve"> Nexus E2</t>
  </si>
  <si>
    <t xml:space="preserve"> Olympia (S) E2</t>
  </si>
  <si>
    <t xml:space="preserve"> Merwede/Multiplaat E4</t>
  </si>
  <si>
    <t xml:space="preserve"> WION E1</t>
  </si>
  <si>
    <t xml:space="preserve"> Ten Donck E1</t>
  </si>
  <si>
    <t xml:space="preserve"> PKC/SWKGroep E5</t>
  </si>
  <si>
    <t xml:space="preserve"> KCR E3</t>
  </si>
  <si>
    <t xml:space="preserve"> Merwede/Multiplaat E3</t>
  </si>
  <si>
    <t xml:space="preserve"> Sporting Delta E2</t>
  </si>
  <si>
    <t xml:space="preserve"> HKC (Ha) E4</t>
  </si>
  <si>
    <t xml:space="preserve"> Oranje Wit (D) E2</t>
  </si>
  <si>
    <t xml:space="preserve"> Vitesse (Ba) E3</t>
  </si>
  <si>
    <t xml:space="preserve"> Merwede/Multiplaat E1</t>
  </si>
  <si>
    <t xml:space="preserve"> PKC/SWKGroep E3</t>
  </si>
  <si>
    <t xml:space="preserve"> KCR D3</t>
  </si>
  <si>
    <t xml:space="preserve"> Korbis D3</t>
  </si>
  <si>
    <t xml:space="preserve"> Vriendenschaar (B) D2</t>
  </si>
  <si>
    <t xml:space="preserve"> Nieuwerkerk D4</t>
  </si>
  <si>
    <t xml:space="preserve"> OZC D1</t>
  </si>
  <si>
    <t xml:space="preserve"> DSO (K) D2</t>
  </si>
  <si>
    <t>Ferry Wensveen</t>
  </si>
  <si>
    <t xml:space="preserve"> KCR D2</t>
  </si>
  <si>
    <t xml:space="preserve"> Merwede/Multiplaat D3</t>
  </si>
  <si>
    <t xml:space="preserve"> Feijenoord D1</t>
  </si>
  <si>
    <t xml:space="preserve"> Vriendenschaar (H) D3</t>
  </si>
  <si>
    <t xml:space="preserve"> Sporting Delta D3</t>
  </si>
  <si>
    <t xml:space="preserve"> Kinderdijk D2</t>
  </si>
  <si>
    <t xml:space="preserve"> Oranje Wit (D) D2</t>
  </si>
  <si>
    <t xml:space="preserve"> HKC (Ha) D1</t>
  </si>
  <si>
    <t xml:space="preserve"> GKV/Enomics D2</t>
  </si>
  <si>
    <t xml:space="preserve"> ACKC D1</t>
  </si>
  <si>
    <t xml:space="preserve"> DeetosSnel D1</t>
  </si>
  <si>
    <t xml:space="preserve"> GKV/Enomics D1</t>
  </si>
  <si>
    <t xml:space="preserve"> DSC D1</t>
  </si>
  <si>
    <t xml:space="preserve"> Oranje Wit (D) D1</t>
  </si>
  <si>
    <t xml:space="preserve"> NKV D1</t>
  </si>
  <si>
    <t xml:space="preserve"> Vriendenschaar (H) D1</t>
  </si>
  <si>
    <t xml:space="preserve">Albatros C5 </t>
  </si>
  <si>
    <t xml:space="preserve"> Merwede/Multiplaat C4</t>
  </si>
  <si>
    <t>C5</t>
  </si>
  <si>
    <t xml:space="preserve"> Dijkvogels C2</t>
  </si>
  <si>
    <t xml:space="preserve"> Phoenix C2</t>
  </si>
  <si>
    <t xml:space="preserve"> Kinderdijk C3</t>
  </si>
  <si>
    <t xml:space="preserve"> Avanti (P) C5</t>
  </si>
  <si>
    <t xml:space="preserve"> RWA C2</t>
  </si>
  <si>
    <t xml:space="preserve">Albatros C4 </t>
  </si>
  <si>
    <t xml:space="preserve"> Oranje Wit (D) C4</t>
  </si>
  <si>
    <t>C4</t>
  </si>
  <si>
    <t xml:space="preserve"> DVS '69 C1</t>
  </si>
  <si>
    <t xml:space="preserve"> ADO C2</t>
  </si>
  <si>
    <t xml:space="preserve"> Triade C1</t>
  </si>
  <si>
    <t xml:space="preserve"> HKC (Ha) C2</t>
  </si>
  <si>
    <t xml:space="preserve"> DES (D) C2</t>
  </si>
  <si>
    <t xml:space="preserve"> Excelsior (D) C1</t>
  </si>
  <si>
    <t xml:space="preserve"> 't Capproen C1</t>
  </si>
  <si>
    <t xml:space="preserve"> Fortuna/Delta Logistiek C4</t>
  </si>
  <si>
    <t xml:space="preserve"> ONDO (G) C2</t>
  </si>
  <si>
    <t xml:space="preserve"> Vitesse (Ba) C3</t>
  </si>
  <si>
    <t xml:space="preserve"> OZC C1</t>
  </si>
  <si>
    <t xml:space="preserve"> Vitesse (Ba) C2</t>
  </si>
  <si>
    <t xml:space="preserve"> Fortuna/Delta Logistiek C3</t>
  </si>
  <si>
    <t xml:space="preserve"> Maassluis C2</t>
  </si>
  <si>
    <t xml:space="preserve"> Olympia (S) C1</t>
  </si>
  <si>
    <t xml:space="preserve"> RWA C1</t>
  </si>
  <si>
    <t xml:space="preserve"> Oranje Wit (D) C2</t>
  </si>
  <si>
    <t xml:space="preserve"> Vitesse (Ba) C1</t>
  </si>
  <si>
    <t xml:space="preserve"> Fortis C1</t>
  </si>
  <si>
    <t xml:space="preserve"> Sporting Delta C1</t>
  </si>
  <si>
    <t xml:space="preserve"> TOP (A) C1</t>
  </si>
  <si>
    <t xml:space="preserve"> Tilburg C1</t>
  </si>
  <si>
    <t xml:space="preserve"> Oranje Wit (D) B5</t>
  </si>
  <si>
    <t xml:space="preserve"> ONDO (G) B5</t>
  </si>
  <si>
    <t>Peter van Beelen</t>
  </si>
  <si>
    <t xml:space="preserve"> Conventus B3</t>
  </si>
  <si>
    <t>Eva Barendregt</t>
  </si>
  <si>
    <t xml:space="preserve"> Nieuwerkerk B3</t>
  </si>
  <si>
    <t xml:space="preserve"> OZC B2</t>
  </si>
  <si>
    <t xml:space="preserve"> VIOS (W) B1</t>
  </si>
  <si>
    <t xml:space="preserve"> Good Luck B1</t>
  </si>
  <si>
    <t xml:space="preserve"> Focus B1</t>
  </si>
  <si>
    <t xml:space="preserve"> 't Capproen B2</t>
  </si>
  <si>
    <t xml:space="preserve"> DeetosSnel B3</t>
  </si>
  <si>
    <t xml:space="preserve"> SKV B1</t>
  </si>
  <si>
    <t xml:space="preserve"> DSO (K) B1</t>
  </si>
  <si>
    <t xml:space="preserve"> Oranje Zwart/De Hoekse B1</t>
  </si>
  <si>
    <t xml:space="preserve"> PKC/SWKGroep B4</t>
  </si>
  <si>
    <t xml:space="preserve"> OZC B1</t>
  </si>
  <si>
    <t xml:space="preserve"> Conventus B1</t>
  </si>
  <si>
    <t xml:space="preserve"> KOAG B1</t>
  </si>
  <si>
    <t xml:space="preserve"> KCR B1</t>
  </si>
  <si>
    <t xml:space="preserve"> Kinderdijk B1</t>
  </si>
  <si>
    <t xml:space="preserve"> Vitesse (Ba) B1</t>
  </si>
  <si>
    <t xml:space="preserve"> PKC/SWKGroep B2</t>
  </si>
  <si>
    <t xml:space="preserve"> Oranje Zwart/De Hoekse A1</t>
  </si>
  <si>
    <t xml:space="preserve"> Sporting Delta A4</t>
  </si>
  <si>
    <t xml:space="preserve"> Korbatjo A2</t>
  </si>
  <si>
    <t xml:space="preserve"> HKC (Ha) A3</t>
  </si>
  <si>
    <t xml:space="preserve"> Ventura Sport A3</t>
  </si>
  <si>
    <t xml:space="preserve"> PKC/SWKGroep A8</t>
  </si>
  <si>
    <t xml:space="preserve"> Eureka A1</t>
  </si>
  <si>
    <t xml:space="preserve"> Avanti (P) A5</t>
  </si>
  <si>
    <t xml:space="preserve"> Dijkvogels A3</t>
  </si>
  <si>
    <t xml:space="preserve"> Maassluis A3</t>
  </si>
  <si>
    <t xml:space="preserve"> Nieuwerkerk A3</t>
  </si>
  <si>
    <t xml:space="preserve"> Twist A2</t>
  </si>
  <si>
    <t xml:space="preserve"> Twist A1</t>
  </si>
  <si>
    <t xml:space="preserve"> Reeuwijk A1</t>
  </si>
  <si>
    <t xml:space="preserve"> Sporting Delta A2</t>
  </si>
  <si>
    <t xml:space="preserve"> DVS '69 A1</t>
  </si>
  <si>
    <t xml:space="preserve"> Kinderdijk A2</t>
  </si>
  <si>
    <t xml:space="preserve"> KCC/SO natural A3</t>
  </si>
  <si>
    <t xml:space="preserve"> ADO A1</t>
  </si>
  <si>
    <t xml:space="preserve"> Die Haghe A1</t>
  </si>
  <si>
    <t xml:space="preserve"> Sporting Delta A1</t>
  </si>
  <si>
    <t xml:space="preserve"> Fortuna/Delta Logistiek A2</t>
  </si>
  <si>
    <t xml:space="preserve"> Tempo A1</t>
  </si>
  <si>
    <t xml:space="preserve"> Valto A1</t>
  </si>
  <si>
    <t xml:space="preserve">ADO 4 </t>
  </si>
  <si>
    <t xml:space="preserve">ADO F2 </t>
  </si>
  <si>
    <t xml:space="preserve">ADO C2 </t>
  </si>
  <si>
    <t xml:space="preserve">ACKC 3 </t>
  </si>
  <si>
    <t xml:space="preserve">ACKC F1 </t>
  </si>
  <si>
    <t xml:space="preserve">ACKC D1 </t>
  </si>
  <si>
    <t>B1</t>
  </si>
  <si>
    <t>Belle van Maanen</t>
  </si>
  <si>
    <t>Team</t>
  </si>
  <si>
    <t>Daan van Veen</t>
  </si>
  <si>
    <t>G-commissie</t>
  </si>
  <si>
    <t>Hans Zijderveld</t>
  </si>
  <si>
    <t>Nummer</t>
  </si>
  <si>
    <t>Thuisteam</t>
  </si>
  <si>
    <t>Uitteam</t>
  </si>
  <si>
    <t>Plaats</t>
  </si>
  <si>
    <t>Triade B1</t>
  </si>
  <si>
    <t>GROOT-AMMERS</t>
  </si>
  <si>
    <t>HKC (Ha) E2</t>
  </si>
  <si>
    <t>ZWIJNDRECHT</t>
  </si>
  <si>
    <t>DeetosSnel E4</t>
  </si>
  <si>
    <t>PKC/Vertom F2</t>
  </si>
  <si>
    <t>Tilburg D1</t>
  </si>
  <si>
    <t>SLIEDRECHT</t>
  </si>
  <si>
    <t>Nieuwerkerk E1</t>
  </si>
  <si>
    <t>HKC (Ha) F3</t>
  </si>
  <si>
    <t>HARDINXVELD-GIESSENDAM</t>
  </si>
  <si>
    <t>GKV/Enomics E3</t>
  </si>
  <si>
    <t>Keep Fit '70 3</t>
  </si>
  <si>
    <t>ROOSENDAAL</t>
  </si>
  <si>
    <t>SKV C1</t>
  </si>
  <si>
    <t>PKC/Vertom B2</t>
  </si>
  <si>
    <t>DeetosSnel C1</t>
  </si>
  <si>
    <t>DORDRECHT</t>
  </si>
  <si>
    <t>Fortuna/Delta Logistiek A2</t>
  </si>
  <si>
    <t>PKC/Vertom C5</t>
  </si>
  <si>
    <t>PAPENDRECHT</t>
  </si>
  <si>
    <t>PKC/Vertom A6</t>
  </si>
  <si>
    <t>DVS '69 5</t>
  </si>
  <si>
    <t>MIDDELBURG</t>
  </si>
  <si>
    <t>Korbatjo 4</t>
  </si>
  <si>
    <t>OUD-BEIJERLAND</t>
  </si>
  <si>
    <t>Gemini A1</t>
  </si>
  <si>
    <t>PKC/Vertom E3</t>
  </si>
  <si>
    <t>HENDRIK IDO AMBACHT</t>
  </si>
  <si>
    <t>Oranje Wit (D) E3</t>
  </si>
  <si>
    <t>Sporting Delta F1</t>
  </si>
  <si>
    <t>KVS/Groeneveld E1</t>
  </si>
  <si>
    <t>De Blinkerd</t>
  </si>
  <si>
    <t>'S-GRAVENHAGE</t>
  </si>
  <si>
    <t>VEO F2</t>
  </si>
  <si>
    <t>VOORBURG</t>
  </si>
  <si>
    <t>DVS '69 D1</t>
  </si>
  <si>
    <t>PKC/Vertom D3</t>
  </si>
  <si>
    <t>Ventura Sport E2</t>
  </si>
  <si>
    <t>STRIJEN</t>
  </si>
  <si>
    <t>Sporting Delta D3</t>
  </si>
  <si>
    <t>Kinderdijk E3</t>
  </si>
  <si>
    <t>ACKC F1</t>
  </si>
  <si>
    <t>PKC/Vertom D1</t>
  </si>
  <si>
    <t>ARNEMUIDEN</t>
  </si>
  <si>
    <t>Tilburg C1</t>
  </si>
  <si>
    <t>Kinderdijk C4</t>
  </si>
  <si>
    <t>IJsselvogels A1</t>
  </si>
  <si>
    <t>MOORDRECHT</t>
  </si>
  <si>
    <t>OOST-SOUBURG</t>
  </si>
  <si>
    <t>ACKC B1</t>
  </si>
  <si>
    <t>IJsselvogels 2</t>
  </si>
  <si>
    <t>DVS '69 A1</t>
  </si>
  <si>
    <t>KVS/Groeneveld A2</t>
  </si>
  <si>
    <t>IJsselvogels 1</t>
  </si>
  <si>
    <t>Sporting Delta 5</t>
  </si>
  <si>
    <t>PKC/Vertom 11</t>
  </si>
  <si>
    <t>DSO (K) 6</t>
  </si>
  <si>
    <t>Fortuna/Delta Logistiek E1</t>
  </si>
  <si>
    <t>DELFT</t>
  </si>
  <si>
    <t>Keep Fit '70 E1</t>
  </si>
  <si>
    <t>Vriendenschaar (H) F1</t>
  </si>
  <si>
    <t>RWA F3</t>
  </si>
  <si>
    <t>RHOON</t>
  </si>
  <si>
    <t>Vriendenschaar (H) F3</t>
  </si>
  <si>
    <t>Oranje Wit (D) E7</t>
  </si>
  <si>
    <t>Korbatjo E1</t>
  </si>
  <si>
    <t>DeetosSnel F1</t>
  </si>
  <si>
    <t>Avanti/Post Makelaardij A4</t>
  </si>
  <si>
    <t>GIESSEN</t>
  </si>
  <si>
    <t>Rust Roest D1</t>
  </si>
  <si>
    <t>Maassluis B1</t>
  </si>
  <si>
    <t>Vriendenschaar (H) D3</t>
  </si>
  <si>
    <t>'S-GRAVENZANDE</t>
  </si>
  <si>
    <t>RWA C1</t>
  </si>
  <si>
    <t>Ventura Sport 2</t>
  </si>
  <si>
    <t>Sporting Delta C2</t>
  </si>
  <si>
    <t>PKC/Vertom A2</t>
  </si>
  <si>
    <t>Molenzichthal</t>
  </si>
  <si>
    <t>ALBLASSERDAM</t>
  </si>
  <si>
    <t>NIEUWERKERK AD IJSSEL</t>
  </si>
  <si>
    <t>HKC (Ha) 3</t>
  </si>
  <si>
    <t>Vriendenschaar (H) B2</t>
  </si>
  <si>
    <t>ONDO (G) 1</t>
  </si>
  <si>
    <t>Kinderdijk 5</t>
  </si>
  <si>
    <t>DVS '69 4</t>
  </si>
  <si>
    <t>PKC/Vertom E4</t>
  </si>
  <si>
    <t>Vitesse (Ba) E1</t>
  </si>
  <si>
    <t>ADO C2</t>
  </si>
  <si>
    <t>'S-GRAVENDEEL</t>
  </si>
  <si>
    <t>PKC/Vertom E6</t>
  </si>
  <si>
    <t>Nieuwerkerk F5</t>
  </si>
  <si>
    <t>ADO F2</t>
  </si>
  <si>
    <t>PKC/Vertom C1</t>
  </si>
  <si>
    <t>OJC '98 A1</t>
  </si>
  <si>
    <t>Merwede/Multiplaat B1</t>
  </si>
  <si>
    <t>Keep Fit '70 2</t>
  </si>
  <si>
    <t>Scheldevogels 2</t>
  </si>
  <si>
    <t>HKC (Ha) D3</t>
  </si>
  <si>
    <t>DeetosSnel 7</t>
  </si>
  <si>
    <t>KWC-hal</t>
  </si>
  <si>
    <t>KRIMPEN AAN DEN IJSSEL</t>
  </si>
  <si>
    <t>Valto B1</t>
  </si>
  <si>
    <t>DE LIER</t>
  </si>
  <si>
    <t>TOP (A) C1</t>
  </si>
  <si>
    <t>Die Haghe A2</t>
  </si>
  <si>
    <t>Maassluis 2</t>
  </si>
  <si>
    <t>MAASSLUIS</t>
  </si>
  <si>
    <t>Merwede/Multiplaat 4</t>
  </si>
  <si>
    <t>Oranje Wit (D) 7</t>
  </si>
  <si>
    <t>Maassluis 1</t>
  </si>
  <si>
    <t>Merwede/Multiplaat 3</t>
  </si>
  <si>
    <t>KCR 6</t>
  </si>
  <si>
    <t>BARENDRECHT</t>
  </si>
  <si>
    <t>Juliana D1</t>
  </si>
  <si>
    <t>OUD GASTEL</t>
  </si>
  <si>
    <t>ONDO (G) E1</t>
  </si>
  <si>
    <t>HOEK VAN HOLLAND</t>
  </si>
  <si>
    <t>Triade E1</t>
  </si>
  <si>
    <t>ACKC D3</t>
  </si>
  <si>
    <t>DSO (K) E1</t>
  </si>
  <si>
    <t>KLUNDERT</t>
  </si>
  <si>
    <t>Oranje Wit (D) E5</t>
  </si>
  <si>
    <t>ADO F1</t>
  </si>
  <si>
    <t>GKV/Enomics D1</t>
  </si>
  <si>
    <t>Thor (R) F2</t>
  </si>
  <si>
    <t>Riederpoort</t>
  </si>
  <si>
    <t>Oranje Wit (D) C1</t>
  </si>
  <si>
    <t>Sporting Delta D2</t>
  </si>
  <si>
    <t>Oranje Wit (D) C3</t>
  </si>
  <si>
    <t>Kinderdijk A2</t>
  </si>
  <si>
    <t>Ventura Sport B1</t>
  </si>
  <si>
    <t>Sporting Delta 6</t>
  </si>
  <si>
    <t>Oranje Zwart/De Hoekse 2</t>
  </si>
  <si>
    <t>MIJNSHEERENLAND</t>
  </si>
  <si>
    <t>Kinderdijk A1</t>
  </si>
  <si>
    <t>Kinderdijk 4</t>
  </si>
  <si>
    <t>DSO (K) 5</t>
  </si>
  <si>
    <t>Nieuwerkerk 5</t>
  </si>
  <si>
    <t>Sporting Delta E1</t>
  </si>
  <si>
    <t>Vriendenschaar (H) E2</t>
  </si>
  <si>
    <t>Vriendenschaar (H) E3</t>
  </si>
  <si>
    <t>HKC (Ha) F1</t>
  </si>
  <si>
    <t>DVS '69 F1</t>
  </si>
  <si>
    <t>Oranje Wit (D) D2</t>
  </si>
  <si>
    <t>Korbatjo D3</t>
  </si>
  <si>
    <t>KCR C2</t>
  </si>
  <si>
    <t>PKC/Vertom E7</t>
  </si>
  <si>
    <t>KCR 11</t>
  </si>
  <si>
    <t>RIDDERKERK</t>
  </si>
  <si>
    <t>RWA 3</t>
  </si>
  <si>
    <t>Oranje Wit (D) B1</t>
  </si>
  <si>
    <t>TOGO A1</t>
  </si>
  <si>
    <t>DeetosSnel A1</t>
  </si>
  <si>
    <t>Weidevogels 2</t>
  </si>
  <si>
    <t>Ventura Sport C1</t>
  </si>
  <si>
    <t>Korbatjo C2</t>
  </si>
  <si>
    <t>DOT (O) 3</t>
  </si>
  <si>
    <t>Scheldevogels 3</t>
  </si>
  <si>
    <t>Ventura Sport E3</t>
  </si>
  <si>
    <t>DSO (K) F1</t>
  </si>
  <si>
    <t>Vriendenschaar (B) F2</t>
  </si>
  <si>
    <t>PKC/Vertom F6</t>
  </si>
  <si>
    <t>Avanti/Post Makelaardij E1</t>
  </si>
  <si>
    <t>PIJNACKER</t>
  </si>
  <si>
    <t>Thor (R) A1</t>
  </si>
  <si>
    <t>HKC (Ha) C2</t>
  </si>
  <si>
    <t>Vriendenschaar (B) G1</t>
  </si>
  <si>
    <t>PKC/Vertom 6</t>
  </si>
  <si>
    <t>DSC 4</t>
  </si>
  <si>
    <t>EINDHOVEN</t>
  </si>
  <si>
    <t>GORINCHEM</t>
  </si>
  <si>
    <t>Movado D2</t>
  </si>
  <si>
    <t>Good Luck 3</t>
  </si>
  <si>
    <t>SOMMELSDIJK</t>
  </si>
  <si>
    <t>Tjoba B1</t>
  </si>
  <si>
    <t>PKC/Vertom A7</t>
  </si>
  <si>
    <t>Movado D1</t>
  </si>
  <si>
    <t>Excelsior 2</t>
  </si>
  <si>
    <t>Kinderdijk B2</t>
  </si>
  <si>
    <t>Excelsior 1</t>
  </si>
  <si>
    <t>Merwede/Multiplaat 7</t>
  </si>
  <si>
    <t>ACKC C2</t>
  </si>
  <si>
    <t>ALPHEN AAN DEN RIJN</t>
  </si>
  <si>
    <t>TILBURG</t>
  </si>
  <si>
    <t>GOUDA</t>
  </si>
  <si>
    <t>GOES</t>
  </si>
  <si>
    <t>De Wissel</t>
  </si>
  <si>
    <t>Springfield 1</t>
  </si>
  <si>
    <t>CAPELLE AAN DEN IJSSEL</t>
  </si>
  <si>
    <t>ALMKERK</t>
  </si>
  <si>
    <t>DELFGAUW</t>
  </si>
  <si>
    <t>Kinderdijk 7</t>
  </si>
  <si>
    <t>Juliana 4</t>
  </si>
  <si>
    <t>HOEVEN</t>
  </si>
  <si>
    <t>'t Ruiven</t>
  </si>
  <si>
    <t>BERKEL-ENSCHOT</t>
  </si>
  <si>
    <t>BERGEN OP ZOOM</t>
  </si>
  <si>
    <t>Sporthal Rijneveen</t>
  </si>
  <si>
    <t>BLEISWIJK</t>
  </si>
  <si>
    <t>Mondriaan</t>
  </si>
  <si>
    <t>OSS</t>
  </si>
  <si>
    <t>BODEGRAVEN</t>
  </si>
  <si>
    <t>Luuk van de Pol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</si>
</sst>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ddd&quot; &quot;dd&quot;-&quot;mm&quot; &quot;"/>
    <numFmt numFmtId="165" formatCode="h&quot;:&quot;mm"/>
    <numFmt numFmtId="166" formatCode="ddd"/>
    <numFmt numFmtId="167" formatCode="d&quot;-&quot;m&quot;-&quot;yy"/>
    <numFmt numFmtId="168" formatCode="d\-m\-yyyy"/>
    <numFmt numFmtId="169" formatCode="dd&quot;-&quot;mm&quot;-&quot;yyyy"/>
    <numFmt numFmtId="170" formatCode="dd\-mm\-yyyy"/>
    <numFmt numFmtId="171" formatCode="h:mm;@"/>
  </numFmts>
  <fonts count="17">
    <font>
      <sz val="10"/>
      <color rgb="FF000000"/>
      <name val="Arial"/>
    </font>
    <font>
      <sz val="11"/>
      <color theme="1"/>
      <name val="Calibri"/>
      <family val="2"/>
      <scheme val="minor"/>
    </font>
    <font>
      <b/>
      <sz val="11"/>
      <color rgb="FFFFFFFF"/>
      <name val="Arial"/>
    </font>
    <font>
      <b/>
      <sz val="10"/>
      <color rgb="FFFFFFFF"/>
      <name val="Arial"/>
    </font>
    <font>
      <sz val="10"/>
      <name val="Arial"/>
    </font>
    <font>
      <b/>
      <sz val="9"/>
      <color rgb="FFFFFFFF"/>
      <name val="Verdana"/>
    </font>
    <font>
      <sz val="9"/>
      <color rgb="FFFFFFFF"/>
      <name val="Verdana"/>
    </font>
    <font>
      <b/>
      <sz val="9"/>
      <name val="Verdana"/>
    </font>
    <font>
      <sz val="10"/>
      <name val="Arial"/>
    </font>
    <font>
      <sz val="11"/>
      <name val="Calibri"/>
    </font>
    <font>
      <b/>
      <sz val="10"/>
      <color rgb="FF404040"/>
      <name val="'Helvetica Neue'"/>
    </font>
    <font>
      <b/>
      <sz val="10"/>
      <name val="'Helvetica Neue'"/>
    </font>
    <font>
      <sz val="10"/>
      <name val="'Helvetica Neue'"/>
    </font>
    <font>
      <sz val="9"/>
      <color rgb="FF000000"/>
      <name val="Verdana"/>
    </font>
    <font>
      <sz val="11"/>
      <color rgb="FF000000"/>
      <name val="Inconsolata"/>
    </font>
    <font>
      <sz val="10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  <fill>
      <patternFill patternType="solid">
        <fgColor rgb="FFF0F0F0"/>
        <bgColor rgb="FFF0F0F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E0E0E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/>
    <xf numFmtId="0" fontId="15" fillId="0" borderId="1"/>
  </cellStyleXfs>
  <cellXfs count="61">
    <xf numFmtId="0" fontId="0" fillId="0" borderId="0" xfId="0" applyFont="1" applyAlignment="1"/>
    <xf numFmtId="164" fontId="2" fillId="2" borderId="0" xfId="0" applyNumberFormat="1" applyFont="1" applyFill="1"/>
    <xf numFmtId="0" fontId="3" fillId="2" borderId="0" xfId="0" applyFont="1" applyFill="1"/>
    <xf numFmtId="165" fontId="3" fillId="2" borderId="0" xfId="0" applyNumberFormat="1" applyFont="1" applyFill="1"/>
    <xf numFmtId="164" fontId="4" fillId="0" borderId="0" xfId="0" applyNumberFormat="1" applyFont="1"/>
    <xf numFmtId="165" fontId="4" fillId="0" borderId="0" xfId="0" applyNumberFormat="1" applyFont="1"/>
    <xf numFmtId="0" fontId="4" fillId="3" borderId="0" xfId="0" applyFont="1" applyFill="1"/>
    <xf numFmtId="0" fontId="4" fillId="0" borderId="0" xfId="0" applyFont="1" applyAlignment="1"/>
    <xf numFmtId="164" fontId="4" fillId="3" borderId="0" xfId="0" applyNumberFormat="1" applyFont="1" applyFill="1"/>
    <xf numFmtId="165" fontId="4" fillId="3" borderId="0" xfId="0" applyNumberFormat="1" applyFont="1" applyFill="1"/>
    <xf numFmtId="0" fontId="5" fillId="2" borderId="0" xfId="0" applyFont="1" applyFill="1" applyAlignment="1">
      <alignment horizontal="left"/>
    </xf>
    <xf numFmtId="166" fontId="5" fillId="2" borderId="0" xfId="0" applyNumberFormat="1" applyFont="1" applyFill="1" applyAlignment="1">
      <alignment horizontal="left"/>
    </xf>
    <xf numFmtId="167" fontId="5" fillId="2" borderId="0" xfId="0" applyNumberFormat="1" applyFont="1" applyFill="1" applyAlignment="1">
      <alignment horizontal="center"/>
    </xf>
    <xf numFmtId="0" fontId="5" fillId="2" borderId="0" xfId="0" applyFont="1" applyFill="1" applyAlignment="1"/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49" fontId="5" fillId="2" borderId="0" xfId="0" applyNumberFormat="1" applyFont="1" applyFill="1" applyAlignment="1">
      <alignment horizontal="center"/>
    </xf>
    <xf numFmtId="0" fontId="6" fillId="2" borderId="0" xfId="0" applyFont="1" applyFill="1" applyAlignment="1"/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9" fillId="0" borderId="0" xfId="0" applyFont="1" applyAlignment="1">
      <alignment horizontal="right"/>
    </xf>
    <xf numFmtId="0" fontId="9" fillId="0" borderId="0" xfId="0" applyFont="1" applyAlignment="1"/>
    <xf numFmtId="166" fontId="9" fillId="0" borderId="0" xfId="0" applyNumberFormat="1" applyFont="1" applyAlignment="1"/>
    <xf numFmtId="168" fontId="9" fillId="0" borderId="0" xfId="0" applyNumberFormat="1" applyFont="1" applyAlignment="1">
      <alignment horizontal="right"/>
    </xf>
    <xf numFmtId="20" fontId="9" fillId="0" borderId="0" xfId="0" applyNumberFormat="1" applyFont="1" applyAlignment="1">
      <alignment horizontal="right"/>
    </xf>
    <xf numFmtId="0" fontId="9" fillId="0" borderId="0" xfId="0" applyFont="1" applyAlignment="1">
      <alignment horizontal="right"/>
    </xf>
    <xf numFmtId="168" fontId="9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20" fontId="9" fillId="0" borderId="0" xfId="0" applyNumberFormat="1" applyFont="1" applyAlignment="1">
      <alignment horizontal="right"/>
    </xf>
    <xf numFmtId="0" fontId="9" fillId="0" borderId="1" xfId="0" applyFont="1" applyBorder="1" applyAlignment="1"/>
    <xf numFmtId="0" fontId="9" fillId="0" borderId="0" xfId="0" applyFont="1" applyAlignment="1"/>
    <xf numFmtId="0" fontId="10" fillId="4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12" fillId="3" borderId="0" xfId="0" applyFont="1" applyFill="1" applyAlignment="1">
      <alignment horizontal="right"/>
    </xf>
    <xf numFmtId="0" fontId="12" fillId="3" borderId="0" xfId="0" applyFont="1" applyFill="1"/>
    <xf numFmtId="14" fontId="12" fillId="3" borderId="0" xfId="0" applyNumberFormat="1" applyFont="1" applyFill="1" applyAlignment="1">
      <alignment horizontal="center"/>
    </xf>
    <xf numFmtId="20" fontId="12" fillId="3" borderId="0" xfId="0" applyNumberFormat="1" applyFont="1" applyFill="1"/>
    <xf numFmtId="0" fontId="12" fillId="3" borderId="0" xfId="0" quotePrefix="1" applyFont="1" applyFill="1"/>
    <xf numFmtId="14" fontId="4" fillId="0" borderId="0" xfId="0" applyNumberFormat="1" applyFont="1" applyAlignment="1"/>
    <xf numFmtId="20" fontId="4" fillId="0" borderId="0" xfId="0" applyNumberFormat="1" applyFont="1" applyAlignment="1"/>
    <xf numFmtId="166" fontId="13" fillId="0" borderId="0" xfId="0" applyNumberFormat="1" applyFont="1" applyAlignment="1"/>
    <xf numFmtId="169" fontId="5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right"/>
    </xf>
    <xf numFmtId="0" fontId="7" fillId="0" borderId="0" xfId="0" applyFont="1" applyAlignment="1"/>
    <xf numFmtId="168" fontId="4" fillId="0" borderId="0" xfId="0" applyNumberFormat="1" applyFont="1" applyAlignment="1"/>
    <xf numFmtId="0" fontId="14" fillId="3" borderId="0" xfId="0" applyFont="1" applyFill="1"/>
    <xf numFmtId="170" fontId="4" fillId="0" borderId="0" xfId="0" applyNumberFormat="1" applyFont="1" applyAlignment="1"/>
    <xf numFmtId="0" fontId="4" fillId="0" borderId="0" xfId="0" quotePrefix="1" applyFont="1" applyAlignment="1"/>
    <xf numFmtId="1" fontId="0" fillId="5" borderId="3" xfId="0" applyNumberFormat="1" applyFill="1" applyBorder="1"/>
    <xf numFmtId="14" fontId="0" fillId="5" borderId="3" xfId="0" applyNumberFormat="1" applyFill="1" applyBorder="1"/>
    <xf numFmtId="171" fontId="0" fillId="5" borderId="3" xfId="0" applyNumberFormat="1" applyFill="1" applyBorder="1"/>
    <xf numFmtId="0" fontId="0" fillId="0" borderId="0" xfId="0"/>
    <xf numFmtId="171" fontId="5" fillId="2" borderId="0" xfId="0" applyNumberFormat="1" applyFont="1" applyFill="1" applyAlignment="1">
      <alignment horizontal="left"/>
    </xf>
    <xf numFmtId="171" fontId="0" fillId="0" borderId="0" xfId="0" applyNumberFormat="1"/>
    <xf numFmtId="171" fontId="16" fillId="5" borderId="3" xfId="0" applyNumberFormat="1" applyFont="1" applyFill="1" applyBorder="1"/>
    <xf numFmtId="1" fontId="0" fillId="6" borderId="3" xfId="0" applyNumberFormat="1" applyFill="1" applyBorder="1"/>
    <xf numFmtId="14" fontId="0" fillId="6" borderId="3" xfId="0" applyNumberFormat="1" applyFill="1" applyBorder="1"/>
    <xf numFmtId="171" fontId="0" fillId="6" borderId="3" xfId="0" applyNumberFormat="1" applyFill="1" applyBorder="1"/>
    <xf numFmtId="171" fontId="16" fillId="6" borderId="3" xfId="0" applyNumberFormat="1" applyFont="1" applyFill="1" applyBorder="1"/>
    <xf numFmtId="14" fontId="16" fillId="5" borderId="3" xfId="0" applyNumberFormat="1" applyFont="1" applyFill="1" applyBorder="1"/>
  </cellXfs>
  <cellStyles count="3">
    <cellStyle name="Normal 2" xfId="1" xr:uid="{853C1C28-F5D1-4435-AADA-8C8967387ECF}"/>
    <cellStyle name="Standaard" xfId="0" builtinId="0"/>
    <cellStyle name="Standaard 2" xfId="2" xr:uid="{63896683-1001-4E65-9539-DD4ECD559600}"/>
  </cellStyles>
  <dxfs count="11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1000"/>
  <sheetViews>
    <sheetView workbookViewId="0">
      <pane ySplit="1" topLeftCell="A83" activePane="bottomLeft" state="frozen"/>
      <selection activeCell="F88" sqref="F88"/>
      <selection pane="bottomLeft" activeCell="F88" sqref="F88"/>
    </sheetView>
  </sheetViews>
  <sheetFormatPr defaultColWidth="12.6640625" defaultRowHeight="15.75" customHeight="1"/>
  <cols>
    <col min="1" max="1" width="13.88671875" customWidth="1"/>
    <col min="2" max="2" width="37.88671875" customWidth="1"/>
    <col min="3" max="3" width="6.21875" customWidth="1"/>
    <col min="4" max="4" width="16.109375" customWidth="1"/>
    <col min="5" max="5" width="25.77734375" customWidth="1"/>
    <col min="6" max="6" width="11.44140625" customWidth="1"/>
    <col min="7" max="7" width="18.77734375" customWidth="1"/>
  </cols>
  <sheetData>
    <row r="1" spans="1:7" ht="15.75" customHeight="1">
      <c r="A1" s="1" t="str">
        <f ca="1">IFERROR(__xludf.DUMMYFUNCTION("query('Alle wedstrijden'!A:M,""Select D,H,I,J,M,K where (E contains 'Albatros') and (E != 'Albatros G1') order by D,J, I"",true)"),"Datum")</f>
        <v>Datum</v>
      </c>
      <c r="B1" s="2" t="str">
        <f ca="1">IFERROR(__xludf.DUMMYFUNCTION("""COMPUTED_VALUE"""),"Wedstrijd")</f>
        <v>Wedstrijd</v>
      </c>
      <c r="C1" s="3" t="str">
        <f ca="1">IFERROR(__xludf.DUMMYFUNCTION("""COMPUTED_VALUE"""),"Tijd")</f>
        <v>Tijd</v>
      </c>
      <c r="D1" s="2" t="str">
        <f ca="1">IFERROR(__xludf.DUMMYFUNCTION("""COMPUTED_VALUE"""),"Locatie")</f>
        <v>Locatie</v>
      </c>
      <c r="E1" s="2" t="str">
        <f ca="1">IFERROR(__xludf.DUMMYFUNCTION("""COMPUTED_VALUE"""),"Scheidsrechter")</f>
        <v>Scheidsrechter</v>
      </c>
      <c r="F1" s="2" t="str">
        <f ca="1">IFERROR(__xludf.DUMMYFUNCTION("""COMPUTED_VALUE"""),"Veld")</f>
        <v>Veld</v>
      </c>
      <c r="G1" s="2"/>
    </row>
    <row r="2" spans="1:7" ht="15.75" customHeight="1">
      <c r="A2" s="4">
        <f ca="1">IFERROR(__xludf.DUMMYFUNCTION("""COMPUTED_VALUE"""),44814)</f>
        <v>44814</v>
      </c>
      <c r="B2" t="str">
        <f ca="1">IFERROR(__xludf.DUMMYFUNCTION("""COMPUTED_VALUE"""),"Albatros D2 - DeetosSnel D1")</f>
        <v>Albatros D2 - DeetosSnel D1</v>
      </c>
      <c r="C2" s="5">
        <f ca="1">IFERROR(__xludf.DUMMYFUNCTION("""COMPUTED_VALUE"""),0.39583333333212)</f>
        <v>0.39583333333212001</v>
      </c>
      <c r="D2" t="str">
        <f ca="1">IFERROR(__xludf.DUMMYFUNCTION("""COMPUTED_VALUE"""),"Sportpark Develstein")</f>
        <v>Sportpark Develstein</v>
      </c>
      <c r="F2" t="str">
        <f ca="1">IFERROR(__xludf.DUMMYFUNCTION("""COMPUTED_VALUE"""),"1K40")</f>
        <v>1K40</v>
      </c>
    </row>
    <row r="3" spans="1:7" ht="15.75" customHeight="1">
      <c r="A3" s="4">
        <f ca="1">IFERROR(__xludf.DUMMYFUNCTION("""COMPUTED_VALUE"""),44814)</f>
        <v>44814</v>
      </c>
      <c r="B3" t="str">
        <f ca="1">IFERROR(__xludf.DUMMYFUNCTION("""COMPUTED_VALUE"""),"Albatros D4 - Oranje Wit (D) D3")</f>
        <v>Albatros D4 - Oranje Wit (D) D3</v>
      </c>
      <c r="C3" s="5">
        <f ca="1">IFERROR(__xludf.DUMMYFUNCTION("""COMPUTED_VALUE"""),0.39583333333212)</f>
        <v>0.39583333333212001</v>
      </c>
      <c r="D3" t="str">
        <f ca="1">IFERROR(__xludf.DUMMYFUNCTION("""COMPUTED_VALUE"""),"Sportpark Develstein")</f>
        <v>Sportpark Develstein</v>
      </c>
      <c r="F3" t="str">
        <f ca="1">IFERROR(__xludf.DUMMYFUNCTION("""COMPUTED_VALUE"""),"6aK40")</f>
        <v>6aK40</v>
      </c>
    </row>
    <row r="4" spans="1:7" ht="15.75" customHeight="1">
      <c r="A4" s="4">
        <f ca="1">IFERROR(__xludf.DUMMYFUNCTION("""COMPUTED_VALUE"""),44814)</f>
        <v>44814</v>
      </c>
      <c r="B4" t="str">
        <f ca="1">IFERROR(__xludf.DUMMYFUNCTION("""COMPUTED_VALUE"""),"Albatros F2 - Springfield F1")</f>
        <v>Albatros F2 - Springfield F1</v>
      </c>
      <c r="C4" s="5">
        <f ca="1">IFERROR(__xludf.DUMMYFUNCTION("""COMPUTED_VALUE"""),0.416666666667879)</f>
        <v>0.41666666666787899</v>
      </c>
      <c r="D4" t="str">
        <f ca="1">IFERROR(__xludf.DUMMYFUNCTION("""COMPUTED_VALUE"""),"Sportpark Develstein")</f>
        <v>Sportpark Develstein</v>
      </c>
      <c r="F4" t="str">
        <f ca="1">IFERROR(__xludf.DUMMYFUNCTION("""COMPUTED_VALUE"""),"4K24 A")</f>
        <v>4K24 A</v>
      </c>
    </row>
    <row r="5" spans="1:7" ht="15.75" customHeight="1">
      <c r="A5" s="4">
        <f ca="1">IFERROR(__xludf.DUMMYFUNCTION("""COMPUTED_VALUE"""),44814)</f>
        <v>44814</v>
      </c>
      <c r="B5" t="str">
        <f ca="1">IFERROR(__xludf.DUMMYFUNCTION("""COMPUTED_VALUE"""),"Albatros B3 - Sporting Delta B3")</f>
        <v>Albatros B3 - Sporting Delta B3</v>
      </c>
      <c r="C5" s="5">
        <f ca="1">IFERROR(__xludf.DUMMYFUNCTION("""COMPUTED_VALUE"""),0.4375)</f>
        <v>0.4375</v>
      </c>
      <c r="D5" t="str">
        <f ca="1">IFERROR(__xludf.DUMMYFUNCTION("""COMPUTED_VALUE"""),"Sportpark Develstein")</f>
        <v>Sportpark Develstein</v>
      </c>
      <c r="F5" t="str">
        <f ca="1">IFERROR(__xludf.DUMMYFUNCTION("""COMPUTED_VALUE"""),"6aK40")</f>
        <v>6aK40</v>
      </c>
    </row>
    <row r="6" spans="1:7" ht="15.75" customHeight="1">
      <c r="A6" s="4">
        <f ca="1">IFERROR(__xludf.DUMMYFUNCTION("""COMPUTED_VALUE"""),44814)</f>
        <v>44814</v>
      </c>
      <c r="B6" t="str">
        <f ca="1">IFERROR(__xludf.DUMMYFUNCTION("""COMPUTED_VALUE"""),"Albatros C1 - Die Haghe C1")</f>
        <v>Albatros C1 - Die Haghe C1</v>
      </c>
      <c r="C6" s="5">
        <f ca="1">IFERROR(__xludf.DUMMYFUNCTION("""COMPUTED_VALUE"""),0.4375)</f>
        <v>0.4375</v>
      </c>
      <c r="D6" t="str">
        <f ca="1">IFERROR(__xludf.DUMMYFUNCTION("""COMPUTED_VALUE"""),"Sportpark Develstein")</f>
        <v>Sportpark Develstein</v>
      </c>
      <c r="F6" t="str">
        <f ca="1">IFERROR(__xludf.DUMMYFUNCTION("""COMPUTED_VALUE"""),"1K40")</f>
        <v>1K40</v>
      </c>
    </row>
    <row r="7" spans="1:7" ht="15.75" customHeight="1">
      <c r="A7" s="4">
        <f ca="1">IFERROR(__xludf.DUMMYFUNCTION("""COMPUTED_VALUE"""),44814)</f>
        <v>44814</v>
      </c>
      <c r="B7" t="str">
        <f ca="1">IFERROR(__xludf.DUMMYFUNCTION("""COMPUTED_VALUE"""),"Albatros E1 - GKV/Enomics E1")</f>
        <v>Albatros E1 - GKV/Enomics E1</v>
      </c>
      <c r="C7" s="5">
        <f ca="1">IFERROR(__xludf.DUMMYFUNCTION("""COMPUTED_VALUE"""),0.45833333333212)</f>
        <v>0.45833333333212001</v>
      </c>
      <c r="D7" t="str">
        <f ca="1">IFERROR(__xludf.DUMMYFUNCTION("""COMPUTED_VALUE"""),"Sportpark Develstein")</f>
        <v>Sportpark Develstein</v>
      </c>
      <c r="F7" t="str">
        <f ca="1">IFERROR(__xludf.DUMMYFUNCTION("""COMPUTED_VALUE"""),"2K24 A")</f>
        <v>2K24 A</v>
      </c>
    </row>
    <row r="8" spans="1:7" ht="15.75" customHeight="1">
      <c r="A8" s="4">
        <f ca="1">IFERROR(__xludf.DUMMYFUNCTION("""COMPUTED_VALUE"""),44814)</f>
        <v>44814</v>
      </c>
      <c r="B8" t="str">
        <f ca="1">IFERROR(__xludf.DUMMYFUNCTION("""COMPUTED_VALUE"""),"Albatros E5 - ADO E1")</f>
        <v>Albatros E5 - ADO E1</v>
      </c>
      <c r="C8" s="5">
        <f ca="1">IFERROR(__xludf.DUMMYFUNCTION("""COMPUTED_VALUE"""),0.45833333333212)</f>
        <v>0.45833333333212001</v>
      </c>
      <c r="D8" t="str">
        <f ca="1">IFERROR(__xludf.DUMMYFUNCTION("""COMPUTED_VALUE"""),"Sportpark Develstein")</f>
        <v>Sportpark Develstein</v>
      </c>
      <c r="F8" t="str">
        <f ca="1">IFERROR(__xludf.DUMMYFUNCTION("""COMPUTED_VALUE"""),"4K24 A")</f>
        <v>4K24 A</v>
      </c>
    </row>
    <row r="9" spans="1:7" ht="15.75" customHeight="1">
      <c r="A9" s="4">
        <f ca="1">IFERROR(__xludf.DUMMYFUNCTION("""COMPUTED_VALUE"""),44814)</f>
        <v>44814</v>
      </c>
      <c r="B9" t="str">
        <f ca="1">IFERROR(__xludf.DUMMYFUNCTION("""COMPUTED_VALUE"""),"Albatros A2 - TOP (A) A1")</f>
        <v>Albatros A2 - TOP (A) A1</v>
      </c>
      <c r="C9" s="5">
        <f ca="1">IFERROR(__xludf.DUMMYFUNCTION("""COMPUTED_VALUE"""),0.48958333333212)</f>
        <v>0.48958333333212001</v>
      </c>
      <c r="D9" t="str">
        <f ca="1">IFERROR(__xludf.DUMMYFUNCTION("""COMPUTED_VALUE"""),"Sportpark Develstein")</f>
        <v>Sportpark Develstein</v>
      </c>
      <c r="F9" t="str">
        <f ca="1">IFERROR(__xludf.DUMMYFUNCTION("""COMPUTED_VALUE"""),"6aK40")</f>
        <v>6aK40</v>
      </c>
    </row>
    <row r="10" spans="1:7" ht="15.75" customHeight="1">
      <c r="A10" s="4">
        <f ca="1">IFERROR(__xludf.DUMMYFUNCTION("""COMPUTED_VALUE"""),44814)</f>
        <v>44814</v>
      </c>
      <c r="B10" t="str">
        <f ca="1">IFERROR(__xludf.DUMMYFUNCTION("""COMPUTED_VALUE"""),"Albatros B1 - Vriendenschaar (H) B1")</f>
        <v>Albatros B1 - Vriendenschaar (H) B1</v>
      </c>
      <c r="C10" s="5">
        <f ca="1">IFERROR(__xludf.DUMMYFUNCTION("""COMPUTED_VALUE"""),0.48958333333212)</f>
        <v>0.48958333333212001</v>
      </c>
      <c r="D10" t="str">
        <f ca="1">IFERROR(__xludf.DUMMYFUNCTION("""COMPUTED_VALUE"""),"Sportpark Develstein")</f>
        <v>Sportpark Develstein</v>
      </c>
      <c r="F10" t="str">
        <f ca="1">IFERROR(__xludf.DUMMYFUNCTION("""COMPUTED_VALUE"""),"1K40")</f>
        <v>1K40</v>
      </c>
    </row>
    <row r="11" spans="1:7" ht="15.75" customHeight="1">
      <c r="A11" s="4">
        <f ca="1">IFERROR(__xludf.DUMMYFUNCTION("""COMPUTED_VALUE"""),44814)</f>
        <v>44814</v>
      </c>
      <c r="B11" t="str">
        <f ca="1">IFERROR(__xludf.DUMMYFUNCTION("""COMPUTED_VALUE"""),"Albatros A1 - Nieuwerkerk A1")</f>
        <v>Albatros A1 - Nieuwerkerk A1</v>
      </c>
      <c r="C11" s="5">
        <f ca="1">IFERROR(__xludf.DUMMYFUNCTION("""COMPUTED_VALUE"""),0.541666666667879)</f>
        <v>0.54166666666787899</v>
      </c>
      <c r="D11" t="str">
        <f ca="1">IFERROR(__xludf.DUMMYFUNCTION("""COMPUTED_VALUE"""),"Sportpark Develstein")</f>
        <v>Sportpark Develstein</v>
      </c>
      <c r="F11" t="str">
        <f ca="1">IFERROR(__xludf.DUMMYFUNCTION("""COMPUTED_VALUE"""),"1K40")</f>
        <v>1K40</v>
      </c>
    </row>
    <row r="12" spans="1:7" ht="15.75" customHeight="1">
      <c r="A12" s="4">
        <f ca="1">IFERROR(__xludf.DUMMYFUNCTION("""COMPUTED_VALUE"""),44814)</f>
        <v>44814</v>
      </c>
      <c r="B12" t="str">
        <f ca="1">IFERROR(__xludf.DUMMYFUNCTION("""COMPUTED_VALUE"""),"Albatros A3 - SKV A1")</f>
        <v>Albatros A3 - SKV A1</v>
      </c>
      <c r="C12" s="5">
        <f ca="1">IFERROR(__xludf.DUMMYFUNCTION("""COMPUTED_VALUE"""),0.55208333333212)</f>
        <v>0.55208333333212001</v>
      </c>
      <c r="D12" t="str">
        <f ca="1">IFERROR(__xludf.DUMMYFUNCTION("""COMPUTED_VALUE"""),"Sportpark Develstein")</f>
        <v>Sportpark Develstein</v>
      </c>
      <c r="F12" t="str">
        <f ca="1">IFERROR(__xludf.DUMMYFUNCTION("""COMPUTED_VALUE"""),"6aK40")</f>
        <v>6aK40</v>
      </c>
    </row>
    <row r="13" spans="1:7" ht="15.75" customHeight="1">
      <c r="A13" s="4">
        <f ca="1">IFERROR(__xludf.DUMMYFUNCTION("""COMPUTED_VALUE"""),44814)</f>
        <v>44814</v>
      </c>
      <c r="B13" t="str">
        <f ca="1">IFERROR(__xludf.DUMMYFUNCTION("""COMPUTED_VALUE"""),"Albatros 7 - DeetosSnel 6")</f>
        <v>Albatros 7 - DeetosSnel 6</v>
      </c>
      <c r="C13" s="5">
        <f ca="1">IFERROR(__xludf.DUMMYFUNCTION("""COMPUTED_VALUE"""),0.5625)</f>
        <v>0.5625</v>
      </c>
      <c r="D13" t="str">
        <f ca="1">IFERROR(__xludf.DUMMYFUNCTION("""COMPUTED_VALUE"""),"Sportpark Develstein")</f>
        <v>Sportpark Develstein</v>
      </c>
      <c r="F13" s="6" t="str">
        <f ca="1">IFERROR(__xludf.DUMMYFUNCTION("""COMPUTED_VALUE"""),"3K40")</f>
        <v>3K40</v>
      </c>
    </row>
    <row r="14" spans="1:7" ht="15.75" customHeight="1">
      <c r="A14" s="4">
        <f ca="1">IFERROR(__xludf.DUMMYFUNCTION("""COMPUTED_VALUE"""),44814)</f>
        <v>44814</v>
      </c>
      <c r="B14" t="str">
        <f ca="1">IFERROR(__xludf.DUMMYFUNCTION("""COMPUTED_VALUE"""),"Albatros 2 - Kinderdijk 2")</f>
        <v>Albatros 2 - Kinderdijk 2</v>
      </c>
      <c r="C14" s="5">
        <f ca="1">IFERROR(__xludf.DUMMYFUNCTION("""COMPUTED_VALUE"""),0.604166666667879)</f>
        <v>0.60416666666787899</v>
      </c>
      <c r="D14" t="str">
        <f ca="1">IFERROR(__xludf.DUMMYFUNCTION("""COMPUTED_VALUE"""),"Sportpark Develstein")</f>
        <v>Sportpark Develstein</v>
      </c>
      <c r="F14" s="6" t="str">
        <f ca="1">IFERROR(__xludf.DUMMYFUNCTION("""COMPUTED_VALUE"""),"1K40")</f>
        <v>1K40</v>
      </c>
    </row>
    <row r="15" spans="1:7" ht="15.75" customHeight="1">
      <c r="A15" s="4">
        <f ca="1">IFERROR(__xludf.DUMMYFUNCTION("""COMPUTED_VALUE"""),44814)</f>
        <v>44814</v>
      </c>
      <c r="B15" t="str">
        <f ca="1">IFERROR(__xludf.DUMMYFUNCTION("""COMPUTED_VALUE"""),"Albatros 6 - PKC/Vertom 7")</f>
        <v>Albatros 6 - PKC/Vertom 7</v>
      </c>
      <c r="C15" s="5">
        <f ca="1">IFERROR(__xludf.DUMMYFUNCTION("""COMPUTED_VALUE"""),0.635416666667879)</f>
        <v>0.63541666666787899</v>
      </c>
      <c r="D15" t="str">
        <f ca="1">IFERROR(__xludf.DUMMYFUNCTION("""COMPUTED_VALUE"""),"Sportpark Develstein")</f>
        <v>Sportpark Develstein</v>
      </c>
      <c r="F15" t="str">
        <f ca="1">IFERROR(__xludf.DUMMYFUNCTION("""COMPUTED_VALUE"""),"3K40")</f>
        <v>3K40</v>
      </c>
    </row>
    <row r="16" spans="1:7" ht="15.75" customHeight="1">
      <c r="A16" s="4">
        <f ca="1">IFERROR(__xludf.DUMMYFUNCTION("""COMPUTED_VALUE"""),44814)</f>
        <v>44814</v>
      </c>
      <c r="B16" t="str">
        <f ca="1">IFERROR(__xludf.DUMMYFUNCTION("""COMPUTED_VALUE"""),"Albatros 1 - Kinderdijk 1")</f>
        <v>Albatros 1 - Kinderdijk 1</v>
      </c>
      <c r="C16" s="5">
        <f ca="1">IFERROR(__xludf.DUMMYFUNCTION("""COMPUTED_VALUE"""),0.666666666667879)</f>
        <v>0.66666666666787899</v>
      </c>
      <c r="D16" t="str">
        <f ca="1">IFERROR(__xludf.DUMMYFUNCTION("""COMPUTED_VALUE"""),"Sportpark Develstein")</f>
        <v>Sportpark Develstein</v>
      </c>
      <c r="F16" t="str">
        <f ca="1">IFERROR(__xludf.DUMMYFUNCTION("""COMPUTED_VALUE"""),"1K40")</f>
        <v>1K40</v>
      </c>
    </row>
    <row r="17" spans="1:6" ht="15.75" customHeight="1">
      <c r="A17" s="4">
        <f ca="1">IFERROR(__xludf.DUMMYFUNCTION("""COMPUTED_VALUE"""),44814)</f>
        <v>44814</v>
      </c>
      <c r="B17" t="str">
        <f ca="1">IFERROR(__xludf.DUMMYFUNCTION("""COMPUTED_VALUE"""),"Albatros 9 - Merwede/Multiplaat 6")</f>
        <v>Albatros 9 - Merwede/Multiplaat 6</v>
      </c>
      <c r="C17" s="5">
        <f ca="1">IFERROR(__xludf.DUMMYFUNCTION("""COMPUTED_VALUE"""),0.70833333333212)</f>
        <v>0.70833333333212001</v>
      </c>
      <c r="D17" t="str">
        <f ca="1">IFERROR(__xludf.DUMMYFUNCTION("""COMPUTED_VALUE"""),"Sportpark Develstein")</f>
        <v>Sportpark Develstein</v>
      </c>
      <c r="F17" t="str">
        <f ca="1">IFERROR(__xludf.DUMMYFUNCTION("""COMPUTED_VALUE"""),"3K40")</f>
        <v>3K40</v>
      </c>
    </row>
    <row r="18" spans="1:6" ht="15.75" customHeight="1">
      <c r="A18" s="4">
        <f ca="1">IFERROR(__xludf.DUMMYFUNCTION("""COMPUTED_VALUE"""),44814)</f>
        <v>44814</v>
      </c>
      <c r="B18" t="str">
        <f ca="1">IFERROR(__xludf.DUMMYFUNCTION("""COMPUTED_VALUE"""),"Albatros 3 - VEO 4")</f>
        <v>Albatros 3 - VEO 4</v>
      </c>
      <c r="C18" s="5">
        <f ca="1">IFERROR(__xludf.DUMMYFUNCTION("""COMPUTED_VALUE"""),0.729166666667879)</f>
        <v>0.72916666666787899</v>
      </c>
      <c r="D18" t="str">
        <f ca="1">IFERROR(__xludf.DUMMYFUNCTION("""COMPUTED_VALUE"""),"Sportpark Develstein")</f>
        <v>Sportpark Develstein</v>
      </c>
      <c r="F18" t="str">
        <f ca="1">IFERROR(__xludf.DUMMYFUNCTION("""COMPUTED_VALUE"""),"1K40")</f>
        <v>1K40</v>
      </c>
    </row>
    <row r="19" spans="1:6" ht="15.75" customHeight="1">
      <c r="A19" s="4">
        <f ca="1">IFERROR(__xludf.DUMMYFUNCTION("""COMPUTED_VALUE"""),44821)</f>
        <v>44821</v>
      </c>
      <c r="B19" t="str">
        <f ca="1">IFERROR(__xludf.DUMMYFUNCTION("""COMPUTED_VALUE"""),"Albatros D1 - Oranje Wit (D) D1")</f>
        <v>Albatros D1 - Oranje Wit (D) D1</v>
      </c>
      <c r="C19" s="5">
        <f ca="1">IFERROR(__xludf.DUMMYFUNCTION("""COMPUTED_VALUE"""),0.39583333333212)</f>
        <v>0.39583333333212001</v>
      </c>
      <c r="D19" t="str">
        <f ca="1">IFERROR(__xludf.DUMMYFUNCTION("""COMPUTED_VALUE"""),"Sportpark Develstein")</f>
        <v>Sportpark Develstein</v>
      </c>
      <c r="F19" t="str">
        <f ca="1">IFERROR(__xludf.DUMMYFUNCTION("""COMPUTED_VALUE"""),"1K40")</f>
        <v>1K40</v>
      </c>
    </row>
    <row r="20" spans="1:6" ht="15.75" customHeight="1">
      <c r="A20" s="4">
        <f ca="1">IFERROR(__xludf.DUMMYFUNCTION("""COMPUTED_VALUE"""),44821)</f>
        <v>44821</v>
      </c>
      <c r="B20" t="str">
        <f ca="1">IFERROR(__xludf.DUMMYFUNCTION("""COMPUTED_VALUE"""),"Albatros D3 - ACKC D1")</f>
        <v>Albatros D3 - ACKC D1</v>
      </c>
      <c r="C20" s="5">
        <f ca="1">IFERROR(__xludf.DUMMYFUNCTION("""COMPUTED_VALUE"""),0.39583333333212)</f>
        <v>0.39583333333212001</v>
      </c>
      <c r="D20" t="str">
        <f ca="1">IFERROR(__xludf.DUMMYFUNCTION("""COMPUTED_VALUE"""),"Sportpark Develstein")</f>
        <v>Sportpark Develstein</v>
      </c>
      <c r="F20" t="str">
        <f ca="1">IFERROR(__xludf.DUMMYFUNCTION("""COMPUTED_VALUE"""),"3K40")</f>
        <v>3K40</v>
      </c>
    </row>
    <row r="21" spans="1:6" ht="15.75" customHeight="1">
      <c r="A21" s="4">
        <f ca="1">IFERROR(__xludf.DUMMYFUNCTION("""COMPUTED_VALUE"""),44821)</f>
        <v>44821</v>
      </c>
      <c r="B21" t="str">
        <f ca="1">IFERROR(__xludf.DUMMYFUNCTION("""COMPUTED_VALUE"""),"Albatros E2 - PKC/Vertom E2")</f>
        <v>Albatros E2 - PKC/Vertom E2</v>
      </c>
      <c r="C21" s="5">
        <f ca="1">IFERROR(__xludf.DUMMYFUNCTION("""COMPUTED_VALUE"""),0.39583333333212)</f>
        <v>0.39583333333212001</v>
      </c>
      <c r="D21" t="str">
        <f ca="1">IFERROR(__xludf.DUMMYFUNCTION("""COMPUTED_VALUE"""),"Sportpark Develstein")</f>
        <v>Sportpark Develstein</v>
      </c>
      <c r="F21" t="str">
        <f ca="1">IFERROR(__xludf.DUMMYFUNCTION("""COMPUTED_VALUE"""),"2K24 A")</f>
        <v>2K24 A</v>
      </c>
    </row>
    <row r="22" spans="1:6" ht="15.75" customHeight="1">
      <c r="A22" s="4">
        <f ca="1">IFERROR(__xludf.DUMMYFUNCTION("""COMPUTED_VALUE"""),44821)</f>
        <v>44821</v>
      </c>
      <c r="B22" t="str">
        <f ca="1">IFERROR(__xludf.DUMMYFUNCTION("""COMPUTED_VALUE"""),"Albatros F1 - Merwede/Multiplaat F1")</f>
        <v>Albatros F1 - Merwede/Multiplaat F1</v>
      </c>
      <c r="C22" s="5">
        <f ca="1">IFERROR(__xludf.DUMMYFUNCTION("""COMPUTED_VALUE"""),0.416666666667879)</f>
        <v>0.41666666666787899</v>
      </c>
      <c r="D22" t="str">
        <f ca="1">IFERROR(__xludf.DUMMYFUNCTION("""COMPUTED_VALUE"""),"Sportpark Develstein")</f>
        <v>Sportpark Develstein</v>
      </c>
      <c r="F22" t="str">
        <f ca="1">IFERROR(__xludf.DUMMYFUNCTION("""COMPUTED_VALUE"""),"4K24 A")</f>
        <v>4K24 A</v>
      </c>
    </row>
    <row r="23" spans="1:6" ht="15.75" customHeight="1">
      <c r="A23" s="4">
        <f ca="1">IFERROR(__xludf.DUMMYFUNCTION("""COMPUTED_VALUE"""),44821)</f>
        <v>44821</v>
      </c>
      <c r="B23" t="str">
        <f ca="1">IFERROR(__xludf.DUMMYFUNCTION("""COMPUTED_VALUE"""),"Albatros B2 - KCR B2")</f>
        <v>Albatros B2 - KCR B2</v>
      </c>
      <c r="C23" s="5">
        <f ca="1">IFERROR(__xludf.DUMMYFUNCTION("""COMPUTED_VALUE"""),0.4375)</f>
        <v>0.4375</v>
      </c>
      <c r="D23" t="str">
        <f ca="1">IFERROR(__xludf.DUMMYFUNCTION("""COMPUTED_VALUE"""),"Sportpark Develstein")</f>
        <v>Sportpark Develstein</v>
      </c>
      <c r="F23" t="str">
        <f ca="1">IFERROR(__xludf.DUMMYFUNCTION("""COMPUTED_VALUE"""),"1K40")</f>
        <v>1K40</v>
      </c>
    </row>
    <row r="24" spans="1:6" ht="15.75" customHeight="1">
      <c r="A24" s="4">
        <f ca="1">IFERROR(__xludf.DUMMYFUNCTION("""COMPUTED_VALUE"""),44821)</f>
        <v>44821</v>
      </c>
      <c r="B24" t="str">
        <f ca="1">IFERROR(__xludf.DUMMYFUNCTION("""COMPUTED_VALUE"""),"Albatros C4 - KCC/CK Kozijnen C2")</f>
        <v>Albatros C4 - KCC/CK Kozijnen C2</v>
      </c>
      <c r="C24" s="5">
        <f ca="1">IFERROR(__xludf.DUMMYFUNCTION("""COMPUTED_VALUE"""),0.4375)</f>
        <v>0.4375</v>
      </c>
      <c r="D24" t="str">
        <f ca="1">IFERROR(__xludf.DUMMYFUNCTION("""COMPUTED_VALUE"""),"Sportpark Develstein")</f>
        <v>Sportpark Develstein</v>
      </c>
      <c r="F24" t="str">
        <f ca="1">IFERROR(__xludf.DUMMYFUNCTION("""COMPUTED_VALUE"""),"3K40")</f>
        <v>3K40</v>
      </c>
    </row>
    <row r="25" spans="1:6" ht="15.75" customHeight="1">
      <c r="A25" s="4">
        <f ca="1">IFERROR(__xludf.DUMMYFUNCTION("""COMPUTED_VALUE"""),44821)</f>
        <v>44821</v>
      </c>
      <c r="B25" t="str">
        <f ca="1">IFERROR(__xludf.DUMMYFUNCTION("""COMPUTED_VALUE"""),"Albatros E3 - DVS '69 E1")</f>
        <v>Albatros E3 - DVS '69 E1</v>
      </c>
      <c r="C25" s="5">
        <f ca="1">IFERROR(__xludf.DUMMYFUNCTION("""COMPUTED_VALUE"""),0.4375)</f>
        <v>0.4375</v>
      </c>
      <c r="D25" t="str">
        <f ca="1">IFERROR(__xludf.DUMMYFUNCTION("""COMPUTED_VALUE"""),"Sportpark Develstein")</f>
        <v>Sportpark Develstein</v>
      </c>
      <c r="F25" s="7" t="str">
        <f ca="1">IFERROR(__xludf.DUMMYFUNCTION("""COMPUTED_VALUE"""),"2K24 A")</f>
        <v>2K24 A</v>
      </c>
    </row>
    <row r="26" spans="1:6" ht="15.75" customHeight="1">
      <c r="A26" s="4">
        <f ca="1">IFERROR(__xludf.DUMMYFUNCTION("""COMPUTED_VALUE"""),44821)</f>
        <v>44821</v>
      </c>
      <c r="B26" t="str">
        <f ca="1">IFERROR(__xludf.DUMMYFUNCTION("""COMPUTED_VALUE"""),"Albatros F3 - GKV/Enomics F2")</f>
        <v>Albatros F3 - GKV/Enomics F2</v>
      </c>
      <c r="C26" s="5">
        <f ca="1">IFERROR(__xludf.DUMMYFUNCTION("""COMPUTED_VALUE"""),0.45833333333212)</f>
        <v>0.45833333333212001</v>
      </c>
      <c r="D26" t="str">
        <f ca="1">IFERROR(__xludf.DUMMYFUNCTION("""COMPUTED_VALUE"""),"Sportpark Develstein")</f>
        <v>Sportpark Develstein</v>
      </c>
      <c r="F26" t="str">
        <f ca="1">IFERROR(__xludf.DUMMYFUNCTION("""COMPUTED_VALUE"""),"4K24 A")</f>
        <v>4K24 A</v>
      </c>
    </row>
    <row r="27" spans="1:6" ht="15.75" customHeight="1">
      <c r="A27" s="4">
        <f ca="1">IFERROR(__xludf.DUMMYFUNCTION("""COMPUTED_VALUE"""),44821)</f>
        <v>44821</v>
      </c>
      <c r="B27" t="str">
        <f ca="1">IFERROR(__xludf.DUMMYFUNCTION("""COMPUTED_VALUE"""),"Albatros C3 - DeetosSnel C2")</f>
        <v>Albatros C3 - DeetosSnel C2</v>
      </c>
      <c r="C27" s="5">
        <f ca="1">IFERROR(__xludf.DUMMYFUNCTION("""COMPUTED_VALUE"""),0.479166666667879)</f>
        <v>0.47916666666787899</v>
      </c>
      <c r="D27" t="str">
        <f ca="1">IFERROR(__xludf.DUMMYFUNCTION("""COMPUTED_VALUE"""),"Sportpark Develstein")</f>
        <v>Sportpark Develstein</v>
      </c>
      <c r="F27" t="str">
        <f ca="1">IFERROR(__xludf.DUMMYFUNCTION("""COMPUTED_VALUE"""),"3K40")</f>
        <v>3K40</v>
      </c>
    </row>
    <row r="28" spans="1:6" ht="15.75" customHeight="1">
      <c r="A28" s="4">
        <f ca="1">IFERROR(__xludf.DUMMYFUNCTION("""COMPUTED_VALUE"""),44821)</f>
        <v>44821</v>
      </c>
      <c r="B28" t="str">
        <f ca="1">IFERROR(__xludf.DUMMYFUNCTION("""COMPUTED_VALUE"""),"Albatros E4 - Movado E1")</f>
        <v>Albatros E4 - Movado E1</v>
      </c>
      <c r="C28" s="5">
        <f ca="1">IFERROR(__xludf.DUMMYFUNCTION("""COMPUTED_VALUE"""),0.479166666667879)</f>
        <v>0.47916666666787899</v>
      </c>
      <c r="D28" t="str">
        <f ca="1">IFERROR(__xludf.DUMMYFUNCTION("""COMPUTED_VALUE"""),"Sportpark Develstein")</f>
        <v>Sportpark Develstein</v>
      </c>
      <c r="F28" t="str">
        <f ca="1">IFERROR(__xludf.DUMMYFUNCTION("""COMPUTED_VALUE"""),"2K24 A")</f>
        <v>2K24 A</v>
      </c>
    </row>
    <row r="29" spans="1:6" ht="15.75" customHeight="1">
      <c r="A29" s="4">
        <f ca="1">IFERROR(__xludf.DUMMYFUNCTION("""COMPUTED_VALUE"""),44821)</f>
        <v>44821</v>
      </c>
      <c r="B29" t="str">
        <f ca="1">IFERROR(__xludf.DUMMYFUNCTION("""COMPUTED_VALUE"""),"Albatros C2 - Fortis C1")</f>
        <v>Albatros C2 - Fortis C1</v>
      </c>
      <c r="C29" s="5">
        <f ca="1">IFERROR(__xludf.DUMMYFUNCTION("""COMPUTED_VALUE"""),0.5)</f>
        <v>0.5</v>
      </c>
      <c r="D29" t="str">
        <f ca="1">IFERROR(__xludf.DUMMYFUNCTION("""COMPUTED_VALUE"""),"Sportpark Develstein")</f>
        <v>Sportpark Develstein</v>
      </c>
      <c r="F29" t="str">
        <f ca="1">IFERROR(__xludf.DUMMYFUNCTION("""COMPUTED_VALUE"""),"1K40")</f>
        <v>1K40</v>
      </c>
    </row>
    <row r="30" spans="1:6" ht="13.2">
      <c r="A30" s="4">
        <f ca="1">IFERROR(__xludf.DUMMYFUNCTION("""COMPUTED_VALUE"""),44821)</f>
        <v>44821</v>
      </c>
      <c r="B30" t="str">
        <f ca="1">IFERROR(__xludf.DUMMYFUNCTION("""COMPUTED_VALUE"""),"Albatros A4 - ACKC A2")</f>
        <v>Albatros A4 - ACKC A2</v>
      </c>
      <c r="C30" s="5">
        <f ca="1">IFERROR(__xludf.DUMMYFUNCTION("""COMPUTED_VALUE"""),0.53125)</f>
        <v>0.53125</v>
      </c>
      <c r="D30" t="str">
        <f ca="1">IFERROR(__xludf.DUMMYFUNCTION("""COMPUTED_VALUE"""),"Sportpark Develstein")</f>
        <v>Sportpark Develstein</v>
      </c>
      <c r="F30" t="str">
        <f ca="1">IFERROR(__xludf.DUMMYFUNCTION("""COMPUTED_VALUE"""),"3K40")</f>
        <v>3K40</v>
      </c>
    </row>
    <row r="31" spans="1:6" ht="13.2">
      <c r="A31" s="4">
        <f ca="1">IFERROR(__xludf.DUMMYFUNCTION("""COMPUTED_VALUE"""),44821)</f>
        <v>44821</v>
      </c>
      <c r="B31" t="str">
        <f ca="1">IFERROR(__xludf.DUMMYFUNCTION("""COMPUTED_VALUE"""),"Albatros 8 - PKC/Vertom 8")</f>
        <v>Albatros 8 - PKC/Vertom 8</v>
      </c>
      <c r="C31" s="5">
        <f ca="1">IFERROR(__xludf.DUMMYFUNCTION("""COMPUTED_VALUE"""),0.55208333333212)</f>
        <v>0.55208333333212001</v>
      </c>
      <c r="D31" t="str">
        <f ca="1">IFERROR(__xludf.DUMMYFUNCTION("""COMPUTED_VALUE"""),"Sportpark Develstein")</f>
        <v>Sportpark Develstein</v>
      </c>
      <c r="F31" t="str">
        <f ca="1">IFERROR(__xludf.DUMMYFUNCTION("""COMPUTED_VALUE"""),"1K40")</f>
        <v>1K40</v>
      </c>
    </row>
    <row r="32" spans="1:6" ht="13.2">
      <c r="A32" s="4">
        <f ca="1">IFERROR(__xludf.DUMMYFUNCTION("""COMPUTED_VALUE"""),44821)</f>
        <v>44821</v>
      </c>
      <c r="B32" t="str">
        <f ca="1">IFERROR(__xludf.DUMMYFUNCTION("""COMPUTED_VALUE"""),"Albatros 5 - Vitesse (Ba) 3")</f>
        <v>Albatros 5 - Vitesse (Ba) 3</v>
      </c>
      <c r="C32" s="5">
        <f ca="1">IFERROR(__xludf.DUMMYFUNCTION("""COMPUTED_VALUE"""),0.61458333333212)</f>
        <v>0.61458333333212001</v>
      </c>
      <c r="D32" t="str">
        <f ca="1">IFERROR(__xludf.DUMMYFUNCTION("""COMPUTED_VALUE"""),"Sportpark Develstein")</f>
        <v>Sportpark Develstein</v>
      </c>
      <c r="F32" t="str">
        <f ca="1">IFERROR(__xludf.DUMMYFUNCTION("""COMPUTED_VALUE"""),"1K40")</f>
        <v>1K40</v>
      </c>
    </row>
    <row r="33" spans="1:6" ht="13.2">
      <c r="A33" s="4">
        <f ca="1">IFERROR(__xludf.DUMMYFUNCTION("""COMPUTED_VALUE"""),44821)</f>
        <v>44821</v>
      </c>
      <c r="B33" t="str">
        <f ca="1">IFERROR(__xludf.DUMMYFUNCTION("""COMPUTED_VALUE"""),"Albatros 4 - Vitesse (Ba) 4")</f>
        <v>Albatros 4 - Vitesse (Ba) 4</v>
      </c>
      <c r="C33" s="5">
        <f ca="1">IFERROR(__xludf.DUMMYFUNCTION("""COMPUTED_VALUE"""),0.67708333333212)</f>
        <v>0.67708333333212001</v>
      </c>
      <c r="D33" t="str">
        <f ca="1">IFERROR(__xludf.DUMMYFUNCTION("""COMPUTED_VALUE"""),"Sportpark Develstein")</f>
        <v>Sportpark Develstein</v>
      </c>
      <c r="F33" t="str">
        <f ca="1">IFERROR(__xludf.DUMMYFUNCTION("""COMPUTED_VALUE"""),"1K40")</f>
        <v>1K40</v>
      </c>
    </row>
    <row r="34" spans="1:6" ht="13.2">
      <c r="A34" s="4">
        <f ca="1">IFERROR(__xludf.DUMMYFUNCTION("""COMPUTED_VALUE"""),44825)</f>
        <v>44825</v>
      </c>
      <c r="B34" t="str">
        <f ca="1">IFERROR(__xludf.DUMMYFUNCTION("""COMPUTED_VALUE"""),"Albatros/Conventus MW1 - Vriendenschaar (H) MW3")</f>
        <v>Albatros/Conventus MW1 - Vriendenschaar (H) MW3</v>
      </c>
      <c r="C34" s="5">
        <f ca="1">IFERROR(__xludf.DUMMYFUNCTION("""COMPUTED_VALUE"""),0.854166666667879)</f>
        <v>0.85416666666787899</v>
      </c>
      <c r="D34" t="str">
        <f ca="1">IFERROR(__xludf.DUMMYFUNCTION("""COMPUTED_VALUE"""),"Sportpark Develstein")</f>
        <v>Sportpark Develstein</v>
      </c>
      <c r="F34" t="str">
        <f ca="1">IFERROR(__xludf.DUMMYFUNCTION("""COMPUTED_VALUE"""),"1K40")</f>
        <v>1K40</v>
      </c>
    </row>
    <row r="35" spans="1:6" ht="13.2">
      <c r="A35" s="4">
        <f ca="1">IFERROR(__xludf.DUMMYFUNCTION("""COMPUTED_VALUE"""),44828)</f>
        <v>44828</v>
      </c>
      <c r="B35" t="str">
        <f ca="1">IFERROR(__xludf.DUMMYFUNCTION("""COMPUTED_VALUE"""),"Albatros C4 - RWA C3")</f>
        <v>Albatros C4 - RWA C3</v>
      </c>
      <c r="C35" s="5">
        <f ca="1">IFERROR(__xludf.DUMMYFUNCTION("""COMPUTED_VALUE"""),0.39583333333212)</f>
        <v>0.39583333333212001</v>
      </c>
      <c r="D35" t="str">
        <f ca="1">IFERROR(__xludf.DUMMYFUNCTION("""COMPUTED_VALUE"""),"Sportpark Develstein")</f>
        <v>Sportpark Develstein</v>
      </c>
      <c r="F35" t="str">
        <f ca="1">IFERROR(__xludf.DUMMYFUNCTION("""COMPUTED_VALUE"""),"3K40")</f>
        <v>3K40</v>
      </c>
    </row>
    <row r="36" spans="1:6" ht="13.2">
      <c r="A36" s="4">
        <f ca="1">IFERROR(__xludf.DUMMYFUNCTION("""COMPUTED_VALUE"""),44828)</f>
        <v>44828</v>
      </c>
      <c r="B36" t="str">
        <f ca="1">IFERROR(__xludf.DUMMYFUNCTION("""COMPUTED_VALUE"""),"Albatros D3 - KCR D2")</f>
        <v>Albatros D3 - KCR D2</v>
      </c>
      <c r="C36" s="5">
        <f ca="1">IFERROR(__xludf.DUMMYFUNCTION("""COMPUTED_VALUE"""),0.39583333333212)</f>
        <v>0.39583333333212001</v>
      </c>
      <c r="D36" t="str">
        <f ca="1">IFERROR(__xludf.DUMMYFUNCTION("""COMPUTED_VALUE"""),"Sportpark Develstein")</f>
        <v>Sportpark Develstein</v>
      </c>
      <c r="F36" t="str">
        <f ca="1">IFERROR(__xludf.DUMMYFUNCTION("""COMPUTED_VALUE"""),"6aK40")</f>
        <v>6aK40</v>
      </c>
    </row>
    <row r="37" spans="1:6" ht="13.2">
      <c r="A37" s="4">
        <f ca="1">IFERROR(__xludf.DUMMYFUNCTION("""COMPUTED_VALUE"""),44828)</f>
        <v>44828</v>
      </c>
      <c r="B37" t="str">
        <f ca="1">IFERROR(__xludf.DUMMYFUNCTION("""COMPUTED_VALUE"""),"Albatros E2 - Kinderdijk E1")</f>
        <v>Albatros E2 - Kinderdijk E1</v>
      </c>
      <c r="C37" s="5">
        <f ca="1">IFERROR(__xludf.DUMMYFUNCTION("""COMPUTED_VALUE"""),0.39583333333212)</f>
        <v>0.39583333333212001</v>
      </c>
      <c r="D37" t="str">
        <f ca="1">IFERROR(__xludf.DUMMYFUNCTION("""COMPUTED_VALUE"""),"Sportpark Develstein")</f>
        <v>Sportpark Develstein</v>
      </c>
      <c r="F37" t="str">
        <f ca="1">IFERROR(__xludf.DUMMYFUNCTION("""COMPUTED_VALUE"""),"2K24 A")</f>
        <v>2K24 A</v>
      </c>
    </row>
    <row r="38" spans="1:6" ht="13.2">
      <c r="A38" s="4">
        <f ca="1">IFERROR(__xludf.DUMMYFUNCTION("""COMPUTED_VALUE"""),44828)</f>
        <v>44828</v>
      </c>
      <c r="B38" t="str">
        <f ca="1">IFERROR(__xludf.DUMMYFUNCTION("""COMPUTED_VALUE"""),"Albatros B1 - DeetosSnel B1")</f>
        <v>Albatros B1 - DeetosSnel B1</v>
      </c>
      <c r="C38" s="5">
        <f ca="1">IFERROR(__xludf.DUMMYFUNCTION("""COMPUTED_VALUE"""),0.416666666667879)</f>
        <v>0.41666666666787899</v>
      </c>
      <c r="D38" t="str">
        <f ca="1">IFERROR(__xludf.DUMMYFUNCTION("""COMPUTED_VALUE"""),"Sportpark Develstein")</f>
        <v>Sportpark Develstein</v>
      </c>
      <c r="F38" t="str">
        <f ca="1">IFERROR(__xludf.DUMMYFUNCTION("""COMPUTED_VALUE"""),"1K40")</f>
        <v>1K40</v>
      </c>
    </row>
    <row r="39" spans="1:6" ht="13.2">
      <c r="A39" s="4">
        <f ca="1">IFERROR(__xludf.DUMMYFUNCTION("""COMPUTED_VALUE"""),44828)</f>
        <v>44828</v>
      </c>
      <c r="B39" t="str">
        <f ca="1">IFERROR(__xludf.DUMMYFUNCTION("""COMPUTED_VALUE"""),"Albatros F1 - PKC/Vertom F1")</f>
        <v>Albatros F1 - PKC/Vertom F1</v>
      </c>
      <c r="C39" s="5">
        <f ca="1">IFERROR(__xludf.DUMMYFUNCTION("""COMPUTED_VALUE"""),0.416666666667879)</f>
        <v>0.41666666666787899</v>
      </c>
      <c r="D39" t="str">
        <f ca="1">IFERROR(__xludf.DUMMYFUNCTION("""COMPUTED_VALUE"""),"Sportpark Develstein")</f>
        <v>Sportpark Develstein</v>
      </c>
      <c r="F39" t="str">
        <f ca="1">IFERROR(__xludf.DUMMYFUNCTION("""COMPUTED_VALUE"""),"4K24 A")</f>
        <v>4K24 A</v>
      </c>
    </row>
    <row r="40" spans="1:6" ht="13.2">
      <c r="A40" s="4">
        <f ca="1">IFERROR(__xludf.DUMMYFUNCTION("""COMPUTED_VALUE"""),44828)</f>
        <v>44828</v>
      </c>
      <c r="B40" t="str">
        <f ca="1">IFERROR(__xludf.DUMMYFUNCTION("""COMPUTED_VALUE"""),"Albatros C2 - Swift (M) C1")</f>
        <v>Albatros C2 - Swift (M) C1</v>
      </c>
      <c r="C40" s="5">
        <f ca="1">IFERROR(__xludf.DUMMYFUNCTION("""COMPUTED_VALUE"""),0.4375)</f>
        <v>0.4375</v>
      </c>
      <c r="D40" t="str">
        <f ca="1">IFERROR(__xludf.DUMMYFUNCTION("""COMPUTED_VALUE"""),"Sportpark Develstein")</f>
        <v>Sportpark Develstein</v>
      </c>
      <c r="F40" t="str">
        <f ca="1">IFERROR(__xludf.DUMMYFUNCTION("""COMPUTED_VALUE"""),"3K40")</f>
        <v>3K40</v>
      </c>
    </row>
    <row r="41" spans="1:6" ht="13.2">
      <c r="A41" s="4">
        <f ca="1">IFERROR(__xludf.DUMMYFUNCTION("""COMPUTED_VALUE"""),44828)</f>
        <v>44828</v>
      </c>
      <c r="B41" t="str">
        <f ca="1">IFERROR(__xludf.DUMMYFUNCTION("""COMPUTED_VALUE"""),"Albatros D4 - Korbatjo D1")</f>
        <v>Albatros D4 - Korbatjo D1</v>
      </c>
      <c r="C41" s="5">
        <f ca="1">IFERROR(__xludf.DUMMYFUNCTION("""COMPUTED_VALUE"""),0.4375)</f>
        <v>0.4375</v>
      </c>
      <c r="D41" t="str">
        <f ca="1">IFERROR(__xludf.DUMMYFUNCTION("""COMPUTED_VALUE"""),"Sportpark Develstein")</f>
        <v>Sportpark Develstein</v>
      </c>
      <c r="F41" s="6" t="str">
        <f ca="1">IFERROR(__xludf.DUMMYFUNCTION("""COMPUTED_VALUE"""),"6aK40")</f>
        <v>6aK40</v>
      </c>
    </row>
    <row r="42" spans="1:6" ht="13.2">
      <c r="A42" s="4">
        <f ca="1">IFERROR(__xludf.DUMMYFUNCTION("""COMPUTED_VALUE"""),44828)</f>
        <v>44828</v>
      </c>
      <c r="B42" t="str">
        <f ca="1">IFERROR(__xludf.DUMMYFUNCTION("""COMPUTED_VALUE"""),"Albatros E5 - DSO (K) E3")</f>
        <v>Albatros E5 - DSO (K) E3</v>
      </c>
      <c r="C42" s="5">
        <f ca="1">IFERROR(__xludf.DUMMYFUNCTION("""COMPUTED_VALUE"""),0.4375)</f>
        <v>0.4375</v>
      </c>
      <c r="D42" t="str">
        <f ca="1">IFERROR(__xludf.DUMMYFUNCTION("""COMPUTED_VALUE"""),"Sportpark Develstein")</f>
        <v>Sportpark Develstein</v>
      </c>
      <c r="F42" t="str">
        <f ca="1">IFERROR(__xludf.DUMMYFUNCTION("""COMPUTED_VALUE"""),"2K24 A")</f>
        <v>2K24 A</v>
      </c>
    </row>
    <row r="43" spans="1:6" ht="13.2">
      <c r="A43" s="4">
        <f ca="1">IFERROR(__xludf.DUMMYFUNCTION("""COMPUTED_VALUE"""),44828)</f>
        <v>44828</v>
      </c>
      <c r="B43" t="str">
        <f ca="1">IFERROR(__xludf.DUMMYFUNCTION("""COMPUTED_VALUE"""),"Albatros E4 - HKC (Ha) E5")</f>
        <v>Albatros E4 - HKC (Ha) E5</v>
      </c>
      <c r="C43" s="5">
        <f ca="1">IFERROR(__xludf.DUMMYFUNCTION("""COMPUTED_VALUE"""),0.45833333333212)</f>
        <v>0.45833333333212001</v>
      </c>
      <c r="D43" t="str">
        <f ca="1">IFERROR(__xludf.DUMMYFUNCTION("""COMPUTED_VALUE"""),"Sportpark Develstein")</f>
        <v>Sportpark Develstein</v>
      </c>
      <c r="F43" t="str">
        <f ca="1">IFERROR(__xludf.DUMMYFUNCTION("""COMPUTED_VALUE"""),"4K24 A")</f>
        <v>4K24 A</v>
      </c>
    </row>
    <row r="44" spans="1:6" ht="13.2">
      <c r="A44" s="4">
        <f ca="1">IFERROR(__xludf.DUMMYFUNCTION("""COMPUTED_VALUE"""),44828)</f>
        <v>44828</v>
      </c>
      <c r="B44" t="str">
        <f ca="1">IFERROR(__xludf.DUMMYFUNCTION("""COMPUTED_VALUE"""),"Albatros A2 - Fortis A1")</f>
        <v>Albatros A2 - Fortis A1</v>
      </c>
      <c r="C44" s="5">
        <f ca="1">IFERROR(__xludf.DUMMYFUNCTION("""COMPUTED_VALUE"""),0.46875)</f>
        <v>0.46875</v>
      </c>
      <c r="D44" t="str">
        <f ca="1">IFERROR(__xludf.DUMMYFUNCTION("""COMPUTED_VALUE"""),"Sportpark Develstein")</f>
        <v>Sportpark Develstein</v>
      </c>
      <c r="F44" t="str">
        <f ca="1">IFERROR(__xludf.DUMMYFUNCTION("""COMPUTED_VALUE"""),"1K40")</f>
        <v>1K40</v>
      </c>
    </row>
    <row r="45" spans="1:6" ht="13.2">
      <c r="A45" s="4">
        <f ca="1">IFERROR(__xludf.DUMMYFUNCTION("""COMPUTED_VALUE"""),44828)</f>
        <v>44828</v>
      </c>
      <c r="B45" t="str">
        <f ca="1">IFERROR(__xludf.DUMMYFUNCTION("""COMPUTED_VALUE"""),"Albatros B3 - Merwede/Multiplaat B2")</f>
        <v>Albatros B3 - Merwede/Multiplaat B2</v>
      </c>
      <c r="C45" s="5">
        <f ca="1">IFERROR(__xludf.DUMMYFUNCTION("""COMPUTED_VALUE"""),0.479166666667879)</f>
        <v>0.47916666666787899</v>
      </c>
      <c r="D45" t="str">
        <f ca="1">IFERROR(__xludf.DUMMYFUNCTION("""COMPUTED_VALUE"""),"Sportpark Develstein")</f>
        <v>Sportpark Develstein</v>
      </c>
      <c r="F45" t="str">
        <f ca="1">IFERROR(__xludf.DUMMYFUNCTION("""COMPUTED_VALUE"""),"6aK40")</f>
        <v>6aK40</v>
      </c>
    </row>
    <row r="46" spans="1:6" ht="13.2">
      <c r="A46" s="4">
        <f ca="1">IFERROR(__xludf.DUMMYFUNCTION("""COMPUTED_VALUE"""),44828)</f>
        <v>44828</v>
      </c>
      <c r="B46" t="str">
        <f ca="1">IFERROR(__xludf.DUMMYFUNCTION("""COMPUTED_VALUE"""),"Albatros C1 - Valto C1")</f>
        <v>Albatros C1 - Valto C1</v>
      </c>
      <c r="C46" s="5">
        <f ca="1">IFERROR(__xludf.DUMMYFUNCTION("""COMPUTED_VALUE"""),0.479166666667879)</f>
        <v>0.47916666666787899</v>
      </c>
      <c r="D46" t="str">
        <f ca="1">IFERROR(__xludf.DUMMYFUNCTION("""COMPUTED_VALUE"""),"Sportpark Develstein")</f>
        <v>Sportpark Develstein</v>
      </c>
      <c r="F46" t="str">
        <f ca="1">IFERROR(__xludf.DUMMYFUNCTION("""COMPUTED_VALUE"""),"3K40")</f>
        <v>3K40</v>
      </c>
    </row>
    <row r="47" spans="1:6" ht="13.2">
      <c r="A47" s="4">
        <f ca="1">IFERROR(__xludf.DUMMYFUNCTION("""COMPUTED_VALUE"""),44828)</f>
        <v>44828</v>
      </c>
      <c r="B47" t="str">
        <f ca="1">IFERROR(__xludf.DUMMYFUNCTION("""COMPUTED_VALUE"""),"Albatros A3 - Triade A1")</f>
        <v>Albatros A3 - Triade A1</v>
      </c>
      <c r="C47" s="5">
        <f ca="1">IFERROR(__xludf.DUMMYFUNCTION("""COMPUTED_VALUE"""),0.53125)</f>
        <v>0.53125</v>
      </c>
      <c r="D47" t="str">
        <f ca="1">IFERROR(__xludf.DUMMYFUNCTION("""COMPUTED_VALUE"""),"Sportpark Develstein")</f>
        <v>Sportpark Develstein</v>
      </c>
      <c r="F47" t="str">
        <f ca="1">IFERROR(__xludf.DUMMYFUNCTION("""COMPUTED_VALUE"""),"3K40")</f>
        <v>3K40</v>
      </c>
    </row>
    <row r="48" spans="1:6" ht="13.2">
      <c r="A48" s="4">
        <f ca="1">IFERROR(__xludf.DUMMYFUNCTION("""COMPUTED_VALUE"""),44828)</f>
        <v>44828</v>
      </c>
      <c r="B48" t="str">
        <f ca="1">IFERROR(__xludf.DUMMYFUNCTION("""COMPUTED_VALUE"""),"Albatros A1 - KCC/CK Kozijnen A1")</f>
        <v>Albatros A1 - KCC/CK Kozijnen A1</v>
      </c>
      <c r="C48" s="5">
        <f ca="1">IFERROR(__xludf.DUMMYFUNCTION("""COMPUTED_VALUE"""),0.541666666667879)</f>
        <v>0.54166666666787899</v>
      </c>
      <c r="D48" t="str">
        <f ca="1">IFERROR(__xludf.DUMMYFUNCTION("""COMPUTED_VALUE"""),"Sportpark Develstein")</f>
        <v>Sportpark Develstein</v>
      </c>
      <c r="F48" t="str">
        <f ca="1">IFERROR(__xludf.DUMMYFUNCTION("""COMPUTED_VALUE"""),"1K40")</f>
        <v>1K40</v>
      </c>
    </row>
    <row r="49" spans="1:6" ht="13.2">
      <c r="A49" s="4">
        <f ca="1">IFERROR(__xludf.DUMMYFUNCTION("""COMPUTED_VALUE"""),44828)</f>
        <v>44828</v>
      </c>
      <c r="B49" t="str">
        <f ca="1">IFERROR(__xludf.DUMMYFUNCTION("""COMPUTED_VALUE"""),"Albatros 2 - KCR 3")</f>
        <v>Albatros 2 - KCR 3</v>
      </c>
      <c r="C49" s="5">
        <f ca="1">IFERROR(__xludf.DUMMYFUNCTION("""COMPUTED_VALUE"""),0.604166666667879)</f>
        <v>0.60416666666787899</v>
      </c>
      <c r="D49" t="str">
        <f ca="1">IFERROR(__xludf.DUMMYFUNCTION("""COMPUTED_VALUE"""),"Sportpark Develstein")</f>
        <v>Sportpark Develstein</v>
      </c>
      <c r="F49" t="str">
        <f ca="1">IFERROR(__xludf.DUMMYFUNCTION("""COMPUTED_VALUE"""),"1K40")</f>
        <v>1K40</v>
      </c>
    </row>
    <row r="50" spans="1:6" ht="13.2">
      <c r="A50" s="4">
        <f ca="1">IFERROR(__xludf.DUMMYFUNCTION("""COMPUTED_VALUE"""),44828)</f>
        <v>44828</v>
      </c>
      <c r="B50" t="str">
        <f ca="1">IFERROR(__xludf.DUMMYFUNCTION("""COMPUTED_VALUE"""),"Albatros 6 - Merwede/Multiplaat 5")</f>
        <v>Albatros 6 - Merwede/Multiplaat 5</v>
      </c>
      <c r="C50" s="5">
        <f ca="1">IFERROR(__xludf.DUMMYFUNCTION("""COMPUTED_VALUE"""),0.604166666667879)</f>
        <v>0.60416666666787899</v>
      </c>
      <c r="D50" t="str">
        <f ca="1">IFERROR(__xludf.DUMMYFUNCTION("""COMPUTED_VALUE"""),"Sportpark Develstein")</f>
        <v>Sportpark Develstein</v>
      </c>
      <c r="F50" t="str">
        <f ca="1">IFERROR(__xludf.DUMMYFUNCTION("""COMPUTED_VALUE"""),"3K40")</f>
        <v>3K40</v>
      </c>
    </row>
    <row r="51" spans="1:6" ht="13.2">
      <c r="A51" s="4">
        <f ca="1">IFERROR(__xludf.DUMMYFUNCTION("""COMPUTED_VALUE"""),44828)</f>
        <v>44828</v>
      </c>
      <c r="B51" t="str">
        <f ca="1">IFERROR(__xludf.DUMMYFUNCTION("""COMPUTED_VALUE"""),"Albatros 1 - Tilburg 1")</f>
        <v>Albatros 1 - Tilburg 1</v>
      </c>
      <c r="C51" s="5">
        <f ca="1">IFERROR(__xludf.DUMMYFUNCTION("""COMPUTED_VALUE"""),0.666666666667879)</f>
        <v>0.66666666666787899</v>
      </c>
      <c r="D51" t="str">
        <f ca="1">IFERROR(__xludf.DUMMYFUNCTION("""COMPUTED_VALUE"""),"Sportpark Develstein")</f>
        <v>Sportpark Develstein</v>
      </c>
      <c r="F51" t="str">
        <f ca="1">IFERROR(__xludf.DUMMYFUNCTION("""COMPUTED_VALUE"""),"1K40")</f>
        <v>1K40</v>
      </c>
    </row>
    <row r="52" spans="1:6" ht="13.2">
      <c r="A52" s="4">
        <f ca="1">IFERROR(__xludf.DUMMYFUNCTION("""COMPUTED_VALUE"""),44828)</f>
        <v>44828</v>
      </c>
      <c r="B52" t="str">
        <f ca="1">IFERROR(__xludf.DUMMYFUNCTION("""COMPUTED_VALUE"""),"Albatros 3 - KCR 5")</f>
        <v>Albatros 3 - KCR 5</v>
      </c>
      <c r="C52" s="5">
        <f ca="1">IFERROR(__xludf.DUMMYFUNCTION("""COMPUTED_VALUE"""),0.729166666667879)</f>
        <v>0.72916666666787899</v>
      </c>
      <c r="D52" t="str">
        <f ca="1">IFERROR(__xludf.DUMMYFUNCTION("""COMPUTED_VALUE"""),"Sportpark Develstein")</f>
        <v>Sportpark Develstein</v>
      </c>
      <c r="F52" t="str">
        <f ca="1">IFERROR(__xludf.DUMMYFUNCTION("""COMPUTED_VALUE"""),"1K40")</f>
        <v>1K40</v>
      </c>
    </row>
    <row r="53" spans="1:6" ht="13.2">
      <c r="A53" s="4">
        <f ca="1">IFERROR(__xludf.DUMMYFUNCTION("""COMPUTED_VALUE"""),44831)</f>
        <v>44831</v>
      </c>
      <c r="B53" t="str">
        <f ca="1">IFERROR(__xludf.DUMMYFUNCTION("""COMPUTED_VALUE"""),"Albatros B1 - Vitesse (Ba) B1")</f>
        <v>Albatros B1 - Vitesse (Ba) B1</v>
      </c>
      <c r="C53" s="5">
        <f ca="1">IFERROR(__xludf.DUMMYFUNCTION("""COMPUTED_VALUE"""),0.8125)</f>
        <v>0.8125</v>
      </c>
      <c r="D53" t="str">
        <f ca="1">IFERROR(__xludf.DUMMYFUNCTION("""COMPUTED_VALUE"""),"Sportpark Develstein")</f>
        <v>Sportpark Develstein</v>
      </c>
      <c r="E53" s="7"/>
      <c r="F53" t="str">
        <f ca="1">IFERROR(__xludf.DUMMYFUNCTION("""COMPUTED_VALUE"""),"3K40")</f>
        <v>3K40</v>
      </c>
    </row>
    <row r="54" spans="1:6" ht="13.2">
      <c r="A54" s="4">
        <f ca="1">IFERROR(__xludf.DUMMYFUNCTION("""COMPUTED_VALUE"""),44835)</f>
        <v>44835</v>
      </c>
      <c r="B54" t="str">
        <f ca="1">IFERROR(__xludf.DUMMYFUNCTION("""COMPUTED_VALUE"""),"Albatros D3 - PKC/Vertom D2")</f>
        <v>Albatros D3 - PKC/Vertom D2</v>
      </c>
      <c r="C54" s="5">
        <f ca="1">IFERROR(__xludf.DUMMYFUNCTION("""COMPUTED_VALUE"""),0.39583333333212)</f>
        <v>0.39583333333212001</v>
      </c>
      <c r="D54" t="str">
        <f ca="1">IFERROR(__xludf.DUMMYFUNCTION("""COMPUTED_VALUE"""),"Sportpark Develstein")</f>
        <v>Sportpark Develstein</v>
      </c>
      <c r="F54" t="str">
        <f ca="1">IFERROR(__xludf.DUMMYFUNCTION("""COMPUTED_VALUE"""),"6aK40")</f>
        <v>6aK40</v>
      </c>
    </row>
    <row r="55" spans="1:6" ht="13.2">
      <c r="A55" s="4">
        <f ca="1">IFERROR(__xludf.DUMMYFUNCTION("""COMPUTED_VALUE"""),44835)</f>
        <v>44835</v>
      </c>
      <c r="B55" t="str">
        <f ca="1">IFERROR(__xludf.DUMMYFUNCTION("""COMPUTED_VALUE"""),"Albatros E4 - ACKC E2")</f>
        <v>Albatros E4 - ACKC E2</v>
      </c>
      <c r="C55" s="5">
        <f ca="1">IFERROR(__xludf.DUMMYFUNCTION("""COMPUTED_VALUE"""),0.39583333333212)</f>
        <v>0.39583333333212001</v>
      </c>
      <c r="D55" t="str">
        <f ca="1">IFERROR(__xludf.DUMMYFUNCTION("""COMPUTED_VALUE"""),"Sportpark Develstein")</f>
        <v>Sportpark Develstein</v>
      </c>
      <c r="F55" t="str">
        <f ca="1">IFERROR(__xludf.DUMMYFUNCTION("""COMPUTED_VALUE"""),"2K24 A")</f>
        <v>2K24 A</v>
      </c>
    </row>
    <row r="56" spans="1:6" ht="13.2">
      <c r="A56" s="4">
        <f ca="1">IFERROR(__xludf.DUMMYFUNCTION("""COMPUTED_VALUE"""),44835)</f>
        <v>44835</v>
      </c>
      <c r="B56" t="str">
        <f ca="1">IFERROR(__xludf.DUMMYFUNCTION("""COMPUTED_VALUE"""),"Albatros D1 - Refleks D1")</f>
        <v>Albatros D1 - Refleks D1</v>
      </c>
      <c r="C56" s="5">
        <f ca="1">IFERROR(__xludf.DUMMYFUNCTION("""COMPUTED_VALUE"""),0.40625)</f>
        <v>0.40625</v>
      </c>
      <c r="D56" t="str">
        <f ca="1">IFERROR(__xludf.DUMMYFUNCTION("""COMPUTED_VALUE"""),"Sportpark Develstein")</f>
        <v>Sportpark Develstein</v>
      </c>
      <c r="F56" t="str">
        <f ca="1">IFERROR(__xludf.DUMMYFUNCTION("""COMPUTED_VALUE"""),"3K40")</f>
        <v>3K40</v>
      </c>
    </row>
    <row r="57" spans="1:6" ht="13.2">
      <c r="A57" s="4">
        <f ca="1">IFERROR(__xludf.DUMMYFUNCTION("""COMPUTED_VALUE"""),44835)</f>
        <v>44835</v>
      </c>
      <c r="B57" t="str">
        <f ca="1">IFERROR(__xludf.DUMMYFUNCTION("""COMPUTED_VALUE"""),"Albatros B1 - Nieuwerkerk B1")</f>
        <v>Albatros B1 - Nieuwerkerk B1</v>
      </c>
      <c r="C57" s="5">
        <f ca="1">IFERROR(__xludf.DUMMYFUNCTION("""COMPUTED_VALUE"""),0.416666666667879)</f>
        <v>0.41666666666787899</v>
      </c>
      <c r="D57" t="str">
        <f ca="1">IFERROR(__xludf.DUMMYFUNCTION("""COMPUTED_VALUE"""),"Sportpark Develstein")</f>
        <v>Sportpark Develstein</v>
      </c>
      <c r="F57" t="str">
        <f ca="1">IFERROR(__xludf.DUMMYFUNCTION("""COMPUTED_VALUE"""),"1K40")</f>
        <v>1K40</v>
      </c>
    </row>
    <row r="58" spans="1:6" ht="13.2">
      <c r="A58" s="4">
        <f ca="1">IFERROR(__xludf.DUMMYFUNCTION("""COMPUTED_VALUE"""),44835)</f>
        <v>44835</v>
      </c>
      <c r="B58" t="str">
        <f ca="1">IFERROR(__xludf.DUMMYFUNCTION("""COMPUTED_VALUE"""),"Albatros F3 - KCR F2")</f>
        <v>Albatros F3 - KCR F2</v>
      </c>
      <c r="C58" s="5">
        <f ca="1">IFERROR(__xludf.DUMMYFUNCTION("""COMPUTED_VALUE"""),0.416666666667879)</f>
        <v>0.41666666666787899</v>
      </c>
      <c r="D58" t="str">
        <f ca="1">IFERROR(__xludf.DUMMYFUNCTION("""COMPUTED_VALUE"""),"Sportpark Develstein")</f>
        <v>Sportpark Develstein</v>
      </c>
      <c r="F58" t="str">
        <f ca="1">IFERROR(__xludf.DUMMYFUNCTION("""COMPUTED_VALUE"""),"4K24 A")</f>
        <v>4K24 A</v>
      </c>
    </row>
    <row r="59" spans="1:6" ht="13.2">
      <c r="A59" s="4">
        <f ca="1">IFERROR(__xludf.DUMMYFUNCTION("""COMPUTED_VALUE"""),44835)</f>
        <v>44835</v>
      </c>
      <c r="B59" t="str">
        <f ca="1">IFERROR(__xludf.DUMMYFUNCTION("""COMPUTED_VALUE"""),"Albatros E2 - HKC (Ha) E1")</f>
        <v>Albatros E2 - HKC (Ha) E1</v>
      </c>
      <c r="C59" s="5">
        <f ca="1">IFERROR(__xludf.DUMMYFUNCTION("""COMPUTED_VALUE"""),0.4375)</f>
        <v>0.4375</v>
      </c>
      <c r="D59" t="str">
        <f ca="1">IFERROR(__xludf.DUMMYFUNCTION("""COMPUTED_VALUE"""),"Sportpark Develstein")</f>
        <v>Sportpark Develstein</v>
      </c>
      <c r="F59" t="str">
        <f ca="1">IFERROR(__xludf.DUMMYFUNCTION("""COMPUTED_VALUE"""),"2K24 A")</f>
        <v>2K24 A</v>
      </c>
    </row>
    <row r="60" spans="1:6" ht="13.2">
      <c r="A60" s="4">
        <f ca="1">IFERROR(__xludf.DUMMYFUNCTION("""COMPUTED_VALUE"""),44835)</f>
        <v>44835</v>
      </c>
      <c r="B60" t="str">
        <f ca="1">IFERROR(__xludf.DUMMYFUNCTION("""COMPUTED_VALUE"""),"Albatros C3 - Movado C1")</f>
        <v>Albatros C3 - Movado C1</v>
      </c>
      <c r="C60" s="5">
        <f ca="1">IFERROR(__xludf.DUMMYFUNCTION("""COMPUTED_VALUE"""),0.447916666667879)</f>
        <v>0.44791666666787899</v>
      </c>
      <c r="D60" t="str">
        <f ca="1">IFERROR(__xludf.DUMMYFUNCTION("""COMPUTED_VALUE"""),"Sportpark Develstein")</f>
        <v>Sportpark Develstein</v>
      </c>
      <c r="F60" t="str">
        <f ca="1">IFERROR(__xludf.DUMMYFUNCTION("""COMPUTED_VALUE"""),"6aK40")</f>
        <v>6aK40</v>
      </c>
    </row>
    <row r="61" spans="1:6" ht="13.2">
      <c r="A61" s="4">
        <f ca="1">IFERROR(__xludf.DUMMYFUNCTION("""COMPUTED_VALUE"""),44835)</f>
        <v>44835</v>
      </c>
      <c r="B61" t="str">
        <f ca="1">IFERROR(__xludf.DUMMYFUNCTION("""COMPUTED_VALUE"""),"Albatros C2 - ONDO (M) C1")</f>
        <v>Albatros C2 - ONDO (M) C1</v>
      </c>
      <c r="C61" s="5">
        <f ca="1">IFERROR(__xludf.DUMMYFUNCTION("""COMPUTED_VALUE"""),0.45833333333212)</f>
        <v>0.45833333333212001</v>
      </c>
      <c r="D61" t="str">
        <f ca="1">IFERROR(__xludf.DUMMYFUNCTION("""COMPUTED_VALUE"""),"Sportpark Develstein")</f>
        <v>Sportpark Develstein</v>
      </c>
      <c r="F61" t="str">
        <f ca="1">IFERROR(__xludf.DUMMYFUNCTION("""COMPUTED_VALUE"""),"3K40")</f>
        <v>3K40</v>
      </c>
    </row>
    <row r="62" spans="1:6" ht="13.2">
      <c r="A62" s="4">
        <f ca="1">IFERROR(__xludf.DUMMYFUNCTION("""COMPUTED_VALUE"""),44835)</f>
        <v>44835</v>
      </c>
      <c r="B62" t="str">
        <f ca="1">IFERROR(__xludf.DUMMYFUNCTION("""COMPUTED_VALUE"""),"Albatros F1 - GKV/Enomics F1")</f>
        <v>Albatros F1 - GKV/Enomics F1</v>
      </c>
      <c r="C62" s="5">
        <f ca="1">IFERROR(__xludf.DUMMYFUNCTION("""COMPUTED_VALUE"""),0.45833333333212)</f>
        <v>0.45833333333212001</v>
      </c>
      <c r="D62" t="str">
        <f ca="1">IFERROR(__xludf.DUMMYFUNCTION("""COMPUTED_VALUE"""),"Sportpark Develstein")</f>
        <v>Sportpark Develstein</v>
      </c>
      <c r="F62" t="str">
        <f ca="1">IFERROR(__xludf.DUMMYFUNCTION("""COMPUTED_VALUE"""),"4K24 A")</f>
        <v>4K24 A</v>
      </c>
    </row>
    <row r="63" spans="1:6" ht="13.2">
      <c r="A63" s="4">
        <f ca="1">IFERROR(__xludf.DUMMYFUNCTION("""COMPUTED_VALUE"""),44835)</f>
        <v>44835</v>
      </c>
      <c r="B63" t="str">
        <f ca="1">IFERROR(__xludf.DUMMYFUNCTION("""COMPUTED_VALUE"""),"Albatros A2 - HKC (Ha) A1")</f>
        <v>Albatros A2 - HKC (Ha) A1</v>
      </c>
      <c r="C63" s="5">
        <f ca="1">IFERROR(__xludf.DUMMYFUNCTION("""COMPUTED_VALUE"""),0.46875)</f>
        <v>0.46875</v>
      </c>
      <c r="D63" t="str">
        <f ca="1">IFERROR(__xludf.DUMMYFUNCTION("""COMPUTED_VALUE"""),"Sportpark Develstein")</f>
        <v>Sportpark Develstein</v>
      </c>
      <c r="F63" t="str">
        <f ca="1">IFERROR(__xludf.DUMMYFUNCTION("""COMPUTED_VALUE"""),"1K40")</f>
        <v>1K40</v>
      </c>
    </row>
    <row r="64" spans="1:6" ht="13.2">
      <c r="A64" s="4">
        <f ca="1">IFERROR(__xludf.DUMMYFUNCTION("""COMPUTED_VALUE"""),44835)</f>
        <v>44835</v>
      </c>
      <c r="B64" t="str">
        <f ca="1">IFERROR(__xludf.DUMMYFUNCTION("""COMPUTED_VALUE"""),"Albatros E3 - Oranje Wit (D) E2")</f>
        <v>Albatros E3 - Oranje Wit (D) E2</v>
      </c>
      <c r="C64" s="5">
        <f ca="1">IFERROR(__xludf.DUMMYFUNCTION("""COMPUTED_VALUE"""),0.479166666667879)</f>
        <v>0.47916666666787899</v>
      </c>
      <c r="D64" t="str">
        <f ca="1">IFERROR(__xludf.DUMMYFUNCTION("""COMPUTED_VALUE"""),"Sportpark Develstein")</f>
        <v>Sportpark Develstein</v>
      </c>
      <c r="F64" t="str">
        <f ca="1">IFERROR(__xludf.DUMMYFUNCTION("""COMPUTED_VALUE"""),"2K24 A")</f>
        <v>2K24 A</v>
      </c>
    </row>
    <row r="65" spans="1:6" ht="13.2">
      <c r="A65" s="4">
        <f ca="1">IFERROR(__xludf.DUMMYFUNCTION("""COMPUTED_VALUE"""),44835)</f>
        <v>44835</v>
      </c>
      <c r="B65" t="str">
        <f ca="1">IFERROR(__xludf.DUMMYFUNCTION("""COMPUTED_VALUE"""),"Albatros C4 - t Capproen C1")</f>
        <v>Albatros C4 - t Capproen C1</v>
      </c>
      <c r="C65" s="5">
        <f ca="1">IFERROR(__xludf.DUMMYFUNCTION("""COMPUTED_VALUE"""),0.48958333333212)</f>
        <v>0.48958333333212001</v>
      </c>
      <c r="D65" t="str">
        <f ca="1">IFERROR(__xludf.DUMMYFUNCTION("""COMPUTED_VALUE"""),"Sportpark Develstein")</f>
        <v>Sportpark Develstein</v>
      </c>
      <c r="F65" t="str">
        <f ca="1">IFERROR(__xludf.DUMMYFUNCTION("""COMPUTED_VALUE"""),"6aK40")</f>
        <v>6aK40</v>
      </c>
    </row>
    <row r="66" spans="1:6" ht="13.2">
      <c r="A66" s="4">
        <f ca="1">IFERROR(__xludf.DUMMYFUNCTION("""COMPUTED_VALUE"""),44835)</f>
        <v>44835</v>
      </c>
      <c r="B66" t="str">
        <f ca="1">IFERROR(__xludf.DUMMYFUNCTION("""COMPUTED_VALUE"""),"Albatros B2 - KOAG B1")</f>
        <v>Albatros B2 - KOAG B1</v>
      </c>
      <c r="C66" s="5">
        <f ca="1">IFERROR(__xludf.DUMMYFUNCTION("""COMPUTED_VALUE"""),0.510416666667879)</f>
        <v>0.51041666666787899</v>
      </c>
      <c r="D66" t="str">
        <f ca="1">IFERROR(__xludf.DUMMYFUNCTION("""COMPUTED_VALUE"""),"Sportpark Develstein")</f>
        <v>Sportpark Develstein</v>
      </c>
      <c r="F66" t="str">
        <f ca="1">IFERROR(__xludf.DUMMYFUNCTION("""COMPUTED_VALUE"""),"3K40")</f>
        <v>3K40</v>
      </c>
    </row>
    <row r="67" spans="1:6" ht="13.2">
      <c r="A67" s="4">
        <f ca="1">IFERROR(__xludf.DUMMYFUNCTION("""COMPUTED_VALUE"""),44835)</f>
        <v>44835</v>
      </c>
      <c r="B67" t="str">
        <f ca="1">IFERROR(__xludf.DUMMYFUNCTION("""COMPUTED_VALUE"""),"Albatros A1 - ONDO (G) A1")</f>
        <v>Albatros A1 - ONDO (G) A1</v>
      </c>
      <c r="C67" s="5">
        <f ca="1">IFERROR(__xludf.DUMMYFUNCTION("""COMPUTED_VALUE"""),0.541666666667879)</f>
        <v>0.54166666666787899</v>
      </c>
      <c r="D67" t="str">
        <f ca="1">IFERROR(__xludf.DUMMYFUNCTION("""COMPUTED_VALUE"""),"Sportpark Develstein")</f>
        <v>Sportpark Develstein</v>
      </c>
      <c r="F67" t="str">
        <f ca="1">IFERROR(__xludf.DUMMYFUNCTION("""COMPUTED_VALUE"""),"1K40")</f>
        <v>1K40</v>
      </c>
    </row>
    <row r="68" spans="1:6" ht="13.2">
      <c r="A68" s="4">
        <f ca="1">IFERROR(__xludf.DUMMYFUNCTION("""COMPUTED_VALUE"""),44835)</f>
        <v>44835</v>
      </c>
      <c r="B68" t="str">
        <f ca="1">IFERROR(__xludf.DUMMYFUNCTION("""COMPUTED_VALUE"""),"Albatros A4 - PKC/Vertom A5")</f>
        <v>Albatros A4 - PKC/Vertom A5</v>
      </c>
      <c r="C68" s="5">
        <f ca="1">IFERROR(__xludf.DUMMYFUNCTION("""COMPUTED_VALUE"""),0.5625)</f>
        <v>0.5625</v>
      </c>
      <c r="D68" t="str">
        <f ca="1">IFERROR(__xludf.DUMMYFUNCTION("""COMPUTED_VALUE"""),"Sportpark Develstein")</f>
        <v>Sportpark Develstein</v>
      </c>
      <c r="F68" t="str">
        <f ca="1">IFERROR(__xludf.DUMMYFUNCTION("""COMPUTED_VALUE"""),"3K40")</f>
        <v>3K40</v>
      </c>
    </row>
    <row r="69" spans="1:6" ht="13.2">
      <c r="A69" s="4">
        <f ca="1">IFERROR(__xludf.DUMMYFUNCTION("""COMPUTED_VALUE"""),44835)</f>
        <v>44835</v>
      </c>
      <c r="B69" t="str">
        <f ca="1">IFERROR(__xludf.DUMMYFUNCTION("""COMPUTED_VALUE"""),"Albatros 2 - Vriendenschaar (H) 2")</f>
        <v>Albatros 2 - Vriendenschaar (H) 2</v>
      </c>
      <c r="C69" s="5">
        <f ca="1">IFERROR(__xludf.DUMMYFUNCTION("""COMPUTED_VALUE"""),0.604166666667879)</f>
        <v>0.60416666666787899</v>
      </c>
      <c r="D69" t="str">
        <f ca="1">IFERROR(__xludf.DUMMYFUNCTION("""COMPUTED_VALUE"""),"Sportpark Develstein")</f>
        <v>Sportpark Develstein</v>
      </c>
      <c r="F69" t="str">
        <f ca="1">IFERROR(__xludf.DUMMYFUNCTION("""COMPUTED_VALUE"""),"1K40")</f>
        <v>1K40</v>
      </c>
    </row>
    <row r="70" spans="1:6" ht="13.2">
      <c r="A70" s="4">
        <f ca="1">IFERROR(__xludf.DUMMYFUNCTION("""COMPUTED_VALUE"""),44835)</f>
        <v>44835</v>
      </c>
      <c r="B70" t="str">
        <f ca="1">IFERROR(__xludf.DUMMYFUNCTION("""COMPUTED_VALUE"""),"Albatros 8 - Triade 3")</f>
        <v>Albatros 8 - Triade 3</v>
      </c>
      <c r="C70" s="5">
        <f ca="1">IFERROR(__xludf.DUMMYFUNCTION("""COMPUTED_VALUE"""),0.635416666667879)</f>
        <v>0.63541666666787899</v>
      </c>
      <c r="D70" t="str">
        <f ca="1">IFERROR(__xludf.DUMMYFUNCTION("""COMPUTED_VALUE"""),"Sportpark Develstein")</f>
        <v>Sportpark Develstein</v>
      </c>
      <c r="F70" t="str">
        <f ca="1">IFERROR(__xludf.DUMMYFUNCTION("""COMPUTED_VALUE"""),"3K40")</f>
        <v>3K40</v>
      </c>
    </row>
    <row r="71" spans="1:6" ht="13.2">
      <c r="A71" s="4">
        <f ca="1">IFERROR(__xludf.DUMMYFUNCTION("""COMPUTED_VALUE"""),44835)</f>
        <v>44835</v>
      </c>
      <c r="B71" t="str">
        <f ca="1">IFERROR(__xludf.DUMMYFUNCTION("""COMPUTED_VALUE"""),"Albatros 1 - Vriendenschaar (H) 1")</f>
        <v>Albatros 1 - Vriendenschaar (H) 1</v>
      </c>
      <c r="C71" s="5">
        <f ca="1">IFERROR(__xludf.DUMMYFUNCTION("""COMPUTED_VALUE"""),0.666666666667879)</f>
        <v>0.66666666666787899</v>
      </c>
      <c r="D71" t="str">
        <f ca="1">IFERROR(__xludf.DUMMYFUNCTION("""COMPUTED_VALUE"""),"Sportpark Develstein")</f>
        <v>Sportpark Develstein</v>
      </c>
      <c r="F71" t="str">
        <f ca="1">IFERROR(__xludf.DUMMYFUNCTION("""COMPUTED_VALUE"""),"1K40")</f>
        <v>1K40</v>
      </c>
    </row>
    <row r="72" spans="1:6" ht="13.2">
      <c r="A72" s="4">
        <f ca="1">IFERROR(__xludf.DUMMYFUNCTION("""COMPUTED_VALUE"""),44835)</f>
        <v>44835</v>
      </c>
      <c r="B72" t="str">
        <f ca="1">IFERROR(__xludf.DUMMYFUNCTION("""COMPUTED_VALUE"""),"Albatros 3 - ONDO (G) 2")</f>
        <v>Albatros 3 - ONDO (G) 2</v>
      </c>
      <c r="C72" s="5">
        <f ca="1">IFERROR(__xludf.DUMMYFUNCTION("""COMPUTED_VALUE"""),0.729166666667879)</f>
        <v>0.72916666666787899</v>
      </c>
      <c r="D72" t="str">
        <f ca="1">IFERROR(__xludf.DUMMYFUNCTION("""COMPUTED_VALUE"""),"Sportpark Develstein")</f>
        <v>Sportpark Develstein</v>
      </c>
      <c r="F72" t="str">
        <f ca="1">IFERROR(__xludf.DUMMYFUNCTION("""COMPUTED_VALUE"""),"1K40")</f>
        <v>1K40</v>
      </c>
    </row>
    <row r="73" spans="1:6" ht="13.2">
      <c r="A73" s="4">
        <f ca="1">IFERROR(__xludf.DUMMYFUNCTION("""COMPUTED_VALUE"""),44839)</f>
        <v>44839</v>
      </c>
      <c r="B73" t="str">
        <f ca="1">IFERROR(__xludf.DUMMYFUNCTION("""COMPUTED_VALUE"""),"Albatros/Conventus MW1 - GKV/Enomics MW1")</f>
        <v>Albatros/Conventus MW1 - GKV/Enomics MW1</v>
      </c>
      <c r="C73" s="5">
        <f ca="1">IFERROR(__xludf.DUMMYFUNCTION("""COMPUTED_VALUE"""),0.854166666667879)</f>
        <v>0.85416666666787899</v>
      </c>
      <c r="D73" t="str">
        <f ca="1">IFERROR(__xludf.DUMMYFUNCTION("""COMPUTED_VALUE"""),"Sportpark Develstein")</f>
        <v>Sportpark Develstein</v>
      </c>
      <c r="F73" t="str">
        <f ca="1">IFERROR(__xludf.DUMMYFUNCTION("""COMPUTED_VALUE"""),"1K40")</f>
        <v>1K40</v>
      </c>
    </row>
    <row r="74" spans="1:6" ht="13.2">
      <c r="A74" s="4">
        <f ca="1">IFERROR(__xludf.DUMMYFUNCTION("""COMPUTED_VALUE"""),44842)</f>
        <v>44842</v>
      </c>
      <c r="B74" t="str">
        <f ca="1">IFERROR(__xludf.DUMMYFUNCTION("""COMPUTED_VALUE"""),"Albatros D4 - DeetosSnel D2")</f>
        <v>Albatros D4 - DeetosSnel D2</v>
      </c>
      <c r="C74" s="5">
        <f ca="1">IFERROR(__xludf.DUMMYFUNCTION("""COMPUTED_VALUE"""),0.39583333333212)</f>
        <v>0.39583333333212001</v>
      </c>
      <c r="D74" t="str">
        <f ca="1">IFERROR(__xludf.DUMMYFUNCTION("""COMPUTED_VALUE"""),"Sportpark Develstein")</f>
        <v>Sportpark Develstein</v>
      </c>
      <c r="F74" t="str">
        <f ca="1">IFERROR(__xludf.DUMMYFUNCTION("""COMPUTED_VALUE"""),"3K40")</f>
        <v>3K40</v>
      </c>
    </row>
    <row r="75" spans="1:6" ht="13.2">
      <c r="A75" s="4">
        <f ca="1">IFERROR(__xludf.DUMMYFUNCTION("""COMPUTED_VALUE"""),44842)</f>
        <v>44842</v>
      </c>
      <c r="B75" t="str">
        <f ca="1">IFERROR(__xludf.DUMMYFUNCTION("""COMPUTED_VALUE"""),"Albatros F2 - DeetosSnel F2")</f>
        <v>Albatros F2 - DeetosSnel F2</v>
      </c>
      <c r="C75" s="5">
        <f ca="1">IFERROR(__xludf.DUMMYFUNCTION("""COMPUTED_VALUE"""),0.39583333333212)</f>
        <v>0.39583333333212001</v>
      </c>
      <c r="D75" t="str">
        <f ca="1">IFERROR(__xludf.DUMMYFUNCTION("""COMPUTED_VALUE"""),"Sportpark Develstein")</f>
        <v>Sportpark Develstein</v>
      </c>
      <c r="F75" t="str">
        <f ca="1">IFERROR(__xludf.DUMMYFUNCTION("""COMPUTED_VALUE"""),"4K24 A")</f>
        <v>4K24 A</v>
      </c>
    </row>
    <row r="76" spans="1:6" ht="13.2">
      <c r="A76" s="4">
        <f ca="1">IFERROR(__xludf.DUMMYFUNCTION("""COMPUTED_VALUE"""),44842)</f>
        <v>44842</v>
      </c>
      <c r="B76" t="str">
        <f ca="1">IFERROR(__xludf.DUMMYFUNCTION("""COMPUTED_VALUE"""),"Albatros C1 - Vitesse (Ba) C1")</f>
        <v>Albatros C1 - Vitesse (Ba) C1</v>
      </c>
      <c r="C76" s="5">
        <f ca="1">IFERROR(__xludf.DUMMYFUNCTION("""COMPUTED_VALUE"""),0.40625)</f>
        <v>0.40625</v>
      </c>
      <c r="D76" t="str">
        <f ca="1">IFERROR(__xludf.DUMMYFUNCTION("""COMPUTED_VALUE"""),"Sportpark Develstein")</f>
        <v>Sportpark Develstein</v>
      </c>
      <c r="F76" t="str">
        <f ca="1">IFERROR(__xludf.DUMMYFUNCTION("""COMPUTED_VALUE"""),"1K40")</f>
        <v>1K40</v>
      </c>
    </row>
    <row r="77" spans="1:6" ht="13.2">
      <c r="A77" s="4">
        <f ca="1">IFERROR(__xludf.DUMMYFUNCTION("""COMPUTED_VALUE"""),44842)</f>
        <v>44842</v>
      </c>
      <c r="B77" t="str">
        <f ca="1">IFERROR(__xludf.DUMMYFUNCTION("""COMPUTED_VALUE"""),"Albatros A3 - KOAG A2")</f>
        <v>Albatros A3 - KOAG A2</v>
      </c>
      <c r="C77" s="5">
        <f ca="1">IFERROR(__xludf.DUMMYFUNCTION("""COMPUTED_VALUE"""),0.416666666667879)</f>
        <v>0.41666666666787899</v>
      </c>
      <c r="D77" t="str">
        <f ca="1">IFERROR(__xludf.DUMMYFUNCTION("""COMPUTED_VALUE"""),"Sportpark Develstein")</f>
        <v>Sportpark Develstein</v>
      </c>
      <c r="F77" t="str">
        <f ca="1">IFERROR(__xludf.DUMMYFUNCTION("""COMPUTED_VALUE"""),"6aK40")</f>
        <v>6aK40</v>
      </c>
    </row>
    <row r="78" spans="1:6" ht="13.2">
      <c r="A78" s="4">
        <f ca="1">IFERROR(__xludf.DUMMYFUNCTION("""COMPUTED_VALUE"""),44842)</f>
        <v>44842</v>
      </c>
      <c r="B78" t="str">
        <f ca="1">IFERROR(__xludf.DUMMYFUNCTION("""COMPUTED_VALUE"""),"Albatros D2 - OJC '98 D1")</f>
        <v>Albatros D2 - OJC '98 D1</v>
      </c>
      <c r="C78" s="5">
        <f ca="1">IFERROR(__xludf.DUMMYFUNCTION("""COMPUTED_VALUE"""),0.4375)</f>
        <v>0.4375</v>
      </c>
      <c r="D78" t="str">
        <f ca="1">IFERROR(__xludf.DUMMYFUNCTION("""COMPUTED_VALUE"""),"Sportpark Develstein")</f>
        <v>Sportpark Develstein</v>
      </c>
      <c r="F78" t="str">
        <f ca="1">IFERROR(__xludf.DUMMYFUNCTION("""COMPUTED_VALUE"""),"3K40")</f>
        <v>3K40</v>
      </c>
    </row>
    <row r="79" spans="1:6" ht="13.2">
      <c r="A79" s="4">
        <f ca="1">IFERROR(__xludf.DUMMYFUNCTION("""COMPUTED_VALUE"""),44842)</f>
        <v>44842</v>
      </c>
      <c r="B79" t="str">
        <f ca="1">IFERROR(__xludf.DUMMYFUNCTION("""COMPUTED_VALUE"""),"Albatros E5 - Scheldevogels E1")</f>
        <v>Albatros E5 - Scheldevogels E1</v>
      </c>
      <c r="C79" s="5">
        <f ca="1">IFERROR(__xludf.DUMMYFUNCTION("""COMPUTED_VALUE"""),0.4375)</f>
        <v>0.4375</v>
      </c>
      <c r="D79" t="str">
        <f ca="1">IFERROR(__xludf.DUMMYFUNCTION("""COMPUTED_VALUE"""),"Sportpark Develstein")</f>
        <v>Sportpark Develstein</v>
      </c>
      <c r="F79" t="str">
        <f ca="1">IFERROR(__xludf.DUMMYFUNCTION("""COMPUTED_VALUE"""),"4K24 A")</f>
        <v>4K24 A</v>
      </c>
    </row>
    <row r="80" spans="1:6" ht="13.2">
      <c r="A80" s="4">
        <f ca="1">IFERROR(__xludf.DUMMYFUNCTION("""COMPUTED_VALUE"""),44842)</f>
        <v>44842</v>
      </c>
      <c r="B80" t="str">
        <f ca="1">IFERROR(__xludf.DUMMYFUNCTION("""COMPUTED_VALUE"""),"Albatros E1 - PKC/Vertom E1")</f>
        <v>Albatros E1 - PKC/Vertom E1</v>
      </c>
      <c r="C80" s="5">
        <f ca="1">IFERROR(__xludf.DUMMYFUNCTION("""COMPUTED_VALUE"""),0.45833333333212)</f>
        <v>0.45833333333212001</v>
      </c>
      <c r="D80" t="str">
        <f ca="1">IFERROR(__xludf.DUMMYFUNCTION("""COMPUTED_VALUE"""),"Sportpark Develstein")</f>
        <v>Sportpark Develstein</v>
      </c>
      <c r="F80" t="str">
        <f ca="1">IFERROR(__xludf.DUMMYFUNCTION("""COMPUTED_VALUE"""),"2K24 A")</f>
        <v>2K24 A</v>
      </c>
    </row>
    <row r="81" spans="1:6" ht="13.2">
      <c r="A81" s="4">
        <f ca="1">IFERROR(__xludf.DUMMYFUNCTION("""COMPUTED_VALUE"""),44842)</f>
        <v>44842</v>
      </c>
      <c r="B81" t="str">
        <f ca="1">IFERROR(__xludf.DUMMYFUNCTION("""COMPUTED_VALUE"""),"Albatros B3 - Oranje Wit (D) B3")</f>
        <v>Albatros B3 - Oranje Wit (D) B3</v>
      </c>
      <c r="C81" s="5">
        <f ca="1">IFERROR(__xludf.DUMMYFUNCTION("""COMPUTED_VALUE"""),0.479166666667879)</f>
        <v>0.47916666666787899</v>
      </c>
      <c r="D81" t="str">
        <f ca="1">IFERROR(__xludf.DUMMYFUNCTION("""COMPUTED_VALUE"""),"Sportpark Develstein")</f>
        <v>Sportpark Develstein</v>
      </c>
      <c r="F81" t="str">
        <f ca="1">IFERROR(__xludf.DUMMYFUNCTION("""COMPUTED_VALUE"""),"6aK40")</f>
        <v>6aK40</v>
      </c>
    </row>
    <row r="82" spans="1:6" ht="13.2">
      <c r="A82" s="4">
        <f ca="1">IFERROR(__xludf.DUMMYFUNCTION("""COMPUTED_VALUE"""),44842)</f>
        <v>44842</v>
      </c>
      <c r="B82" t="str">
        <f ca="1">IFERROR(__xludf.DUMMYFUNCTION("""COMPUTED_VALUE"""),"Albatros 6 - GKV/Enomics 4")</f>
        <v>Albatros 6 - GKV/Enomics 4</v>
      </c>
      <c r="C82" s="5">
        <f ca="1">IFERROR(__xludf.DUMMYFUNCTION("""COMPUTED_VALUE"""),0.541666666667879)</f>
        <v>0.54166666666787899</v>
      </c>
      <c r="D82" t="str">
        <f ca="1">IFERROR(__xludf.DUMMYFUNCTION("""COMPUTED_VALUE"""),"Sportpark Develstein")</f>
        <v>Sportpark Develstein</v>
      </c>
      <c r="F82" t="str">
        <f ca="1">IFERROR(__xludf.DUMMYFUNCTION("""COMPUTED_VALUE"""),"6aK40")</f>
        <v>6aK40</v>
      </c>
    </row>
    <row r="83" spans="1:6" ht="13.2">
      <c r="A83" s="4">
        <f ca="1">IFERROR(__xludf.DUMMYFUNCTION("""COMPUTED_VALUE"""),44842)</f>
        <v>44842</v>
      </c>
      <c r="B83" t="str">
        <f ca="1">IFERROR(__xludf.DUMMYFUNCTION("""COMPUTED_VALUE"""),"Albatros 7 - Sporting Delta 7")</f>
        <v>Albatros 7 - Sporting Delta 7</v>
      </c>
      <c r="C83" s="5">
        <f ca="1">IFERROR(__xludf.DUMMYFUNCTION("""COMPUTED_VALUE"""),0.572916666667879)</f>
        <v>0.57291666666787899</v>
      </c>
      <c r="D83" t="str">
        <f ca="1">IFERROR(__xludf.DUMMYFUNCTION("""COMPUTED_VALUE"""),"Sportpark Develstein")</f>
        <v>Sportpark Develstein</v>
      </c>
      <c r="F83" t="str">
        <f ca="1">IFERROR(__xludf.DUMMYFUNCTION("""COMPUTED_VALUE"""),"1K40")</f>
        <v>1K40</v>
      </c>
    </row>
    <row r="84" spans="1:6" ht="13.2">
      <c r="A84" s="4">
        <f ca="1">IFERROR(__xludf.DUMMYFUNCTION("""COMPUTED_VALUE"""),44842)</f>
        <v>44842</v>
      </c>
      <c r="B84" t="str">
        <f ca="1">IFERROR(__xludf.DUMMYFUNCTION("""COMPUTED_VALUE"""),"Albatros 9 - ADO 5")</f>
        <v>Albatros 9 - ADO 5</v>
      </c>
      <c r="C84" s="5">
        <f ca="1">IFERROR(__xludf.DUMMYFUNCTION("""COMPUTED_VALUE"""),0.61458333333212)</f>
        <v>0.61458333333212001</v>
      </c>
      <c r="D84" t="str">
        <f ca="1">IFERROR(__xludf.DUMMYFUNCTION("""COMPUTED_VALUE"""),"Sportpark Develstein")</f>
        <v>Sportpark Develstein</v>
      </c>
      <c r="F84" t="str">
        <f ca="1">IFERROR(__xludf.DUMMYFUNCTION("""COMPUTED_VALUE"""),"6aK40")</f>
        <v>6aK40</v>
      </c>
    </row>
    <row r="85" spans="1:6" ht="13.2">
      <c r="A85" s="4">
        <f ca="1">IFERROR(__xludf.DUMMYFUNCTION("""COMPUTED_VALUE"""),44842)</f>
        <v>44842</v>
      </c>
      <c r="B85" t="str">
        <f ca="1">IFERROR(__xludf.DUMMYFUNCTION("""COMPUTED_VALUE"""),"Albatros 5 - Nieuwerkerk 4")</f>
        <v>Albatros 5 - Nieuwerkerk 4</v>
      </c>
      <c r="C85" s="5">
        <f ca="1">IFERROR(__xludf.DUMMYFUNCTION("""COMPUTED_VALUE"""),0.635416666667879)</f>
        <v>0.63541666666787899</v>
      </c>
      <c r="D85" t="str">
        <f ca="1">IFERROR(__xludf.DUMMYFUNCTION("""COMPUTED_VALUE"""),"Sportpark Develstein")</f>
        <v>Sportpark Develstein</v>
      </c>
      <c r="F85" t="str">
        <f ca="1">IFERROR(__xludf.DUMMYFUNCTION("""COMPUTED_VALUE"""),"1K40")</f>
        <v>1K40</v>
      </c>
    </row>
    <row r="86" spans="1:6" ht="13.2">
      <c r="A86" s="4">
        <f ca="1">IFERROR(__xludf.DUMMYFUNCTION("""COMPUTED_VALUE"""),44846)</f>
        <v>44846</v>
      </c>
      <c r="B86" t="str">
        <f ca="1">IFERROR(__xludf.DUMMYFUNCTION("""COMPUTED_VALUE"""),"Albatros/Conventus MW1 - HKC (Ha) MW1")</f>
        <v>Albatros/Conventus MW1 - HKC (Ha) MW1</v>
      </c>
      <c r="C86" s="5">
        <f ca="1">IFERROR(__xludf.DUMMYFUNCTION("""COMPUTED_VALUE"""),0.854166666667879)</f>
        <v>0.85416666666787899</v>
      </c>
      <c r="D86" t="str">
        <f ca="1">IFERROR(__xludf.DUMMYFUNCTION("""COMPUTED_VALUE"""),"Sportpark Develstein")</f>
        <v>Sportpark Develstein</v>
      </c>
      <c r="F86" t="str">
        <f ca="1">IFERROR(__xludf.DUMMYFUNCTION("""COMPUTED_VALUE"""),"1K40")</f>
        <v>1K40</v>
      </c>
    </row>
    <row r="87" spans="1:6" ht="13.2">
      <c r="A87" s="4">
        <f ca="1">IFERROR(__xludf.DUMMYFUNCTION("""COMPUTED_VALUE"""),44849)</f>
        <v>44849</v>
      </c>
      <c r="B87" t="str">
        <f ca="1">IFERROR(__xludf.DUMMYFUNCTION("""COMPUTED_VALUE"""),"Albatros E3 - GKV/Enomics E2")</f>
        <v>Albatros E3 - GKV/Enomics E2</v>
      </c>
      <c r="C87" s="5">
        <f ca="1">IFERROR(__xludf.DUMMYFUNCTION("""COMPUTED_VALUE"""),0.375)</f>
        <v>0.375</v>
      </c>
      <c r="D87" t="str">
        <f ca="1">IFERROR(__xludf.DUMMYFUNCTION("""COMPUTED_VALUE"""),"Sportpark Develstein")</f>
        <v>Sportpark Develstein</v>
      </c>
      <c r="F87" t="str">
        <f ca="1">IFERROR(__xludf.DUMMYFUNCTION("""COMPUTED_VALUE"""),"2K24 A")</f>
        <v>2K24 A</v>
      </c>
    </row>
    <row r="88" spans="1:6" ht="13.2">
      <c r="A88" s="4">
        <f ca="1">IFERROR(__xludf.DUMMYFUNCTION("""COMPUTED_VALUE"""),44849)</f>
        <v>44849</v>
      </c>
      <c r="B88" t="str">
        <f ca="1">IFERROR(__xludf.DUMMYFUNCTION("""COMPUTED_VALUE"""),"Albatros B2 - Nieuwerkerk B2")</f>
        <v>Albatros B2 - Nieuwerkerk B2</v>
      </c>
      <c r="C88" s="5">
        <f ca="1">IFERROR(__xludf.DUMMYFUNCTION("""COMPUTED_VALUE"""),0.416666666667879)</f>
        <v>0.41666666666787899</v>
      </c>
      <c r="D88" t="str">
        <f ca="1">IFERROR(__xludf.DUMMYFUNCTION("""COMPUTED_VALUE"""),"Sportpark Develstein")</f>
        <v>Sportpark Develstein</v>
      </c>
      <c r="F88" t="str">
        <f ca="1">IFERROR(__xludf.DUMMYFUNCTION("""COMPUTED_VALUE"""),"1K40")</f>
        <v>1K40</v>
      </c>
    </row>
    <row r="89" spans="1:6" ht="13.2">
      <c r="A89" s="4">
        <f ca="1">IFERROR(__xludf.DUMMYFUNCTION("""COMPUTED_VALUE"""),44849)</f>
        <v>44849</v>
      </c>
      <c r="B89" t="str">
        <f ca="1">IFERROR(__xludf.DUMMYFUNCTION("""COMPUTED_VALUE"""),"Albatros E1 - Vriendenschaar (H) E1")</f>
        <v>Albatros E1 - Vriendenschaar (H) E1</v>
      </c>
      <c r="C89" s="5">
        <f ca="1">IFERROR(__xludf.DUMMYFUNCTION("""COMPUTED_VALUE"""),0.416666666667879)</f>
        <v>0.41666666666787899</v>
      </c>
      <c r="D89" t="str">
        <f ca="1">IFERROR(__xludf.DUMMYFUNCTION("""COMPUTED_VALUE"""),"Sportpark Develstein")</f>
        <v>Sportpark Develstein</v>
      </c>
      <c r="F89" t="str">
        <f ca="1">IFERROR(__xludf.DUMMYFUNCTION("""COMPUTED_VALUE"""),"2K24 A")</f>
        <v>2K24 A</v>
      </c>
    </row>
    <row r="90" spans="1:6" ht="13.2">
      <c r="A90" s="4">
        <f ca="1">IFERROR(__xludf.DUMMYFUNCTION("""COMPUTED_VALUE"""),44849)</f>
        <v>44849</v>
      </c>
      <c r="B90" t="str">
        <f ca="1">IFERROR(__xludf.DUMMYFUNCTION("""COMPUTED_VALUE"""),"Albatros F2 - DSO (K) F3")</f>
        <v>Albatros F2 - DSO (K) F3</v>
      </c>
      <c r="C90" s="5">
        <f ca="1">IFERROR(__xludf.DUMMYFUNCTION("""COMPUTED_VALUE"""),0.416666666667879)</f>
        <v>0.41666666666787899</v>
      </c>
      <c r="D90" t="str">
        <f ca="1">IFERROR(__xludf.DUMMYFUNCTION("""COMPUTED_VALUE"""),"Sportpark Develstein")</f>
        <v>Sportpark Develstein</v>
      </c>
      <c r="F90" t="str">
        <f ca="1">IFERROR(__xludf.DUMMYFUNCTION("""COMPUTED_VALUE"""),"4K24 A")</f>
        <v>4K24 A</v>
      </c>
    </row>
    <row r="91" spans="1:6" ht="13.2">
      <c r="A91" s="4">
        <f ca="1">IFERROR(__xludf.DUMMYFUNCTION("""COMPUTED_VALUE"""),44849)</f>
        <v>44849</v>
      </c>
      <c r="B91" t="str">
        <f ca="1">IFERROR(__xludf.DUMMYFUNCTION("""COMPUTED_VALUE"""),"Albatros D2 - Merwede/Multiplaat D1")</f>
        <v>Albatros D2 - Merwede/Multiplaat D1</v>
      </c>
      <c r="C91" s="5">
        <f ca="1">IFERROR(__xludf.DUMMYFUNCTION("""COMPUTED_VALUE"""),0.4375)</f>
        <v>0.4375</v>
      </c>
      <c r="D91" t="str">
        <f ca="1">IFERROR(__xludf.DUMMYFUNCTION("""COMPUTED_VALUE"""),"Sportpark Develstein")</f>
        <v>Sportpark Develstein</v>
      </c>
      <c r="F91" t="str">
        <f ca="1">IFERROR(__xludf.DUMMYFUNCTION("""COMPUTED_VALUE"""),"6aK40")</f>
        <v>6aK40</v>
      </c>
    </row>
    <row r="92" spans="1:6" ht="13.2">
      <c r="A92" s="4">
        <f ca="1">IFERROR(__xludf.DUMMYFUNCTION("""COMPUTED_VALUE"""),44849)</f>
        <v>44849</v>
      </c>
      <c r="B92" t="str">
        <f ca="1">IFERROR(__xludf.DUMMYFUNCTION("""COMPUTED_VALUE"""),"Albatros F3 - HKC (Ha) F2")</f>
        <v>Albatros F3 - HKC (Ha) F2</v>
      </c>
      <c r="C92" s="5">
        <f ca="1">IFERROR(__xludf.DUMMYFUNCTION("""COMPUTED_VALUE"""),0.45833333333212)</f>
        <v>0.45833333333212001</v>
      </c>
      <c r="D92" t="str">
        <f ca="1">IFERROR(__xludf.DUMMYFUNCTION("""COMPUTED_VALUE"""),"Sportpark Develstein")</f>
        <v>Sportpark Develstein</v>
      </c>
      <c r="F92" t="str">
        <f ca="1">IFERROR(__xludf.DUMMYFUNCTION("""COMPUTED_VALUE"""),"4K24 A")</f>
        <v>4K24 A</v>
      </c>
    </row>
    <row r="93" spans="1:6" ht="13.2">
      <c r="A93" s="4">
        <f ca="1">IFERROR(__xludf.DUMMYFUNCTION("""COMPUTED_VALUE"""),44849)</f>
        <v>44849</v>
      </c>
      <c r="B93" t="str">
        <f ca="1">IFERROR(__xludf.DUMMYFUNCTION("""COMPUTED_VALUE"""),"Albatros A2 - Merwede/Multiplaat A1")</f>
        <v>Albatros A2 - Merwede/Multiplaat A1</v>
      </c>
      <c r="C93" s="5">
        <f ca="1">IFERROR(__xludf.DUMMYFUNCTION("""COMPUTED_VALUE"""),0.479166666667879)</f>
        <v>0.47916666666787899</v>
      </c>
      <c r="D93" t="str">
        <f ca="1">IFERROR(__xludf.DUMMYFUNCTION("""COMPUTED_VALUE"""),"Sportpark Develstein")</f>
        <v>Sportpark Develstein</v>
      </c>
      <c r="F93" t="str">
        <f ca="1">IFERROR(__xludf.DUMMYFUNCTION("""COMPUTED_VALUE"""),"1K40")</f>
        <v>1K40</v>
      </c>
    </row>
    <row r="94" spans="1:6" ht="13.2">
      <c r="A94" s="4">
        <f ca="1">IFERROR(__xludf.DUMMYFUNCTION("""COMPUTED_VALUE"""),44849)</f>
        <v>44849</v>
      </c>
      <c r="B94" t="str">
        <f ca="1">IFERROR(__xludf.DUMMYFUNCTION("""COMPUTED_VALUE"""),"Albatros C3 - GKV/Enomics C2")</f>
        <v>Albatros C3 - GKV/Enomics C2</v>
      </c>
      <c r="C94" s="5">
        <f ca="1">IFERROR(__xludf.DUMMYFUNCTION("""COMPUTED_VALUE"""),0.479166666667879)</f>
        <v>0.47916666666787899</v>
      </c>
      <c r="D94" t="str">
        <f ca="1">IFERROR(__xludf.DUMMYFUNCTION("""COMPUTED_VALUE"""),"Sportpark Develstein")</f>
        <v>Sportpark Develstein</v>
      </c>
      <c r="F94" t="str">
        <f ca="1">IFERROR(__xludf.DUMMYFUNCTION("""COMPUTED_VALUE"""),"6aK40")</f>
        <v>6aK40</v>
      </c>
    </row>
    <row r="95" spans="1:6" ht="13.2">
      <c r="A95" s="4">
        <f ca="1">IFERROR(__xludf.DUMMYFUNCTION("""COMPUTED_VALUE"""),44849)</f>
        <v>44849</v>
      </c>
      <c r="B95" t="str">
        <f ca="1">IFERROR(__xludf.DUMMYFUNCTION("""COMPUTED_VALUE"""),"Albatros D1 - Nieuwerkerk D1")</f>
        <v>Albatros D1 - Nieuwerkerk D1</v>
      </c>
      <c r="C95" s="5">
        <f ca="1">IFERROR(__xludf.DUMMYFUNCTION("""COMPUTED_VALUE"""),0.48958333333212)</f>
        <v>0.48958333333212001</v>
      </c>
      <c r="D95" t="str">
        <f ca="1">IFERROR(__xludf.DUMMYFUNCTION("""COMPUTED_VALUE"""),"Sportpark Develstein")</f>
        <v>Sportpark Develstein</v>
      </c>
      <c r="F95" t="str">
        <f ca="1">IFERROR(__xludf.DUMMYFUNCTION("""COMPUTED_VALUE"""),"3K40")</f>
        <v>3K40</v>
      </c>
    </row>
    <row r="96" spans="1:6" ht="13.2">
      <c r="A96" s="4">
        <f ca="1">IFERROR(__xludf.DUMMYFUNCTION("""COMPUTED_VALUE"""),44849)</f>
        <v>44849</v>
      </c>
      <c r="B96" t="str">
        <f ca="1">IFERROR(__xludf.DUMMYFUNCTION("""COMPUTED_VALUE"""),"Albatros 9 - DeetosSnel 10")</f>
        <v>Albatros 9 - DeetosSnel 10</v>
      </c>
      <c r="C96" s="5">
        <f ca="1">IFERROR(__xludf.DUMMYFUNCTION("""COMPUTED_VALUE"""),0.53125)</f>
        <v>0.53125</v>
      </c>
      <c r="D96" t="str">
        <f ca="1">IFERROR(__xludf.DUMMYFUNCTION("""COMPUTED_VALUE"""),"Sportpark Develstein")</f>
        <v>Sportpark Develstein</v>
      </c>
      <c r="F96" t="str">
        <f ca="1">IFERROR(__xludf.DUMMYFUNCTION("""COMPUTED_VALUE"""),"6aK40")</f>
        <v>6aK40</v>
      </c>
    </row>
    <row r="97" spans="1:6" ht="13.2">
      <c r="A97" s="4">
        <f ca="1">IFERROR(__xludf.DUMMYFUNCTION("""COMPUTED_VALUE"""),44849)</f>
        <v>44849</v>
      </c>
      <c r="B97" t="str">
        <f ca="1">IFERROR(__xludf.DUMMYFUNCTION("""COMPUTED_VALUE"""),"Albatros A1 - Fortuna/Delta Logistiek A1")</f>
        <v>Albatros A1 - Fortuna/Delta Logistiek A1</v>
      </c>
      <c r="C97" s="5">
        <f ca="1">IFERROR(__xludf.DUMMYFUNCTION("""COMPUTED_VALUE"""),0.541666666667879)</f>
        <v>0.54166666666787899</v>
      </c>
      <c r="D97" t="str">
        <f ca="1">IFERROR(__xludf.DUMMYFUNCTION("""COMPUTED_VALUE"""),"Sportpark Develstein")</f>
        <v>Sportpark Develstein</v>
      </c>
      <c r="F97" t="str">
        <f ca="1">IFERROR(__xludf.DUMMYFUNCTION("""COMPUTED_VALUE"""),"1K40")</f>
        <v>1K40</v>
      </c>
    </row>
    <row r="98" spans="1:6" ht="13.2">
      <c r="A98" s="4">
        <f ca="1">IFERROR(__xludf.DUMMYFUNCTION("""COMPUTED_VALUE"""),44849)</f>
        <v>44849</v>
      </c>
      <c r="B98" t="str">
        <f ca="1">IFERROR(__xludf.DUMMYFUNCTION("""COMPUTED_VALUE"""),"Albatros A4 - Oranje Wit (D) A3")</f>
        <v>Albatros A4 - Oranje Wit (D) A3</v>
      </c>
      <c r="C98" s="5">
        <f ca="1">IFERROR(__xludf.DUMMYFUNCTION("""COMPUTED_VALUE"""),0.541666666667879)</f>
        <v>0.54166666666787899</v>
      </c>
      <c r="D98" t="str">
        <f ca="1">IFERROR(__xludf.DUMMYFUNCTION("""COMPUTED_VALUE"""),"Sportpark Develstein")</f>
        <v>Sportpark Develstein</v>
      </c>
      <c r="F98" t="str">
        <f ca="1">IFERROR(__xludf.DUMMYFUNCTION("""COMPUTED_VALUE"""),"3K40")</f>
        <v>3K40</v>
      </c>
    </row>
    <row r="99" spans="1:6" ht="13.2">
      <c r="A99" s="4">
        <f ca="1">IFERROR(__xludf.DUMMYFUNCTION("""COMPUTED_VALUE"""),44849)</f>
        <v>44849</v>
      </c>
      <c r="B99" t="str">
        <f ca="1">IFERROR(__xludf.DUMMYFUNCTION("""COMPUTED_VALUE"""),"Albatros 2 - Merwede/Multiplaat 2")</f>
        <v>Albatros 2 - Merwede/Multiplaat 2</v>
      </c>
      <c r="C99" s="5">
        <f ca="1">IFERROR(__xludf.DUMMYFUNCTION("""COMPUTED_VALUE"""),0.604166666667879)</f>
        <v>0.60416666666787899</v>
      </c>
      <c r="D99" t="str">
        <f ca="1">IFERROR(__xludf.DUMMYFUNCTION("""COMPUTED_VALUE"""),"Sportpark Develstein")</f>
        <v>Sportpark Develstein</v>
      </c>
      <c r="F99" t="str">
        <f ca="1">IFERROR(__xludf.DUMMYFUNCTION("""COMPUTED_VALUE"""),"1K40")</f>
        <v>1K40</v>
      </c>
    </row>
    <row r="100" spans="1:6" ht="13.2">
      <c r="A100" s="4">
        <f ca="1">IFERROR(__xludf.DUMMYFUNCTION("""COMPUTED_VALUE"""),44849)</f>
        <v>44849</v>
      </c>
      <c r="B100" t="str">
        <f ca="1">IFERROR(__xludf.DUMMYFUNCTION("""COMPUTED_VALUE"""),"Albatros 7 - Trekvogels 2")</f>
        <v>Albatros 7 - Trekvogels 2</v>
      </c>
      <c r="C100" s="5">
        <f ca="1">IFERROR(__xludf.DUMMYFUNCTION("""COMPUTED_VALUE"""),0.604166666667879)</f>
        <v>0.60416666666787899</v>
      </c>
      <c r="D100" t="str">
        <f ca="1">IFERROR(__xludf.DUMMYFUNCTION("""COMPUTED_VALUE"""),"Sportpark Develstein")</f>
        <v>Sportpark Develstein</v>
      </c>
      <c r="F100" t="str">
        <f ca="1">IFERROR(__xludf.DUMMYFUNCTION("""COMPUTED_VALUE"""),"3K40")</f>
        <v>3K40</v>
      </c>
    </row>
    <row r="101" spans="1:6" ht="13.2">
      <c r="A101" s="4">
        <f ca="1">IFERROR(__xludf.DUMMYFUNCTION("""COMPUTED_VALUE"""),44849)</f>
        <v>44849</v>
      </c>
      <c r="B101" t="str">
        <f ca="1">IFERROR(__xludf.DUMMYFUNCTION("""COMPUTED_VALUE"""),"Albatros 1 - Merwede/Multiplaat 1")</f>
        <v>Albatros 1 - Merwede/Multiplaat 1</v>
      </c>
      <c r="C101" s="5">
        <f ca="1">IFERROR(__xludf.DUMMYFUNCTION("""COMPUTED_VALUE"""),0.666666666667879)</f>
        <v>0.66666666666787899</v>
      </c>
      <c r="D101" t="str">
        <f ca="1">IFERROR(__xludf.DUMMYFUNCTION("""COMPUTED_VALUE"""),"Sportpark Develstein")</f>
        <v>Sportpark Develstein</v>
      </c>
      <c r="F101" t="str">
        <f ca="1">IFERROR(__xludf.DUMMYFUNCTION("""COMPUTED_VALUE"""),"1K40")</f>
        <v>1K40</v>
      </c>
    </row>
    <row r="102" spans="1:6" ht="13.2">
      <c r="A102" s="4">
        <f ca="1">IFERROR(__xludf.DUMMYFUNCTION("""COMPUTED_VALUE"""),44849)</f>
        <v>44849</v>
      </c>
      <c r="B102" t="str">
        <f ca="1">IFERROR(__xludf.DUMMYFUNCTION("""COMPUTED_VALUE"""),"Albatros 8 - Korbatjo 3")</f>
        <v>Albatros 8 - Korbatjo 3</v>
      </c>
      <c r="C102" s="5">
        <f ca="1">IFERROR(__xludf.DUMMYFUNCTION("""COMPUTED_VALUE"""),0.666666666667879)</f>
        <v>0.66666666666787899</v>
      </c>
      <c r="D102" t="str">
        <f ca="1">IFERROR(__xludf.DUMMYFUNCTION("""COMPUTED_VALUE"""),"Sportpark Develstein")</f>
        <v>Sportpark Develstein</v>
      </c>
      <c r="F102" t="str">
        <f ca="1">IFERROR(__xludf.DUMMYFUNCTION("""COMPUTED_VALUE"""),"3K40")</f>
        <v>3K40</v>
      </c>
    </row>
    <row r="103" spans="1:6" ht="13.2">
      <c r="A103" s="4">
        <f ca="1">IFERROR(__xludf.DUMMYFUNCTION("""COMPUTED_VALUE"""),44849)</f>
        <v>44849</v>
      </c>
      <c r="B103" t="str">
        <f ca="1">IFERROR(__xludf.DUMMYFUNCTION("""COMPUTED_VALUE"""),"Albatros 3 - Sporting Delta 3")</f>
        <v>Albatros 3 - Sporting Delta 3</v>
      </c>
      <c r="C103" s="5">
        <f ca="1">IFERROR(__xludf.DUMMYFUNCTION("""COMPUTED_VALUE"""),0.729166666667879)</f>
        <v>0.72916666666787899</v>
      </c>
      <c r="D103" t="str">
        <f ca="1">IFERROR(__xludf.DUMMYFUNCTION("""COMPUTED_VALUE"""),"Sportpark Develstein")</f>
        <v>Sportpark Develstein</v>
      </c>
      <c r="F103" t="str">
        <f ca="1">IFERROR(__xludf.DUMMYFUNCTION("""COMPUTED_VALUE"""),"1K40")</f>
        <v>1K40</v>
      </c>
    </row>
    <row r="104" spans="1:6" ht="13.2">
      <c r="A104" s="4">
        <f ca="1">IFERROR(__xludf.DUMMYFUNCTION("""COMPUTED_VALUE"""),44856)</f>
        <v>44856</v>
      </c>
      <c r="B104" t="str">
        <f ca="1">IFERROR(__xludf.DUMMYFUNCTION("""COMPUTED_VALUE"""),"Albatros C1 - KCR C1")</f>
        <v>Albatros C1 - KCR C1</v>
      </c>
      <c r="C104" s="5">
        <f ca="1">IFERROR(__xludf.DUMMYFUNCTION("""COMPUTED_VALUE"""),0.416666666667879)</f>
        <v>0.41666666666787899</v>
      </c>
      <c r="D104" t="str">
        <f ca="1">IFERROR(__xludf.DUMMYFUNCTION("""COMPUTED_VALUE"""),"Sportpark Develstein")</f>
        <v>Sportpark Develstein</v>
      </c>
      <c r="F104" t="str">
        <f ca="1">IFERROR(__xludf.DUMMYFUNCTION("""COMPUTED_VALUE"""),"1K40")</f>
        <v>1K40</v>
      </c>
    </row>
    <row r="105" spans="1:6" ht="13.2">
      <c r="A105" s="4">
        <f ca="1">IFERROR(__xludf.DUMMYFUNCTION("""COMPUTED_VALUE"""),44856)</f>
        <v>44856</v>
      </c>
      <c r="B105" t="str">
        <f ca="1">IFERROR(__xludf.DUMMYFUNCTION("""COMPUTED_VALUE"""),"Albatros B1 - Kinderdijk B1")</f>
        <v>Albatros B1 - Kinderdijk B1</v>
      </c>
      <c r="C105" s="5">
        <f ca="1">IFERROR(__xludf.DUMMYFUNCTION("""COMPUTED_VALUE"""),0.46875)</f>
        <v>0.46875</v>
      </c>
      <c r="D105" t="str">
        <f ca="1">IFERROR(__xludf.DUMMYFUNCTION("""COMPUTED_VALUE"""),"Sportpark Develstein")</f>
        <v>Sportpark Develstein</v>
      </c>
      <c r="F105" t="str">
        <f ca="1">IFERROR(__xludf.DUMMYFUNCTION("""COMPUTED_VALUE"""),"1K40")</f>
        <v>1K40</v>
      </c>
    </row>
    <row r="106" spans="1:6" ht="13.2">
      <c r="A106" s="4">
        <f ca="1">IFERROR(__xludf.DUMMYFUNCTION("""COMPUTED_VALUE"""),44856)</f>
        <v>44856</v>
      </c>
      <c r="B106" t="str">
        <f ca="1">IFERROR(__xludf.DUMMYFUNCTION("""COMPUTED_VALUE"""),"Albatros 5 - Twist 4")</f>
        <v>Albatros 5 - Twist 4</v>
      </c>
      <c r="C106" s="5">
        <f ca="1">IFERROR(__xludf.DUMMYFUNCTION("""COMPUTED_VALUE"""),0.541666666667879)</f>
        <v>0.54166666666787899</v>
      </c>
      <c r="D106" t="str">
        <f ca="1">IFERROR(__xludf.DUMMYFUNCTION("""COMPUTED_VALUE"""),"Sportpark Develstein")</f>
        <v>Sportpark Develstein</v>
      </c>
      <c r="F106" t="str">
        <f ca="1">IFERROR(__xludf.DUMMYFUNCTION("""COMPUTED_VALUE"""),"1K40")</f>
        <v>1K40</v>
      </c>
    </row>
    <row r="107" spans="1:6" ht="13.2">
      <c r="A107" s="4">
        <f ca="1">IFERROR(__xludf.DUMMYFUNCTION("""COMPUTED_VALUE"""),44856)</f>
        <v>44856</v>
      </c>
      <c r="B107" t="str">
        <f ca="1">IFERROR(__xludf.DUMMYFUNCTION("""COMPUTED_VALUE"""),"Albatros 4 - Kinderdijk 3")</f>
        <v>Albatros 4 - Kinderdijk 3</v>
      </c>
      <c r="C107" s="5">
        <f ca="1">IFERROR(__xludf.DUMMYFUNCTION("""COMPUTED_VALUE"""),0.604166666667879)</f>
        <v>0.60416666666787899</v>
      </c>
      <c r="D107" t="str">
        <f ca="1">IFERROR(__xludf.DUMMYFUNCTION("""COMPUTED_VALUE"""),"Sportpark Develstein")</f>
        <v>Sportpark Develstein</v>
      </c>
      <c r="F107" t="str">
        <f ca="1">IFERROR(__xludf.DUMMYFUNCTION("""COMPUTED_VALUE"""),"1K40")</f>
        <v>1K40</v>
      </c>
    </row>
    <row r="108" spans="1:6" ht="13.2">
      <c r="A108" s="4">
        <f ca="1">IFERROR(__xludf.DUMMYFUNCTION("""COMPUTED_VALUE"""),44863)</f>
        <v>44863</v>
      </c>
      <c r="B108" t="str">
        <f ca="1">IFERROR(__xludf.DUMMYFUNCTION("""COMPUTED_VALUE"""),"Albatros 5 - RWA 4")</f>
        <v>Albatros 5 - RWA 4</v>
      </c>
      <c r="C108" s="5">
        <f ca="1">IFERROR(__xludf.DUMMYFUNCTION("""COMPUTED_VALUE"""),0.541666666667879)</f>
        <v>0.54166666666787899</v>
      </c>
      <c r="D108" t="str">
        <f ca="1">IFERROR(__xludf.DUMMYFUNCTION("""COMPUTED_VALUE"""),"Sportpark Develstein")</f>
        <v>Sportpark Develstein</v>
      </c>
      <c r="F108" t="str">
        <f ca="1">IFERROR(__xludf.DUMMYFUNCTION("""COMPUTED_VALUE"""),"1K40")</f>
        <v>1K40</v>
      </c>
    </row>
    <row r="109" spans="1:6" ht="13.2">
      <c r="A109" s="4">
        <f ca="1">IFERROR(__xludf.DUMMYFUNCTION("""COMPUTED_VALUE"""),44863)</f>
        <v>44863</v>
      </c>
      <c r="B109" t="str">
        <f ca="1">IFERROR(__xludf.DUMMYFUNCTION("""COMPUTED_VALUE"""),"Albatros 4 - Vriendenschaar (H) 3")</f>
        <v>Albatros 4 - Vriendenschaar (H) 3</v>
      </c>
      <c r="C109" s="5">
        <f ca="1">IFERROR(__xludf.DUMMYFUNCTION("""COMPUTED_VALUE"""),0.61458333333212)</f>
        <v>0.61458333333212001</v>
      </c>
      <c r="D109" t="str">
        <f ca="1">IFERROR(__xludf.DUMMYFUNCTION("""COMPUTED_VALUE"""),"Sportpark Develstein")</f>
        <v>Sportpark Develstein</v>
      </c>
      <c r="F109" t="str">
        <f ca="1">IFERROR(__xludf.DUMMYFUNCTION("""COMPUTED_VALUE"""),"1K40")</f>
        <v>1K40</v>
      </c>
    </row>
    <row r="110" spans="1:6" ht="13.2">
      <c r="A110" s="4"/>
      <c r="C110" s="5"/>
    </row>
    <row r="111" spans="1:6" ht="13.2">
      <c r="A111" s="4"/>
      <c r="C111" s="5"/>
    </row>
    <row r="112" spans="1:6" ht="13.2">
      <c r="A112" s="4"/>
      <c r="C112" s="5"/>
    </row>
    <row r="113" spans="1:6" ht="13.2">
      <c r="A113" s="8"/>
      <c r="C113" s="5"/>
    </row>
    <row r="114" spans="1:6" ht="13.2">
      <c r="A114" s="4"/>
      <c r="C114" s="5"/>
    </row>
    <row r="115" spans="1:6" ht="13.2">
      <c r="A115" s="4"/>
      <c r="C115" s="5"/>
      <c r="F115" s="7"/>
    </row>
    <row r="116" spans="1:6" ht="13.2">
      <c r="A116" s="4"/>
      <c r="C116" s="5"/>
    </row>
    <row r="117" spans="1:6" ht="13.2">
      <c r="A117" s="4"/>
      <c r="C117" s="5"/>
    </row>
    <row r="118" spans="1:6" ht="13.2">
      <c r="A118" s="4"/>
      <c r="C118" s="5"/>
    </row>
    <row r="119" spans="1:6" ht="13.2">
      <c r="A119" s="4"/>
      <c r="C119" s="5"/>
      <c r="F119" s="6"/>
    </row>
    <row r="120" spans="1:6" ht="13.2">
      <c r="A120" s="8"/>
      <c r="B120" s="6"/>
      <c r="C120" s="9"/>
      <c r="D120" s="6"/>
      <c r="E120" s="6"/>
      <c r="F120" s="6"/>
    </row>
    <row r="121" spans="1:6" ht="13.2">
      <c r="A121" s="8"/>
      <c r="B121" s="6"/>
      <c r="C121" s="9"/>
      <c r="D121" s="6"/>
      <c r="E121" s="6"/>
    </row>
    <row r="122" spans="1:6" ht="13.2">
      <c r="A122" s="8"/>
      <c r="B122" s="6"/>
      <c r="C122" s="9"/>
      <c r="D122" s="6"/>
      <c r="E122" s="6"/>
    </row>
    <row r="123" spans="1:6" ht="13.2">
      <c r="A123" s="8"/>
      <c r="B123" s="6"/>
      <c r="C123" s="9"/>
      <c r="D123" s="6"/>
      <c r="E123" s="6"/>
    </row>
    <row r="124" spans="1:6" ht="13.2">
      <c r="A124" s="8"/>
      <c r="B124" s="6"/>
      <c r="C124" s="9"/>
      <c r="D124" s="6"/>
      <c r="E124" s="6"/>
    </row>
    <row r="125" spans="1:6" ht="13.2">
      <c r="A125" s="8"/>
      <c r="B125" s="6"/>
      <c r="C125" s="9"/>
      <c r="D125" s="6"/>
      <c r="E125" s="6"/>
    </row>
    <row r="126" spans="1:6" ht="13.2">
      <c r="A126" s="8"/>
      <c r="B126" s="6"/>
      <c r="C126" s="9"/>
      <c r="D126" s="6"/>
      <c r="E126" s="6"/>
    </row>
    <row r="127" spans="1:6" ht="13.2">
      <c r="A127" s="8"/>
      <c r="B127" s="6"/>
      <c r="C127" s="9"/>
      <c r="D127" s="6"/>
      <c r="E127" s="6"/>
    </row>
    <row r="128" spans="1:6" ht="13.2">
      <c r="A128" s="8"/>
      <c r="B128" s="6"/>
      <c r="C128" s="9"/>
      <c r="D128" s="6"/>
      <c r="E128" s="6"/>
    </row>
    <row r="129" spans="1:5" ht="13.2">
      <c r="A129" s="8"/>
      <c r="B129" s="6"/>
      <c r="C129" s="9"/>
      <c r="D129" s="6"/>
      <c r="E129" s="6"/>
    </row>
    <row r="130" spans="1:5" ht="13.2">
      <c r="A130" s="8"/>
      <c r="B130" s="6"/>
      <c r="C130" s="9"/>
      <c r="D130" s="6"/>
      <c r="E130" s="6"/>
    </row>
    <row r="131" spans="1:5" ht="13.2">
      <c r="A131" s="8"/>
      <c r="B131" s="6"/>
      <c r="C131" s="9"/>
      <c r="D131" s="6"/>
      <c r="E131" s="6"/>
    </row>
    <row r="132" spans="1:5" ht="13.2">
      <c r="A132" s="8"/>
      <c r="B132" s="6"/>
      <c r="C132" s="9"/>
      <c r="D132" s="6"/>
      <c r="E132" s="6"/>
    </row>
    <row r="133" spans="1:5" ht="13.2">
      <c r="A133" s="4"/>
      <c r="C133" s="5"/>
    </row>
    <row r="134" spans="1:5" ht="13.2">
      <c r="A134" s="4"/>
      <c r="C134" s="5"/>
    </row>
    <row r="135" spans="1:5" ht="13.2">
      <c r="A135" s="4"/>
      <c r="C135" s="5"/>
    </row>
    <row r="136" spans="1:5" ht="13.2">
      <c r="A136" s="4"/>
      <c r="C136" s="5"/>
    </row>
    <row r="137" spans="1:5" ht="13.2">
      <c r="A137" s="4"/>
      <c r="C137" s="5"/>
    </row>
    <row r="138" spans="1:5" ht="13.2">
      <c r="A138" s="4"/>
      <c r="C138" s="5"/>
    </row>
    <row r="139" spans="1:5" ht="13.2">
      <c r="A139" s="4"/>
      <c r="C139" s="5"/>
    </row>
    <row r="140" spans="1:5" ht="13.2">
      <c r="A140" s="4"/>
      <c r="C140" s="5"/>
    </row>
    <row r="141" spans="1:5" ht="13.2">
      <c r="A141" s="4"/>
      <c r="C141" s="5"/>
    </row>
    <row r="142" spans="1:5" ht="13.2">
      <c r="A142" s="4"/>
      <c r="C142" s="5"/>
    </row>
    <row r="143" spans="1:5" ht="13.2">
      <c r="A143" s="4"/>
      <c r="C143" s="5"/>
    </row>
    <row r="144" spans="1:5" ht="13.2">
      <c r="A144" s="4"/>
      <c r="C144" s="5"/>
    </row>
    <row r="145" spans="1:6" ht="13.2">
      <c r="A145" s="4"/>
      <c r="C145" s="5"/>
    </row>
    <row r="146" spans="1:6" ht="13.2">
      <c r="A146" s="4"/>
      <c r="C146" s="5"/>
    </row>
    <row r="147" spans="1:6" ht="13.2">
      <c r="A147" s="4"/>
      <c r="C147" s="5"/>
    </row>
    <row r="148" spans="1:6" ht="13.2">
      <c r="A148" s="4"/>
      <c r="C148" s="5"/>
    </row>
    <row r="149" spans="1:6" ht="13.2">
      <c r="A149" s="4"/>
      <c r="C149" s="5"/>
    </row>
    <row r="150" spans="1:6" ht="13.2">
      <c r="A150" s="4"/>
      <c r="C150" s="5"/>
    </row>
    <row r="151" spans="1:6" ht="13.2">
      <c r="A151" s="4"/>
      <c r="C151" s="5"/>
    </row>
    <row r="152" spans="1:6" ht="13.2">
      <c r="A152" s="4"/>
      <c r="C152" s="5"/>
    </row>
    <row r="153" spans="1:6" ht="13.2">
      <c r="A153" s="4"/>
      <c r="C153" s="5"/>
    </row>
    <row r="154" spans="1:6" ht="13.2">
      <c r="A154" s="4"/>
      <c r="C154" s="5"/>
    </row>
    <row r="155" spans="1:6" ht="13.2">
      <c r="A155" s="4"/>
      <c r="C155" s="5"/>
    </row>
    <row r="156" spans="1:6" ht="13.2">
      <c r="A156" s="4"/>
      <c r="C156" s="5"/>
    </row>
    <row r="157" spans="1:6" ht="13.2">
      <c r="A157" s="4"/>
      <c r="C157" s="5"/>
    </row>
    <row r="158" spans="1:6" ht="13.2">
      <c r="A158" s="4"/>
      <c r="C158" s="5"/>
    </row>
    <row r="159" spans="1:6" ht="13.2">
      <c r="A159" s="4"/>
      <c r="C159" s="5"/>
      <c r="F159" s="6"/>
    </row>
    <row r="160" spans="1:6" ht="13.2">
      <c r="A160" s="4"/>
      <c r="C160" s="5"/>
      <c r="F160" s="6"/>
    </row>
    <row r="161" spans="1:6" ht="13.2">
      <c r="A161" s="4"/>
      <c r="C161" s="5"/>
      <c r="F161" s="6"/>
    </row>
    <row r="162" spans="1:6" ht="13.2">
      <c r="A162" s="4"/>
      <c r="C162" s="5"/>
    </row>
    <row r="163" spans="1:6" ht="13.2">
      <c r="A163" s="4"/>
      <c r="C163" s="5"/>
    </row>
    <row r="164" spans="1:6" ht="13.2">
      <c r="A164" s="4"/>
      <c r="C164" s="5"/>
    </row>
    <row r="165" spans="1:6" ht="13.2">
      <c r="A165" s="4"/>
      <c r="C165" s="5"/>
    </row>
    <row r="166" spans="1:6" ht="13.2">
      <c r="A166" s="4"/>
      <c r="C166" s="5"/>
    </row>
    <row r="167" spans="1:6" ht="13.2">
      <c r="A167" s="4"/>
      <c r="C167" s="5"/>
      <c r="F167" s="6"/>
    </row>
    <row r="168" spans="1:6" ht="13.2">
      <c r="A168" s="4"/>
      <c r="C168" s="5"/>
      <c r="F168" s="6"/>
    </row>
    <row r="169" spans="1:6" ht="13.2">
      <c r="A169" s="4"/>
      <c r="C169" s="5"/>
      <c r="F169" s="6"/>
    </row>
    <row r="170" spans="1:6" ht="13.2">
      <c r="A170" s="4"/>
      <c r="C170" s="5"/>
      <c r="F170" s="6"/>
    </row>
    <row r="171" spans="1:6" ht="13.2">
      <c r="A171" s="4"/>
      <c r="C171" s="5"/>
      <c r="F171" s="6"/>
    </row>
    <row r="172" spans="1:6" ht="13.2">
      <c r="A172" s="4"/>
      <c r="C172" s="5"/>
      <c r="F172" s="6"/>
    </row>
    <row r="173" spans="1:6" ht="13.2">
      <c r="A173" s="4"/>
      <c r="C173" s="5"/>
      <c r="F173" s="6"/>
    </row>
    <row r="174" spans="1:6" ht="13.2">
      <c r="A174" s="4"/>
      <c r="C174" s="5"/>
      <c r="F174" s="6"/>
    </row>
    <row r="175" spans="1:6" ht="13.2">
      <c r="A175" s="4"/>
      <c r="C175" s="5"/>
    </row>
    <row r="176" spans="1:6" ht="13.2">
      <c r="A176" s="4"/>
      <c r="C176" s="5"/>
    </row>
    <row r="177" spans="1:6" ht="13.2">
      <c r="A177" s="4"/>
      <c r="C177" s="5"/>
    </row>
    <row r="178" spans="1:6" ht="13.2">
      <c r="A178" s="4"/>
      <c r="C178" s="5"/>
    </row>
    <row r="179" spans="1:6" ht="13.2">
      <c r="A179" s="4"/>
      <c r="C179" s="5"/>
    </row>
    <row r="180" spans="1:6" ht="13.2">
      <c r="A180" s="4"/>
      <c r="C180" s="5"/>
    </row>
    <row r="181" spans="1:6" ht="13.2">
      <c r="A181" s="4"/>
      <c r="C181" s="5"/>
    </row>
    <row r="182" spans="1:6" ht="13.2">
      <c r="A182" s="4"/>
      <c r="C182" s="5"/>
    </row>
    <row r="183" spans="1:6" ht="13.2">
      <c r="A183" s="4"/>
      <c r="C183" s="5"/>
    </row>
    <row r="184" spans="1:6" ht="13.2">
      <c r="A184" s="4"/>
      <c r="C184" s="5"/>
    </row>
    <row r="185" spans="1:6" ht="13.2">
      <c r="A185" s="4"/>
      <c r="C185" s="5"/>
    </row>
    <row r="186" spans="1:6" ht="13.2">
      <c r="A186" s="4"/>
      <c r="C186" s="5"/>
    </row>
    <row r="187" spans="1:6" ht="13.2">
      <c r="A187" s="4"/>
      <c r="C187" s="5"/>
    </row>
    <row r="188" spans="1:6" ht="13.2">
      <c r="A188" s="4"/>
      <c r="C188" s="5"/>
    </row>
    <row r="189" spans="1:6" ht="13.2">
      <c r="A189" s="4"/>
      <c r="C189" s="5"/>
    </row>
    <row r="190" spans="1:6" ht="13.2">
      <c r="A190" s="4"/>
      <c r="C190" s="5"/>
    </row>
    <row r="191" spans="1:6" ht="13.2">
      <c r="A191" s="4"/>
      <c r="C191" s="5"/>
    </row>
    <row r="192" spans="1:6" ht="13.2">
      <c r="A192" s="4"/>
      <c r="C192" s="5"/>
      <c r="F192" s="6"/>
    </row>
    <row r="193" spans="1:6" ht="13.2">
      <c r="A193" s="4"/>
      <c r="C193" s="5"/>
      <c r="F193" s="6"/>
    </row>
    <row r="194" spans="1:6" ht="13.2">
      <c r="A194" s="4"/>
      <c r="C194" s="5"/>
      <c r="F194" s="6"/>
    </row>
    <row r="195" spans="1:6" ht="13.2">
      <c r="A195" s="4"/>
      <c r="C195" s="5"/>
      <c r="F195" s="6"/>
    </row>
    <row r="196" spans="1:6" ht="13.2">
      <c r="A196" s="4"/>
      <c r="C196" s="5"/>
      <c r="F196" s="6"/>
    </row>
    <row r="197" spans="1:6" ht="13.2">
      <c r="A197" s="4"/>
      <c r="C197" s="5"/>
      <c r="F197" s="6"/>
    </row>
    <row r="198" spans="1:6" ht="13.2">
      <c r="A198" s="4"/>
      <c r="C198" s="5"/>
      <c r="F198" s="6"/>
    </row>
    <row r="199" spans="1:6" ht="13.2">
      <c r="A199" s="4"/>
      <c r="C199" s="5"/>
    </row>
    <row r="200" spans="1:6" ht="13.2">
      <c r="A200" s="4"/>
      <c r="C200" s="5"/>
    </row>
    <row r="201" spans="1:6" ht="13.2">
      <c r="A201" s="4"/>
      <c r="C201" s="5"/>
    </row>
    <row r="202" spans="1:6" ht="13.2">
      <c r="A202" s="4"/>
      <c r="C202" s="5"/>
    </row>
    <row r="203" spans="1:6" ht="13.2">
      <c r="A203" s="4"/>
      <c r="C203" s="5"/>
    </row>
    <row r="204" spans="1:6" ht="13.2">
      <c r="A204" s="4"/>
      <c r="C204" s="5"/>
    </row>
    <row r="205" spans="1:6" ht="13.2">
      <c r="A205" s="4"/>
      <c r="C205" s="5"/>
    </row>
    <row r="206" spans="1:6" ht="13.2">
      <c r="A206" s="4"/>
      <c r="C206" s="5"/>
    </row>
    <row r="207" spans="1:6" ht="13.2">
      <c r="A207" s="4"/>
      <c r="C207" s="5"/>
    </row>
    <row r="208" spans="1:6" ht="13.2">
      <c r="A208" s="4"/>
      <c r="C208" s="5"/>
    </row>
    <row r="209" spans="1:3" ht="13.2">
      <c r="A209" s="4"/>
      <c r="C209" s="5"/>
    </row>
    <row r="210" spans="1:3" ht="13.2">
      <c r="A210" s="4"/>
      <c r="C210" s="5"/>
    </row>
    <row r="211" spans="1:3" ht="13.2">
      <c r="A211" s="4"/>
      <c r="C211" s="5"/>
    </row>
    <row r="212" spans="1:3" ht="13.2">
      <c r="A212" s="4"/>
      <c r="C212" s="5"/>
    </row>
    <row r="213" spans="1:3" ht="13.2">
      <c r="A213" s="4"/>
      <c r="C213" s="5"/>
    </row>
    <row r="214" spans="1:3" ht="13.2">
      <c r="A214" s="4"/>
      <c r="C214" s="5"/>
    </row>
    <row r="215" spans="1:3" ht="13.2">
      <c r="A215" s="4"/>
      <c r="C215" s="5"/>
    </row>
    <row r="216" spans="1:3" ht="13.2">
      <c r="A216" s="4"/>
      <c r="C216" s="5"/>
    </row>
    <row r="217" spans="1:3" ht="13.2">
      <c r="A217" s="4"/>
      <c r="C217" s="5"/>
    </row>
    <row r="218" spans="1:3" ht="13.2">
      <c r="A218" s="4"/>
      <c r="C218" s="5"/>
    </row>
    <row r="219" spans="1:3" ht="13.2">
      <c r="A219" s="4"/>
      <c r="C219" s="5"/>
    </row>
    <row r="220" spans="1:3" ht="13.2">
      <c r="A220" s="4"/>
      <c r="C220" s="5"/>
    </row>
    <row r="221" spans="1:3" ht="13.2">
      <c r="A221" s="4"/>
      <c r="C221" s="5"/>
    </row>
    <row r="222" spans="1:3" ht="13.2">
      <c r="A222" s="4"/>
      <c r="C222" s="5"/>
    </row>
    <row r="223" spans="1:3" ht="13.2">
      <c r="A223" s="4"/>
      <c r="C223" s="5"/>
    </row>
    <row r="224" spans="1:3" ht="13.2">
      <c r="A224" s="4"/>
      <c r="C224" s="5"/>
    </row>
    <row r="225" spans="1:6" ht="13.2">
      <c r="A225" s="4"/>
      <c r="C225" s="5"/>
    </row>
    <row r="226" spans="1:6" ht="13.2">
      <c r="A226" s="4"/>
      <c r="C226" s="5"/>
    </row>
    <row r="227" spans="1:6" ht="13.2">
      <c r="A227" s="4"/>
      <c r="C227" s="5"/>
      <c r="F227" s="7"/>
    </row>
    <row r="228" spans="1:6" ht="13.2">
      <c r="A228" s="4"/>
      <c r="C228" s="5"/>
    </row>
    <row r="229" spans="1:6" ht="13.2">
      <c r="A229" s="4"/>
      <c r="C229" s="5"/>
    </row>
    <row r="230" spans="1:6" ht="13.2">
      <c r="A230" s="4"/>
      <c r="C230" s="5"/>
    </row>
    <row r="231" spans="1:6" ht="13.2">
      <c r="A231" s="4"/>
      <c r="C231" s="5"/>
    </row>
    <row r="232" spans="1:6" ht="13.2">
      <c r="A232" s="4"/>
      <c r="C232" s="5"/>
    </row>
    <row r="233" spans="1:6" ht="13.2">
      <c r="A233" s="4"/>
      <c r="C233" s="5"/>
    </row>
    <row r="234" spans="1:6" ht="13.2">
      <c r="A234" s="4"/>
      <c r="C234" s="5"/>
    </row>
    <row r="235" spans="1:6" ht="13.2">
      <c r="A235" s="4"/>
      <c r="C235" s="5"/>
    </row>
    <row r="236" spans="1:6" ht="13.2">
      <c r="A236" s="4"/>
      <c r="C236" s="5"/>
    </row>
    <row r="237" spans="1:6" ht="13.2">
      <c r="A237" s="4"/>
      <c r="C237" s="5"/>
    </row>
    <row r="238" spans="1:6" ht="13.2">
      <c r="A238" s="4"/>
      <c r="C238" s="5"/>
    </row>
    <row r="239" spans="1:6" ht="13.2">
      <c r="A239" s="4"/>
      <c r="C239" s="5"/>
    </row>
    <row r="240" spans="1:6" ht="13.2">
      <c r="A240" s="4"/>
      <c r="C240" s="5"/>
    </row>
    <row r="241" spans="1:3" ht="13.2">
      <c r="A241" s="4"/>
      <c r="C241" s="5"/>
    </row>
    <row r="242" spans="1:3" ht="13.2">
      <c r="A242" s="4"/>
      <c r="C242" s="5"/>
    </row>
    <row r="243" spans="1:3" ht="13.2">
      <c r="A243" s="4"/>
      <c r="C243" s="5"/>
    </row>
    <row r="244" spans="1:3" ht="13.2">
      <c r="A244" s="4"/>
      <c r="C244" s="5"/>
    </row>
    <row r="245" spans="1:3" ht="13.2">
      <c r="A245" s="4"/>
      <c r="C245" s="5"/>
    </row>
    <row r="246" spans="1:3" ht="13.2">
      <c r="A246" s="4"/>
      <c r="C246" s="5"/>
    </row>
    <row r="247" spans="1:3" ht="13.2">
      <c r="A247" s="4"/>
      <c r="C247" s="5"/>
    </row>
    <row r="248" spans="1:3" ht="13.2">
      <c r="A248" s="4"/>
      <c r="C248" s="5"/>
    </row>
    <row r="249" spans="1:3" ht="13.2">
      <c r="A249" s="4"/>
      <c r="C249" s="5"/>
    </row>
    <row r="250" spans="1:3" ht="13.2">
      <c r="A250" s="4"/>
      <c r="C250" s="5"/>
    </row>
    <row r="251" spans="1:3" ht="13.2">
      <c r="A251" s="4"/>
      <c r="C251" s="5"/>
    </row>
    <row r="252" spans="1:3" ht="13.2">
      <c r="A252" s="4"/>
      <c r="C252" s="5"/>
    </row>
    <row r="253" spans="1:3" ht="13.2">
      <c r="A253" s="4"/>
      <c r="C253" s="5"/>
    </row>
    <row r="254" spans="1:3" ht="13.2">
      <c r="A254" s="4"/>
      <c r="C254" s="5"/>
    </row>
    <row r="255" spans="1:3" ht="13.2">
      <c r="A255" s="4"/>
      <c r="C255" s="5"/>
    </row>
    <row r="256" spans="1:3" ht="13.2">
      <c r="A256" s="4"/>
      <c r="C256" s="5"/>
    </row>
    <row r="257" spans="1:3" ht="13.2">
      <c r="A257" s="4"/>
      <c r="C257" s="5"/>
    </row>
    <row r="258" spans="1:3" ht="13.2">
      <c r="A258" s="4"/>
      <c r="C258" s="5"/>
    </row>
    <row r="259" spans="1:3" ht="13.2">
      <c r="A259" s="4"/>
      <c r="C259" s="5"/>
    </row>
    <row r="260" spans="1:3" ht="13.2">
      <c r="A260" s="4"/>
      <c r="C260" s="5"/>
    </row>
    <row r="261" spans="1:3" ht="13.2">
      <c r="A261" s="4"/>
      <c r="C261" s="5"/>
    </row>
    <row r="262" spans="1:3" ht="13.2">
      <c r="A262" s="4"/>
      <c r="C262" s="5"/>
    </row>
    <row r="263" spans="1:3" ht="13.2">
      <c r="A263" s="4"/>
      <c r="C263" s="5"/>
    </row>
    <row r="264" spans="1:3" ht="13.2">
      <c r="A264" s="4"/>
      <c r="C264" s="5"/>
    </row>
    <row r="265" spans="1:3" ht="13.2">
      <c r="A265" s="4"/>
      <c r="C265" s="5"/>
    </row>
    <row r="266" spans="1:3" ht="13.2">
      <c r="A266" s="4"/>
      <c r="C266" s="5"/>
    </row>
    <row r="267" spans="1:3" ht="13.2">
      <c r="A267" s="4"/>
      <c r="C267" s="5"/>
    </row>
    <row r="268" spans="1:3" ht="13.2">
      <c r="A268" s="4"/>
      <c r="C268" s="5"/>
    </row>
    <row r="269" spans="1:3" ht="13.2">
      <c r="A269" s="4"/>
      <c r="C269" s="5"/>
    </row>
    <row r="270" spans="1:3" ht="13.2">
      <c r="A270" s="4"/>
      <c r="C270" s="5"/>
    </row>
    <row r="271" spans="1:3" ht="13.2">
      <c r="A271" s="4"/>
      <c r="C271" s="5"/>
    </row>
    <row r="272" spans="1:3" ht="13.2">
      <c r="A272" s="4"/>
      <c r="C272" s="5"/>
    </row>
    <row r="273" spans="1:3" ht="13.2">
      <c r="A273" s="4"/>
      <c r="C273" s="5"/>
    </row>
    <row r="274" spans="1:3" ht="13.2">
      <c r="A274" s="4"/>
      <c r="C274" s="5"/>
    </row>
    <row r="275" spans="1:3" ht="13.2">
      <c r="A275" s="4"/>
      <c r="C275" s="5"/>
    </row>
    <row r="276" spans="1:3" ht="13.2">
      <c r="A276" s="4"/>
      <c r="C276" s="5"/>
    </row>
    <row r="277" spans="1:3" ht="13.2">
      <c r="A277" s="4"/>
      <c r="C277" s="5"/>
    </row>
    <row r="278" spans="1:3" ht="13.2">
      <c r="A278" s="4"/>
      <c r="C278" s="5"/>
    </row>
    <row r="279" spans="1:3" ht="13.2">
      <c r="A279" s="4"/>
      <c r="C279" s="5"/>
    </row>
    <row r="280" spans="1:3" ht="13.2">
      <c r="A280" s="4"/>
      <c r="C280" s="5"/>
    </row>
    <row r="281" spans="1:3" ht="13.2">
      <c r="A281" s="4"/>
      <c r="C281" s="5"/>
    </row>
    <row r="282" spans="1:3" ht="13.2">
      <c r="A282" s="4"/>
      <c r="C282" s="5"/>
    </row>
    <row r="283" spans="1:3" ht="13.2">
      <c r="A283" s="4"/>
      <c r="C283" s="5"/>
    </row>
    <row r="284" spans="1:3" ht="13.2">
      <c r="A284" s="4"/>
      <c r="C284" s="5"/>
    </row>
    <row r="285" spans="1:3" ht="13.2">
      <c r="A285" s="4"/>
      <c r="C285" s="5"/>
    </row>
    <row r="286" spans="1:3" ht="13.2">
      <c r="A286" s="4"/>
      <c r="C286" s="5"/>
    </row>
    <row r="287" spans="1:3" ht="13.2">
      <c r="A287" s="4"/>
      <c r="C287" s="5"/>
    </row>
    <row r="288" spans="1:3" ht="13.2">
      <c r="A288" s="4"/>
      <c r="C288" s="5"/>
    </row>
    <row r="289" spans="1:3" ht="13.2">
      <c r="A289" s="4"/>
      <c r="C289" s="5"/>
    </row>
    <row r="290" spans="1:3" ht="13.2">
      <c r="A290" s="4"/>
      <c r="C290" s="5"/>
    </row>
    <row r="291" spans="1:3" ht="13.2">
      <c r="A291" s="4"/>
      <c r="C291" s="5"/>
    </row>
    <row r="292" spans="1:3" ht="13.2">
      <c r="A292" s="4"/>
      <c r="C292" s="5"/>
    </row>
    <row r="293" spans="1:3" ht="13.2">
      <c r="A293" s="4"/>
      <c r="C293" s="5"/>
    </row>
    <row r="294" spans="1:3" ht="13.2">
      <c r="A294" s="4"/>
      <c r="C294" s="5"/>
    </row>
    <row r="295" spans="1:3" ht="13.2">
      <c r="A295" s="4"/>
      <c r="C295" s="5"/>
    </row>
    <row r="296" spans="1:3" ht="13.2">
      <c r="A296" s="4"/>
      <c r="C296" s="5"/>
    </row>
    <row r="297" spans="1:3" ht="13.2">
      <c r="A297" s="4"/>
      <c r="C297" s="5"/>
    </row>
    <row r="298" spans="1:3" ht="13.2">
      <c r="A298" s="4"/>
      <c r="C298" s="5"/>
    </row>
    <row r="299" spans="1:3" ht="13.2">
      <c r="A299" s="4"/>
      <c r="C299" s="5"/>
    </row>
    <row r="300" spans="1:3" ht="13.2">
      <c r="A300" s="4"/>
      <c r="C300" s="5"/>
    </row>
    <row r="301" spans="1:3" ht="13.2">
      <c r="A301" s="4"/>
      <c r="C301" s="5"/>
    </row>
    <row r="302" spans="1:3" ht="13.2">
      <c r="A302" s="4"/>
      <c r="C302" s="5"/>
    </row>
    <row r="303" spans="1:3" ht="13.2">
      <c r="A303" s="4"/>
      <c r="C303" s="5"/>
    </row>
    <row r="304" spans="1:3" ht="13.2">
      <c r="A304" s="4"/>
      <c r="C304" s="5"/>
    </row>
    <row r="305" spans="1:3" ht="13.2">
      <c r="A305" s="4"/>
      <c r="C305" s="5"/>
    </row>
    <row r="306" spans="1:3" ht="13.2">
      <c r="A306" s="4"/>
      <c r="C306" s="5"/>
    </row>
    <row r="307" spans="1:3" ht="13.2">
      <c r="A307" s="4"/>
      <c r="C307" s="5"/>
    </row>
    <row r="308" spans="1:3" ht="13.2">
      <c r="A308" s="4"/>
      <c r="C308" s="5"/>
    </row>
    <row r="309" spans="1:3" ht="13.2">
      <c r="A309" s="4"/>
      <c r="C309" s="5"/>
    </row>
    <row r="310" spans="1:3" ht="13.2">
      <c r="A310" s="4"/>
      <c r="C310" s="5"/>
    </row>
    <row r="311" spans="1:3" ht="13.2">
      <c r="A311" s="4"/>
      <c r="C311" s="5"/>
    </row>
    <row r="312" spans="1:3" ht="13.2">
      <c r="A312" s="4"/>
      <c r="C312" s="5"/>
    </row>
    <row r="313" spans="1:3" ht="13.2">
      <c r="A313" s="4"/>
      <c r="C313" s="5"/>
    </row>
    <row r="314" spans="1:3" ht="13.2">
      <c r="A314" s="4"/>
      <c r="C314" s="5"/>
    </row>
    <row r="315" spans="1:3" ht="13.2">
      <c r="A315" s="4"/>
      <c r="C315" s="5"/>
    </row>
    <row r="316" spans="1:3" ht="13.2">
      <c r="A316" s="4"/>
      <c r="C316" s="5"/>
    </row>
    <row r="317" spans="1:3" ht="13.2">
      <c r="A317" s="4"/>
      <c r="C317" s="5"/>
    </row>
    <row r="318" spans="1:3" ht="13.2">
      <c r="A318" s="4"/>
      <c r="C318" s="5"/>
    </row>
    <row r="319" spans="1:3" ht="13.2">
      <c r="A319" s="4"/>
      <c r="C319" s="5"/>
    </row>
    <row r="320" spans="1:3" ht="13.2">
      <c r="A320" s="4"/>
      <c r="C320" s="5"/>
    </row>
    <row r="321" spans="1:3" ht="13.2">
      <c r="A321" s="4"/>
      <c r="C321" s="5"/>
    </row>
    <row r="322" spans="1:3" ht="13.2">
      <c r="A322" s="4"/>
      <c r="C322" s="5"/>
    </row>
    <row r="323" spans="1:3" ht="13.2">
      <c r="A323" s="4"/>
      <c r="C323" s="5"/>
    </row>
    <row r="324" spans="1:3" ht="13.2">
      <c r="A324" s="4"/>
      <c r="C324" s="5"/>
    </row>
    <row r="325" spans="1:3" ht="13.2">
      <c r="A325" s="4"/>
      <c r="C325" s="5"/>
    </row>
    <row r="326" spans="1:3" ht="13.2">
      <c r="A326" s="4"/>
      <c r="C326" s="5"/>
    </row>
    <row r="327" spans="1:3" ht="13.2">
      <c r="A327" s="4"/>
      <c r="C327" s="5"/>
    </row>
    <row r="328" spans="1:3" ht="13.2">
      <c r="A328" s="4"/>
      <c r="C328" s="5"/>
    </row>
    <row r="329" spans="1:3" ht="13.2">
      <c r="A329" s="4"/>
      <c r="C329" s="5"/>
    </row>
    <row r="330" spans="1:3" ht="13.2">
      <c r="A330" s="4"/>
      <c r="C330" s="5"/>
    </row>
    <row r="331" spans="1:3" ht="13.2">
      <c r="A331" s="4"/>
      <c r="C331" s="5"/>
    </row>
    <row r="332" spans="1:3" ht="13.2">
      <c r="A332" s="4"/>
      <c r="C332" s="5"/>
    </row>
    <row r="333" spans="1:3" ht="13.2">
      <c r="A333" s="4"/>
      <c r="C333" s="5"/>
    </row>
    <row r="334" spans="1:3" ht="13.2">
      <c r="A334" s="4"/>
      <c r="C334" s="5"/>
    </row>
    <row r="335" spans="1:3" ht="13.2">
      <c r="A335" s="4"/>
      <c r="C335" s="5"/>
    </row>
    <row r="336" spans="1:3" ht="13.2">
      <c r="A336" s="4"/>
      <c r="C336" s="5"/>
    </row>
    <row r="337" spans="1:3" ht="13.2">
      <c r="A337" s="4"/>
      <c r="C337" s="5"/>
    </row>
    <row r="338" spans="1:3" ht="13.2">
      <c r="A338" s="4"/>
      <c r="C338" s="5"/>
    </row>
    <row r="339" spans="1:3" ht="13.2">
      <c r="A339" s="4"/>
      <c r="C339" s="5"/>
    </row>
    <row r="340" spans="1:3" ht="13.2">
      <c r="A340" s="4"/>
      <c r="C340" s="5"/>
    </row>
    <row r="341" spans="1:3" ht="13.2">
      <c r="A341" s="4"/>
      <c r="C341" s="5"/>
    </row>
    <row r="342" spans="1:3" ht="13.2">
      <c r="A342" s="4"/>
      <c r="C342" s="5"/>
    </row>
    <row r="343" spans="1:3" ht="13.2">
      <c r="A343" s="4"/>
      <c r="C343" s="5"/>
    </row>
    <row r="344" spans="1:3" ht="13.2">
      <c r="A344" s="4"/>
      <c r="C344" s="5"/>
    </row>
    <row r="345" spans="1:3" ht="13.2">
      <c r="A345" s="4"/>
      <c r="C345" s="5"/>
    </row>
    <row r="346" spans="1:3" ht="13.2">
      <c r="A346" s="4"/>
      <c r="C346" s="5"/>
    </row>
    <row r="347" spans="1:3" ht="13.2">
      <c r="A347" s="4"/>
      <c r="C347" s="5"/>
    </row>
    <row r="348" spans="1:3" ht="13.2">
      <c r="A348" s="4"/>
      <c r="C348" s="5"/>
    </row>
    <row r="349" spans="1:3" ht="13.2">
      <c r="A349" s="4"/>
      <c r="C349" s="5"/>
    </row>
    <row r="350" spans="1:3" ht="13.2">
      <c r="A350" s="4"/>
      <c r="C350" s="5"/>
    </row>
    <row r="351" spans="1:3" ht="13.2">
      <c r="A351" s="4"/>
      <c r="C351" s="5"/>
    </row>
    <row r="352" spans="1:3" ht="13.2">
      <c r="A352" s="4"/>
      <c r="C352" s="5"/>
    </row>
    <row r="353" spans="1:3" ht="13.2">
      <c r="A353" s="4"/>
      <c r="C353" s="5"/>
    </row>
    <row r="354" spans="1:3" ht="13.2">
      <c r="A354" s="4"/>
      <c r="C354" s="5"/>
    </row>
    <row r="355" spans="1:3" ht="13.2">
      <c r="A355" s="4"/>
      <c r="C355" s="5"/>
    </row>
    <row r="356" spans="1:3" ht="13.2">
      <c r="A356" s="4"/>
      <c r="C356" s="5"/>
    </row>
    <row r="357" spans="1:3" ht="13.2">
      <c r="A357" s="4"/>
      <c r="C357" s="5"/>
    </row>
    <row r="358" spans="1:3" ht="13.2">
      <c r="A358" s="4"/>
      <c r="C358" s="5"/>
    </row>
    <row r="359" spans="1:3" ht="13.2">
      <c r="A359" s="4"/>
      <c r="C359" s="5"/>
    </row>
    <row r="360" spans="1:3" ht="13.2">
      <c r="A360" s="4"/>
      <c r="C360" s="5"/>
    </row>
    <row r="361" spans="1:3" ht="13.2">
      <c r="A361" s="4"/>
      <c r="C361" s="5"/>
    </row>
    <row r="362" spans="1:3" ht="13.2">
      <c r="A362" s="4"/>
      <c r="C362" s="5"/>
    </row>
    <row r="363" spans="1:3" ht="13.2">
      <c r="A363" s="4"/>
      <c r="C363" s="5"/>
    </row>
    <row r="364" spans="1:3" ht="13.2">
      <c r="A364" s="4"/>
      <c r="C364" s="5"/>
    </row>
    <row r="365" spans="1:3" ht="13.2">
      <c r="A365" s="4"/>
      <c r="C365" s="5"/>
    </row>
    <row r="366" spans="1:3" ht="13.2">
      <c r="A366" s="4"/>
      <c r="C366" s="5"/>
    </row>
    <row r="367" spans="1:3" ht="13.2">
      <c r="A367" s="4"/>
      <c r="C367" s="5"/>
    </row>
    <row r="368" spans="1:3" ht="13.2">
      <c r="A368" s="4"/>
      <c r="C368" s="5"/>
    </row>
    <row r="369" spans="1:3" ht="13.2">
      <c r="A369" s="4"/>
      <c r="C369" s="5"/>
    </row>
    <row r="370" spans="1:3" ht="13.2">
      <c r="A370" s="4"/>
      <c r="C370" s="5"/>
    </row>
    <row r="371" spans="1:3" ht="13.2">
      <c r="A371" s="4"/>
      <c r="C371" s="5"/>
    </row>
    <row r="372" spans="1:3" ht="13.2">
      <c r="A372" s="4"/>
      <c r="C372" s="5"/>
    </row>
    <row r="373" spans="1:3" ht="13.2">
      <c r="A373" s="4"/>
      <c r="C373" s="5"/>
    </row>
    <row r="374" spans="1:3" ht="13.2">
      <c r="A374" s="4"/>
      <c r="C374" s="5"/>
    </row>
    <row r="375" spans="1:3" ht="13.2">
      <c r="A375" s="4"/>
      <c r="C375" s="5"/>
    </row>
    <row r="376" spans="1:3" ht="13.2">
      <c r="A376" s="4"/>
      <c r="C376" s="5"/>
    </row>
    <row r="377" spans="1:3" ht="13.2">
      <c r="A377" s="4"/>
      <c r="C377" s="5"/>
    </row>
    <row r="378" spans="1:3" ht="13.2">
      <c r="A378" s="4"/>
      <c r="C378" s="5"/>
    </row>
    <row r="379" spans="1:3" ht="13.2">
      <c r="A379" s="4"/>
      <c r="C379" s="5"/>
    </row>
    <row r="380" spans="1:3" ht="13.2">
      <c r="A380" s="4"/>
      <c r="C380" s="5"/>
    </row>
    <row r="381" spans="1:3" ht="13.2">
      <c r="A381" s="4"/>
      <c r="C381" s="5"/>
    </row>
    <row r="382" spans="1:3" ht="13.2">
      <c r="A382" s="4"/>
      <c r="C382" s="5"/>
    </row>
    <row r="383" spans="1:3" ht="13.2">
      <c r="A383" s="4"/>
      <c r="C383" s="5"/>
    </row>
    <row r="384" spans="1:3" ht="13.2">
      <c r="A384" s="4"/>
      <c r="C384" s="5"/>
    </row>
    <row r="385" spans="1:3" ht="13.2">
      <c r="A385" s="4"/>
      <c r="C385" s="5"/>
    </row>
    <row r="386" spans="1:3" ht="13.2">
      <c r="A386" s="4"/>
      <c r="C386" s="5"/>
    </row>
    <row r="387" spans="1:3" ht="13.2">
      <c r="A387" s="4"/>
      <c r="C387" s="5"/>
    </row>
    <row r="388" spans="1:3" ht="13.2">
      <c r="A388" s="4"/>
      <c r="C388" s="5"/>
    </row>
    <row r="389" spans="1:3" ht="13.2">
      <c r="A389" s="4"/>
      <c r="C389" s="5"/>
    </row>
    <row r="390" spans="1:3" ht="13.2">
      <c r="A390" s="4"/>
      <c r="C390" s="5"/>
    </row>
    <row r="391" spans="1:3" ht="13.2">
      <c r="A391" s="4"/>
      <c r="C391" s="5"/>
    </row>
    <row r="392" spans="1:3" ht="13.2">
      <c r="A392" s="4"/>
      <c r="C392" s="5"/>
    </row>
    <row r="393" spans="1:3" ht="13.2">
      <c r="A393" s="4"/>
      <c r="C393" s="5"/>
    </row>
    <row r="394" spans="1:3" ht="13.2">
      <c r="A394" s="4"/>
      <c r="C394" s="5"/>
    </row>
    <row r="395" spans="1:3" ht="13.2">
      <c r="A395" s="4"/>
      <c r="C395" s="5"/>
    </row>
    <row r="396" spans="1:3" ht="13.2">
      <c r="A396" s="4"/>
      <c r="C396" s="5"/>
    </row>
    <row r="397" spans="1:3" ht="13.2">
      <c r="A397" s="4"/>
      <c r="C397" s="5"/>
    </row>
    <row r="398" spans="1:3" ht="13.2">
      <c r="A398" s="4"/>
      <c r="C398" s="5"/>
    </row>
    <row r="399" spans="1:3" ht="13.2">
      <c r="A399" s="4"/>
      <c r="C399" s="5"/>
    </row>
    <row r="400" spans="1:3" ht="13.2">
      <c r="A400" s="4"/>
      <c r="C400" s="5"/>
    </row>
    <row r="401" spans="1:3" ht="13.2">
      <c r="A401" s="4"/>
      <c r="C401" s="5"/>
    </row>
    <row r="402" spans="1:3" ht="13.2">
      <c r="A402" s="4"/>
      <c r="C402" s="5"/>
    </row>
    <row r="403" spans="1:3" ht="13.2">
      <c r="A403" s="4"/>
      <c r="C403" s="5"/>
    </row>
    <row r="404" spans="1:3" ht="13.2">
      <c r="A404" s="4"/>
      <c r="C404" s="5"/>
    </row>
    <row r="405" spans="1:3" ht="13.2">
      <c r="A405" s="4"/>
      <c r="C405" s="5"/>
    </row>
    <row r="406" spans="1:3" ht="13.2">
      <c r="A406" s="4"/>
      <c r="C406" s="5"/>
    </row>
    <row r="407" spans="1:3" ht="13.2">
      <c r="A407" s="4"/>
      <c r="C407" s="5"/>
    </row>
    <row r="408" spans="1:3" ht="13.2">
      <c r="A408" s="4"/>
      <c r="C408" s="5"/>
    </row>
    <row r="409" spans="1:3" ht="13.2">
      <c r="A409" s="4"/>
      <c r="C409" s="5"/>
    </row>
    <row r="410" spans="1:3" ht="13.2">
      <c r="A410" s="4"/>
      <c r="C410" s="5"/>
    </row>
    <row r="411" spans="1:3" ht="13.2">
      <c r="A411" s="4"/>
      <c r="C411" s="5"/>
    </row>
    <row r="412" spans="1:3" ht="13.2">
      <c r="A412" s="4"/>
      <c r="C412" s="5"/>
    </row>
    <row r="413" spans="1:3" ht="13.2">
      <c r="A413" s="4"/>
      <c r="C413" s="5"/>
    </row>
    <row r="414" spans="1:3" ht="13.2">
      <c r="A414" s="4"/>
      <c r="C414" s="5"/>
    </row>
    <row r="415" spans="1:3" ht="13.2">
      <c r="A415" s="4"/>
      <c r="C415" s="5"/>
    </row>
    <row r="416" spans="1:3" ht="13.2">
      <c r="A416" s="4"/>
      <c r="C416" s="5"/>
    </row>
    <row r="417" spans="1:3" ht="13.2">
      <c r="A417" s="4"/>
      <c r="C417" s="5"/>
    </row>
    <row r="418" spans="1:3" ht="13.2">
      <c r="A418" s="4"/>
      <c r="C418" s="5"/>
    </row>
    <row r="419" spans="1:3" ht="13.2">
      <c r="A419" s="4"/>
      <c r="C419" s="5"/>
    </row>
    <row r="420" spans="1:3" ht="13.2">
      <c r="A420" s="4"/>
      <c r="C420" s="5"/>
    </row>
    <row r="421" spans="1:3" ht="13.2">
      <c r="A421" s="4"/>
      <c r="C421" s="5"/>
    </row>
    <row r="422" spans="1:3" ht="13.2">
      <c r="A422" s="4"/>
      <c r="C422" s="5"/>
    </row>
    <row r="423" spans="1:3" ht="13.2">
      <c r="A423" s="4"/>
      <c r="C423" s="5"/>
    </row>
    <row r="424" spans="1:3" ht="13.2">
      <c r="A424" s="4"/>
      <c r="C424" s="5"/>
    </row>
    <row r="425" spans="1:3" ht="13.2">
      <c r="A425" s="4"/>
      <c r="C425" s="5"/>
    </row>
    <row r="426" spans="1:3" ht="13.2">
      <c r="A426" s="4"/>
      <c r="C426" s="5"/>
    </row>
    <row r="427" spans="1:3" ht="13.2">
      <c r="A427" s="4"/>
      <c r="C427" s="5"/>
    </row>
    <row r="428" spans="1:3" ht="13.2">
      <c r="A428" s="4"/>
      <c r="C428" s="5"/>
    </row>
    <row r="429" spans="1:3" ht="13.2">
      <c r="A429" s="4"/>
      <c r="C429" s="5"/>
    </row>
    <row r="430" spans="1:3" ht="13.2">
      <c r="A430" s="4"/>
      <c r="C430" s="5"/>
    </row>
    <row r="431" spans="1:3" ht="13.2">
      <c r="A431" s="4"/>
      <c r="C431" s="5"/>
    </row>
    <row r="432" spans="1:3" ht="13.2">
      <c r="A432" s="4"/>
      <c r="C432" s="5"/>
    </row>
    <row r="433" spans="1:3" ht="13.2">
      <c r="A433" s="4"/>
      <c r="C433" s="5"/>
    </row>
    <row r="434" spans="1:3" ht="13.2">
      <c r="A434" s="4"/>
      <c r="C434" s="5"/>
    </row>
    <row r="435" spans="1:3" ht="13.2">
      <c r="A435" s="4"/>
      <c r="C435" s="5"/>
    </row>
    <row r="436" spans="1:3" ht="13.2">
      <c r="A436" s="4"/>
      <c r="C436" s="5"/>
    </row>
    <row r="437" spans="1:3" ht="13.2">
      <c r="A437" s="4"/>
      <c r="C437" s="5"/>
    </row>
    <row r="438" spans="1:3" ht="13.2">
      <c r="A438" s="4"/>
      <c r="C438" s="5"/>
    </row>
    <row r="439" spans="1:3" ht="13.2">
      <c r="A439" s="4"/>
      <c r="C439" s="5"/>
    </row>
    <row r="440" spans="1:3" ht="13.2">
      <c r="A440" s="4"/>
      <c r="C440" s="5"/>
    </row>
    <row r="441" spans="1:3" ht="13.2">
      <c r="A441" s="4"/>
      <c r="C441" s="5"/>
    </row>
    <row r="442" spans="1:3" ht="13.2">
      <c r="A442" s="4"/>
      <c r="C442" s="5"/>
    </row>
    <row r="443" spans="1:3" ht="13.2">
      <c r="A443" s="4"/>
      <c r="C443" s="5"/>
    </row>
    <row r="444" spans="1:3" ht="13.2">
      <c r="A444" s="4"/>
      <c r="C444" s="5"/>
    </row>
    <row r="445" spans="1:3" ht="13.2">
      <c r="A445" s="4"/>
      <c r="C445" s="5"/>
    </row>
    <row r="446" spans="1:3" ht="13.2">
      <c r="A446" s="4"/>
      <c r="C446" s="5"/>
    </row>
    <row r="447" spans="1:3" ht="13.2">
      <c r="A447" s="4"/>
      <c r="C447" s="5"/>
    </row>
    <row r="448" spans="1:3" ht="13.2">
      <c r="A448" s="4"/>
      <c r="C448" s="5"/>
    </row>
    <row r="449" spans="1:3" ht="13.2">
      <c r="A449" s="4"/>
      <c r="C449" s="5"/>
    </row>
    <row r="450" spans="1:3" ht="13.2">
      <c r="A450" s="4"/>
      <c r="C450" s="5"/>
    </row>
    <row r="451" spans="1:3" ht="13.2">
      <c r="A451" s="4"/>
      <c r="C451" s="5"/>
    </row>
    <row r="452" spans="1:3" ht="13.2">
      <c r="A452" s="4"/>
      <c r="C452" s="5"/>
    </row>
    <row r="453" spans="1:3" ht="13.2">
      <c r="A453" s="4"/>
      <c r="C453" s="5"/>
    </row>
    <row r="454" spans="1:3" ht="13.2">
      <c r="A454" s="4"/>
      <c r="C454" s="5"/>
    </row>
    <row r="455" spans="1:3" ht="13.2">
      <c r="A455" s="4"/>
      <c r="C455" s="5"/>
    </row>
    <row r="456" spans="1:3" ht="13.2">
      <c r="A456" s="4"/>
      <c r="C456" s="5"/>
    </row>
    <row r="457" spans="1:3" ht="13.2">
      <c r="A457" s="4"/>
      <c r="C457" s="5"/>
    </row>
    <row r="458" spans="1:3" ht="13.2">
      <c r="A458" s="4"/>
      <c r="C458" s="5"/>
    </row>
    <row r="459" spans="1:3" ht="13.2">
      <c r="A459" s="4"/>
      <c r="C459" s="5"/>
    </row>
    <row r="460" spans="1:3" ht="13.2">
      <c r="A460" s="4"/>
      <c r="C460" s="5"/>
    </row>
    <row r="461" spans="1:3" ht="13.2">
      <c r="A461" s="4"/>
      <c r="C461" s="5"/>
    </row>
    <row r="462" spans="1:3" ht="13.2">
      <c r="A462" s="4"/>
      <c r="C462" s="5"/>
    </row>
    <row r="463" spans="1:3" ht="13.2">
      <c r="A463" s="4"/>
      <c r="C463" s="5"/>
    </row>
    <row r="464" spans="1:3" ht="13.2">
      <c r="A464" s="4"/>
      <c r="C464" s="5"/>
    </row>
    <row r="465" spans="1:3" ht="13.2">
      <c r="A465" s="4"/>
      <c r="C465" s="5"/>
    </row>
    <row r="466" spans="1:3" ht="13.2">
      <c r="A466" s="4"/>
      <c r="C466" s="5"/>
    </row>
    <row r="467" spans="1:3" ht="13.2">
      <c r="A467" s="4"/>
      <c r="C467" s="5"/>
    </row>
    <row r="468" spans="1:3" ht="13.2">
      <c r="A468" s="4"/>
      <c r="C468" s="5"/>
    </row>
    <row r="469" spans="1:3" ht="13.2">
      <c r="A469" s="4"/>
      <c r="C469" s="5"/>
    </row>
    <row r="470" spans="1:3" ht="13.2">
      <c r="A470" s="4"/>
      <c r="C470" s="5"/>
    </row>
    <row r="471" spans="1:3" ht="13.2">
      <c r="A471" s="4"/>
      <c r="C471" s="5"/>
    </row>
    <row r="472" spans="1:3" ht="13.2">
      <c r="A472" s="4"/>
      <c r="C472" s="5"/>
    </row>
    <row r="473" spans="1:3" ht="13.2">
      <c r="A473" s="4"/>
      <c r="C473" s="5"/>
    </row>
    <row r="474" spans="1:3" ht="13.2">
      <c r="A474" s="4"/>
      <c r="C474" s="5"/>
    </row>
    <row r="475" spans="1:3" ht="13.2">
      <c r="A475" s="4"/>
      <c r="C475" s="5"/>
    </row>
    <row r="476" spans="1:3" ht="13.2">
      <c r="A476" s="4"/>
      <c r="C476" s="5"/>
    </row>
    <row r="477" spans="1:3" ht="13.2">
      <c r="A477" s="4"/>
      <c r="C477" s="5"/>
    </row>
    <row r="478" spans="1:3" ht="13.2">
      <c r="A478" s="4"/>
      <c r="C478" s="5"/>
    </row>
    <row r="479" spans="1:3" ht="13.2">
      <c r="A479" s="4"/>
      <c r="C479" s="5"/>
    </row>
    <row r="480" spans="1:3" ht="13.2">
      <c r="A480" s="4"/>
      <c r="C480" s="5"/>
    </row>
    <row r="481" spans="1:3" ht="13.2">
      <c r="A481" s="4"/>
      <c r="C481" s="5"/>
    </row>
    <row r="482" spans="1:3" ht="13.2">
      <c r="A482" s="4"/>
      <c r="C482" s="5"/>
    </row>
    <row r="483" spans="1:3" ht="13.2">
      <c r="A483" s="4"/>
      <c r="C483" s="5"/>
    </row>
    <row r="484" spans="1:3" ht="13.2">
      <c r="A484" s="4"/>
      <c r="C484" s="5"/>
    </row>
    <row r="485" spans="1:3" ht="13.2">
      <c r="A485" s="4"/>
      <c r="C485" s="5"/>
    </row>
    <row r="486" spans="1:3" ht="13.2">
      <c r="A486" s="4"/>
      <c r="C486" s="5"/>
    </row>
    <row r="487" spans="1:3" ht="13.2">
      <c r="A487" s="4"/>
      <c r="C487" s="5"/>
    </row>
    <row r="488" spans="1:3" ht="13.2">
      <c r="A488" s="4"/>
      <c r="C488" s="5"/>
    </row>
    <row r="489" spans="1:3" ht="13.2">
      <c r="A489" s="4"/>
      <c r="C489" s="5"/>
    </row>
    <row r="490" spans="1:3" ht="13.2">
      <c r="A490" s="4"/>
      <c r="C490" s="5"/>
    </row>
    <row r="491" spans="1:3" ht="13.2">
      <c r="A491" s="4"/>
      <c r="C491" s="5"/>
    </row>
    <row r="492" spans="1:3" ht="13.2">
      <c r="A492" s="4"/>
      <c r="C492" s="5"/>
    </row>
    <row r="493" spans="1:3" ht="13.2">
      <c r="A493" s="4"/>
      <c r="C493" s="5"/>
    </row>
    <row r="494" spans="1:3" ht="13.2">
      <c r="A494" s="4"/>
      <c r="C494" s="5"/>
    </row>
    <row r="495" spans="1:3" ht="13.2">
      <c r="A495" s="4"/>
      <c r="C495" s="5"/>
    </row>
    <row r="496" spans="1:3" ht="13.2">
      <c r="A496" s="4"/>
      <c r="C496" s="5"/>
    </row>
    <row r="497" spans="1:3" ht="13.2">
      <c r="A497" s="4"/>
      <c r="C497" s="5"/>
    </row>
    <row r="498" spans="1:3" ht="13.2">
      <c r="A498" s="4"/>
      <c r="C498" s="5"/>
    </row>
    <row r="499" spans="1:3" ht="13.2">
      <c r="A499" s="4"/>
      <c r="C499" s="5"/>
    </row>
    <row r="500" spans="1:3" ht="13.2">
      <c r="A500" s="4"/>
      <c r="C500" s="5"/>
    </row>
    <row r="501" spans="1:3" ht="13.2">
      <c r="A501" s="4"/>
      <c r="C501" s="5"/>
    </row>
    <row r="502" spans="1:3" ht="13.2">
      <c r="A502" s="4"/>
      <c r="C502" s="5"/>
    </row>
    <row r="503" spans="1:3" ht="13.2">
      <c r="A503" s="4"/>
      <c r="C503" s="5"/>
    </row>
    <row r="504" spans="1:3" ht="13.2">
      <c r="A504" s="4"/>
      <c r="C504" s="5"/>
    </row>
    <row r="505" spans="1:3" ht="13.2">
      <c r="A505" s="4"/>
      <c r="C505" s="5"/>
    </row>
    <row r="506" spans="1:3" ht="13.2">
      <c r="A506" s="4"/>
      <c r="C506" s="5"/>
    </row>
    <row r="507" spans="1:3" ht="13.2">
      <c r="A507" s="4"/>
      <c r="C507" s="5"/>
    </row>
    <row r="508" spans="1:3" ht="13.2">
      <c r="A508" s="4"/>
      <c r="C508" s="5"/>
    </row>
    <row r="509" spans="1:3" ht="13.2">
      <c r="A509" s="4"/>
      <c r="C509" s="5"/>
    </row>
    <row r="510" spans="1:3" ht="13.2">
      <c r="A510" s="4"/>
      <c r="C510" s="5"/>
    </row>
    <row r="511" spans="1:3" ht="13.2">
      <c r="A511" s="4"/>
      <c r="C511" s="5"/>
    </row>
    <row r="512" spans="1:3" ht="13.2">
      <c r="A512" s="4"/>
      <c r="C512" s="5"/>
    </row>
    <row r="513" spans="1:3" ht="13.2">
      <c r="A513" s="4"/>
      <c r="C513" s="5"/>
    </row>
    <row r="514" spans="1:3" ht="13.2">
      <c r="A514" s="4"/>
      <c r="C514" s="5"/>
    </row>
    <row r="515" spans="1:3" ht="13.2">
      <c r="A515" s="4"/>
      <c r="C515" s="5"/>
    </row>
    <row r="516" spans="1:3" ht="13.2">
      <c r="A516" s="4"/>
      <c r="C516" s="5"/>
    </row>
    <row r="517" spans="1:3" ht="13.2">
      <c r="A517" s="4"/>
      <c r="C517" s="5"/>
    </row>
    <row r="518" spans="1:3" ht="13.2">
      <c r="A518" s="4"/>
      <c r="C518" s="5"/>
    </row>
    <row r="519" spans="1:3" ht="13.2">
      <c r="A519" s="4"/>
      <c r="C519" s="5"/>
    </row>
    <row r="520" spans="1:3" ht="13.2">
      <c r="A520" s="4"/>
      <c r="C520" s="5"/>
    </row>
    <row r="521" spans="1:3" ht="13.2">
      <c r="A521" s="4"/>
      <c r="C521" s="5"/>
    </row>
    <row r="522" spans="1:3" ht="13.2">
      <c r="A522" s="4"/>
      <c r="C522" s="5"/>
    </row>
    <row r="523" spans="1:3" ht="13.2">
      <c r="A523" s="4"/>
      <c r="C523" s="5"/>
    </row>
    <row r="524" spans="1:3" ht="13.2">
      <c r="A524" s="4"/>
      <c r="C524" s="5"/>
    </row>
    <row r="525" spans="1:3" ht="13.2">
      <c r="A525" s="4"/>
      <c r="C525" s="5"/>
    </row>
    <row r="526" spans="1:3" ht="13.2">
      <c r="A526" s="4"/>
      <c r="C526" s="5"/>
    </row>
    <row r="527" spans="1:3" ht="13.2">
      <c r="A527" s="4"/>
      <c r="C527" s="5"/>
    </row>
    <row r="528" spans="1:3" ht="13.2">
      <c r="A528" s="4"/>
      <c r="C528" s="5"/>
    </row>
    <row r="529" spans="1:3" ht="13.2">
      <c r="A529" s="4"/>
      <c r="C529" s="5"/>
    </row>
    <row r="530" spans="1:3" ht="13.2">
      <c r="A530" s="4"/>
      <c r="C530" s="5"/>
    </row>
    <row r="531" spans="1:3" ht="13.2">
      <c r="A531" s="4"/>
      <c r="C531" s="5"/>
    </row>
    <row r="532" spans="1:3" ht="13.2">
      <c r="A532" s="4"/>
      <c r="C532" s="5"/>
    </row>
    <row r="533" spans="1:3" ht="13.2">
      <c r="A533" s="4"/>
      <c r="C533" s="5"/>
    </row>
    <row r="534" spans="1:3" ht="13.2">
      <c r="A534" s="4"/>
      <c r="C534" s="5"/>
    </row>
    <row r="535" spans="1:3" ht="13.2">
      <c r="A535" s="4"/>
      <c r="C535" s="5"/>
    </row>
    <row r="536" spans="1:3" ht="13.2">
      <c r="A536" s="4"/>
      <c r="C536" s="5"/>
    </row>
    <row r="537" spans="1:3" ht="13.2">
      <c r="A537" s="4"/>
      <c r="C537" s="5"/>
    </row>
    <row r="538" spans="1:3" ht="13.2">
      <c r="A538" s="4"/>
      <c r="C538" s="5"/>
    </row>
    <row r="539" spans="1:3" ht="13.2">
      <c r="A539" s="4"/>
      <c r="C539" s="5"/>
    </row>
    <row r="540" spans="1:3" ht="13.2">
      <c r="A540" s="4"/>
      <c r="C540" s="5"/>
    </row>
    <row r="541" spans="1:3" ht="13.2">
      <c r="A541" s="4"/>
      <c r="C541" s="5"/>
    </row>
    <row r="542" spans="1:3" ht="13.2">
      <c r="A542" s="4"/>
      <c r="C542" s="5"/>
    </row>
    <row r="543" spans="1:3" ht="13.2">
      <c r="A543" s="4"/>
      <c r="C543" s="5"/>
    </row>
    <row r="544" spans="1:3" ht="13.2">
      <c r="A544" s="4"/>
      <c r="C544" s="5"/>
    </row>
    <row r="545" spans="1:3" ht="13.2">
      <c r="A545" s="4"/>
      <c r="C545" s="5"/>
    </row>
    <row r="546" spans="1:3" ht="13.2">
      <c r="A546" s="4"/>
      <c r="C546" s="5"/>
    </row>
    <row r="547" spans="1:3" ht="13.2">
      <c r="A547" s="4"/>
      <c r="C547" s="5"/>
    </row>
    <row r="548" spans="1:3" ht="13.2">
      <c r="A548" s="4"/>
      <c r="C548" s="5"/>
    </row>
    <row r="549" spans="1:3" ht="13.2">
      <c r="A549" s="4"/>
      <c r="C549" s="5"/>
    </row>
    <row r="550" spans="1:3" ht="13.2">
      <c r="A550" s="4"/>
      <c r="C550" s="5"/>
    </row>
    <row r="551" spans="1:3" ht="13.2">
      <c r="A551" s="4"/>
      <c r="C551" s="5"/>
    </row>
    <row r="552" spans="1:3" ht="13.2">
      <c r="A552" s="4"/>
      <c r="C552" s="5"/>
    </row>
    <row r="553" spans="1:3" ht="13.2">
      <c r="A553" s="4"/>
      <c r="C553" s="5"/>
    </row>
    <row r="554" spans="1:3" ht="13.2">
      <c r="A554" s="4"/>
      <c r="C554" s="5"/>
    </row>
    <row r="555" spans="1:3" ht="13.2">
      <c r="A555" s="4"/>
      <c r="C555" s="5"/>
    </row>
    <row r="556" spans="1:3" ht="13.2">
      <c r="A556" s="4"/>
      <c r="C556" s="5"/>
    </row>
    <row r="557" spans="1:3" ht="13.2">
      <c r="A557" s="4"/>
      <c r="C557" s="5"/>
    </row>
    <row r="558" spans="1:3" ht="13.2">
      <c r="A558" s="4"/>
      <c r="C558" s="5"/>
    </row>
    <row r="559" spans="1:3" ht="13.2">
      <c r="A559" s="4"/>
      <c r="C559" s="5"/>
    </row>
    <row r="560" spans="1:3" ht="13.2">
      <c r="A560" s="4"/>
      <c r="C560" s="5"/>
    </row>
    <row r="561" spans="1:3" ht="13.2">
      <c r="A561" s="4"/>
      <c r="C561" s="5"/>
    </row>
    <row r="562" spans="1:3" ht="13.2">
      <c r="A562" s="4"/>
      <c r="C562" s="5"/>
    </row>
    <row r="563" spans="1:3" ht="13.2">
      <c r="A563" s="4"/>
      <c r="C563" s="5"/>
    </row>
    <row r="564" spans="1:3" ht="13.2">
      <c r="A564" s="4"/>
      <c r="C564" s="5"/>
    </row>
    <row r="565" spans="1:3" ht="13.2">
      <c r="A565" s="4"/>
      <c r="C565" s="5"/>
    </row>
    <row r="566" spans="1:3" ht="13.2">
      <c r="A566" s="4"/>
      <c r="C566" s="5"/>
    </row>
    <row r="567" spans="1:3" ht="13.2">
      <c r="A567" s="4"/>
      <c r="C567" s="5"/>
    </row>
    <row r="568" spans="1:3" ht="13.2">
      <c r="A568" s="4"/>
      <c r="C568" s="5"/>
    </row>
    <row r="569" spans="1:3" ht="13.2">
      <c r="A569" s="4"/>
      <c r="C569" s="5"/>
    </row>
    <row r="570" spans="1:3" ht="13.2">
      <c r="A570" s="4"/>
      <c r="C570" s="5"/>
    </row>
    <row r="571" spans="1:3" ht="13.2">
      <c r="A571" s="4"/>
      <c r="C571" s="5"/>
    </row>
    <row r="572" spans="1:3" ht="13.2">
      <c r="A572" s="4"/>
      <c r="C572" s="5"/>
    </row>
    <row r="573" spans="1:3" ht="13.2">
      <c r="A573" s="4"/>
      <c r="C573" s="5"/>
    </row>
    <row r="574" spans="1:3" ht="13.2">
      <c r="A574" s="4"/>
      <c r="C574" s="5"/>
    </row>
    <row r="575" spans="1:3" ht="13.2">
      <c r="A575" s="4"/>
      <c r="C575" s="5"/>
    </row>
    <row r="576" spans="1:3" ht="13.2">
      <c r="A576" s="4"/>
      <c r="C576" s="5"/>
    </row>
    <row r="577" spans="1:3" ht="13.2">
      <c r="A577" s="4"/>
      <c r="C577" s="5"/>
    </row>
    <row r="578" spans="1:3" ht="13.2">
      <c r="A578" s="4"/>
      <c r="C578" s="5"/>
    </row>
    <row r="579" spans="1:3" ht="13.2">
      <c r="A579" s="4"/>
      <c r="C579" s="5"/>
    </row>
    <row r="580" spans="1:3" ht="13.2">
      <c r="A580" s="4"/>
      <c r="C580" s="5"/>
    </row>
    <row r="581" spans="1:3" ht="13.2">
      <c r="A581" s="4"/>
      <c r="C581" s="5"/>
    </row>
    <row r="582" spans="1:3" ht="13.2">
      <c r="A582" s="4"/>
      <c r="C582" s="5"/>
    </row>
    <row r="583" spans="1:3" ht="13.2">
      <c r="A583" s="4"/>
      <c r="C583" s="5"/>
    </row>
    <row r="584" spans="1:3" ht="13.2">
      <c r="A584" s="4"/>
      <c r="C584" s="5"/>
    </row>
    <row r="585" spans="1:3" ht="13.2">
      <c r="A585" s="4"/>
      <c r="C585" s="5"/>
    </row>
    <row r="586" spans="1:3" ht="13.2">
      <c r="A586" s="4"/>
      <c r="C586" s="5"/>
    </row>
    <row r="587" spans="1:3" ht="13.2">
      <c r="A587" s="4"/>
      <c r="C587" s="5"/>
    </row>
    <row r="588" spans="1:3" ht="13.2">
      <c r="A588" s="4"/>
      <c r="C588" s="5"/>
    </row>
    <row r="589" spans="1:3" ht="13.2">
      <c r="A589" s="4"/>
      <c r="C589" s="5"/>
    </row>
    <row r="590" spans="1:3" ht="13.2">
      <c r="A590" s="4"/>
      <c r="C590" s="5"/>
    </row>
    <row r="591" spans="1:3" ht="13.2">
      <c r="A591" s="4"/>
      <c r="C591" s="5"/>
    </row>
    <row r="592" spans="1:3" ht="13.2">
      <c r="A592" s="4"/>
      <c r="C592" s="5"/>
    </row>
    <row r="593" spans="1:3" ht="13.2">
      <c r="A593" s="4"/>
      <c r="C593" s="5"/>
    </row>
    <row r="594" spans="1:3" ht="13.2">
      <c r="A594" s="4"/>
      <c r="C594" s="5"/>
    </row>
    <row r="595" spans="1:3" ht="13.2">
      <c r="A595" s="4"/>
      <c r="C595" s="5"/>
    </row>
    <row r="596" spans="1:3" ht="13.2">
      <c r="A596" s="4"/>
      <c r="C596" s="5"/>
    </row>
    <row r="597" spans="1:3" ht="13.2">
      <c r="A597" s="4"/>
      <c r="C597" s="5"/>
    </row>
    <row r="598" spans="1:3" ht="13.2">
      <c r="A598" s="4"/>
      <c r="C598" s="5"/>
    </row>
    <row r="599" spans="1:3" ht="13.2">
      <c r="A599" s="4"/>
      <c r="C599" s="5"/>
    </row>
    <row r="600" spans="1:3" ht="13.2">
      <c r="A600" s="4"/>
      <c r="C600" s="5"/>
    </row>
    <row r="601" spans="1:3" ht="13.2">
      <c r="A601" s="4"/>
      <c r="C601" s="5"/>
    </row>
    <row r="602" spans="1:3" ht="13.2">
      <c r="A602" s="4"/>
      <c r="C602" s="5"/>
    </row>
    <row r="603" spans="1:3" ht="13.2">
      <c r="A603" s="4"/>
      <c r="C603" s="5"/>
    </row>
    <row r="604" spans="1:3" ht="13.2">
      <c r="A604" s="4"/>
      <c r="C604" s="5"/>
    </row>
    <row r="605" spans="1:3" ht="13.2">
      <c r="A605" s="4"/>
      <c r="C605" s="5"/>
    </row>
    <row r="606" spans="1:3" ht="13.2">
      <c r="A606" s="4"/>
      <c r="C606" s="5"/>
    </row>
    <row r="607" spans="1:3" ht="13.2">
      <c r="A607" s="4"/>
      <c r="C607" s="5"/>
    </row>
    <row r="608" spans="1:3" ht="13.2">
      <c r="A608" s="4"/>
      <c r="C608" s="5"/>
    </row>
    <row r="609" spans="1:3" ht="13.2">
      <c r="A609" s="4"/>
      <c r="C609" s="5"/>
    </row>
    <row r="610" spans="1:3" ht="13.2">
      <c r="A610" s="4"/>
      <c r="C610" s="5"/>
    </row>
    <row r="611" spans="1:3" ht="13.2">
      <c r="A611" s="4"/>
      <c r="C611" s="5"/>
    </row>
    <row r="612" spans="1:3" ht="13.2">
      <c r="A612" s="4"/>
      <c r="C612" s="5"/>
    </row>
    <row r="613" spans="1:3" ht="13.2">
      <c r="A613" s="4"/>
      <c r="C613" s="5"/>
    </row>
    <row r="614" spans="1:3" ht="13.2">
      <c r="A614" s="4"/>
      <c r="C614" s="5"/>
    </row>
    <row r="615" spans="1:3" ht="13.2">
      <c r="A615" s="4"/>
      <c r="C615" s="5"/>
    </row>
    <row r="616" spans="1:3" ht="13.2">
      <c r="A616" s="4"/>
      <c r="C616" s="5"/>
    </row>
    <row r="617" spans="1:3" ht="13.2">
      <c r="A617" s="4"/>
      <c r="C617" s="5"/>
    </row>
    <row r="618" spans="1:3" ht="13.2">
      <c r="A618" s="4"/>
      <c r="C618" s="5"/>
    </row>
    <row r="619" spans="1:3" ht="13.2">
      <c r="A619" s="4"/>
      <c r="C619" s="5"/>
    </row>
    <row r="620" spans="1:3" ht="13.2">
      <c r="A620" s="4"/>
      <c r="C620" s="5"/>
    </row>
    <row r="621" spans="1:3" ht="13.2">
      <c r="A621" s="4"/>
      <c r="C621" s="5"/>
    </row>
    <row r="622" spans="1:3" ht="13.2">
      <c r="A622" s="4"/>
      <c r="C622" s="5"/>
    </row>
    <row r="623" spans="1:3" ht="13.2">
      <c r="A623" s="4"/>
      <c r="C623" s="5"/>
    </row>
    <row r="624" spans="1:3" ht="13.2">
      <c r="A624" s="4"/>
      <c r="C624" s="5"/>
    </row>
    <row r="625" spans="1:3" ht="13.2">
      <c r="A625" s="4"/>
      <c r="C625" s="5"/>
    </row>
    <row r="626" spans="1:3" ht="13.2">
      <c r="A626" s="4"/>
      <c r="C626" s="5"/>
    </row>
    <row r="627" spans="1:3" ht="13.2">
      <c r="A627" s="4"/>
      <c r="C627" s="5"/>
    </row>
    <row r="628" spans="1:3" ht="13.2">
      <c r="A628" s="4"/>
      <c r="C628" s="5"/>
    </row>
    <row r="629" spans="1:3" ht="13.2">
      <c r="A629" s="4"/>
      <c r="C629" s="5"/>
    </row>
    <row r="630" spans="1:3" ht="13.2">
      <c r="A630" s="4"/>
      <c r="C630" s="5"/>
    </row>
    <row r="631" spans="1:3" ht="13.2">
      <c r="A631" s="4"/>
      <c r="C631" s="5"/>
    </row>
    <row r="632" spans="1:3" ht="13.2">
      <c r="A632" s="4"/>
      <c r="C632" s="5"/>
    </row>
    <row r="633" spans="1:3" ht="13.2">
      <c r="A633" s="4"/>
      <c r="C633" s="5"/>
    </row>
    <row r="634" spans="1:3" ht="13.2">
      <c r="A634" s="4"/>
      <c r="C634" s="5"/>
    </row>
    <row r="635" spans="1:3" ht="13.2">
      <c r="A635" s="4"/>
      <c r="C635" s="5"/>
    </row>
    <row r="636" spans="1:3" ht="13.2">
      <c r="A636" s="4"/>
      <c r="C636" s="5"/>
    </row>
    <row r="637" spans="1:3" ht="13.2">
      <c r="A637" s="4"/>
      <c r="C637" s="5"/>
    </row>
    <row r="638" spans="1:3" ht="13.2">
      <c r="A638" s="4"/>
      <c r="C638" s="5"/>
    </row>
    <row r="639" spans="1:3" ht="13.2">
      <c r="A639" s="4"/>
      <c r="C639" s="5"/>
    </row>
    <row r="640" spans="1:3" ht="13.2">
      <c r="A640" s="4"/>
      <c r="C640" s="5"/>
    </row>
    <row r="641" spans="1:3" ht="13.2">
      <c r="A641" s="4"/>
      <c r="C641" s="5"/>
    </row>
    <row r="642" spans="1:3" ht="13.2">
      <c r="A642" s="4"/>
      <c r="C642" s="5"/>
    </row>
    <row r="643" spans="1:3" ht="13.2">
      <c r="A643" s="4"/>
      <c r="C643" s="5"/>
    </row>
    <row r="644" spans="1:3" ht="13.2">
      <c r="A644" s="4"/>
      <c r="C644" s="5"/>
    </row>
    <row r="645" spans="1:3" ht="13.2">
      <c r="A645" s="4"/>
      <c r="C645" s="5"/>
    </row>
    <row r="646" spans="1:3" ht="13.2">
      <c r="A646" s="4"/>
      <c r="C646" s="5"/>
    </row>
    <row r="647" spans="1:3" ht="13.2">
      <c r="A647" s="4"/>
      <c r="C647" s="5"/>
    </row>
    <row r="648" spans="1:3" ht="13.2">
      <c r="A648" s="4"/>
      <c r="C648" s="5"/>
    </row>
    <row r="649" spans="1:3" ht="13.2">
      <c r="A649" s="4"/>
      <c r="C649" s="5"/>
    </row>
    <row r="650" spans="1:3" ht="13.2">
      <c r="A650" s="4"/>
      <c r="C650" s="5"/>
    </row>
    <row r="651" spans="1:3" ht="13.2">
      <c r="A651" s="4"/>
      <c r="C651" s="5"/>
    </row>
    <row r="652" spans="1:3" ht="13.2">
      <c r="A652" s="4"/>
      <c r="C652" s="5"/>
    </row>
    <row r="653" spans="1:3" ht="13.2">
      <c r="A653" s="4"/>
      <c r="C653" s="5"/>
    </row>
    <row r="654" spans="1:3" ht="13.2">
      <c r="A654" s="4"/>
      <c r="C654" s="5"/>
    </row>
    <row r="655" spans="1:3" ht="13.2">
      <c r="A655" s="4"/>
      <c r="C655" s="5"/>
    </row>
    <row r="656" spans="1:3" ht="13.2">
      <c r="A656" s="4"/>
      <c r="C656" s="5"/>
    </row>
    <row r="657" spans="1:3" ht="13.2">
      <c r="A657" s="4"/>
      <c r="C657" s="5"/>
    </row>
    <row r="658" spans="1:3" ht="13.2">
      <c r="A658" s="4"/>
      <c r="C658" s="5"/>
    </row>
    <row r="659" spans="1:3" ht="13.2">
      <c r="A659" s="4"/>
      <c r="C659" s="5"/>
    </row>
    <row r="660" spans="1:3" ht="13.2">
      <c r="A660" s="4"/>
      <c r="C660" s="5"/>
    </row>
    <row r="661" spans="1:3" ht="13.2">
      <c r="A661" s="4"/>
      <c r="C661" s="5"/>
    </row>
    <row r="662" spans="1:3" ht="13.2">
      <c r="A662" s="4"/>
      <c r="C662" s="5"/>
    </row>
    <row r="663" spans="1:3" ht="13.2">
      <c r="A663" s="4"/>
      <c r="C663" s="5"/>
    </row>
    <row r="664" spans="1:3" ht="13.2">
      <c r="A664" s="4"/>
      <c r="C664" s="5"/>
    </row>
    <row r="665" spans="1:3" ht="13.2">
      <c r="A665" s="4"/>
      <c r="C665" s="5"/>
    </row>
    <row r="666" spans="1:3" ht="13.2">
      <c r="A666" s="4"/>
      <c r="C666" s="5"/>
    </row>
    <row r="667" spans="1:3" ht="13.2">
      <c r="A667" s="4"/>
      <c r="C667" s="5"/>
    </row>
    <row r="668" spans="1:3" ht="13.2">
      <c r="A668" s="4"/>
      <c r="C668" s="5"/>
    </row>
    <row r="669" spans="1:3" ht="13.2">
      <c r="A669" s="4"/>
      <c r="C669" s="5"/>
    </row>
    <row r="670" spans="1:3" ht="13.2">
      <c r="A670" s="4"/>
      <c r="C670" s="5"/>
    </row>
    <row r="671" spans="1:3" ht="13.2">
      <c r="A671" s="4"/>
      <c r="C671" s="5"/>
    </row>
    <row r="672" spans="1:3" ht="13.2">
      <c r="A672" s="4"/>
      <c r="C672" s="5"/>
    </row>
    <row r="673" spans="1:3" ht="13.2">
      <c r="A673" s="4"/>
      <c r="C673" s="5"/>
    </row>
    <row r="674" spans="1:3" ht="13.2">
      <c r="A674" s="4"/>
      <c r="C674" s="5"/>
    </row>
    <row r="675" spans="1:3" ht="13.2">
      <c r="A675" s="4"/>
      <c r="C675" s="5"/>
    </row>
    <row r="676" spans="1:3" ht="13.2">
      <c r="A676" s="4"/>
      <c r="C676" s="5"/>
    </row>
    <row r="677" spans="1:3" ht="13.2">
      <c r="A677" s="4"/>
      <c r="C677" s="5"/>
    </row>
    <row r="678" spans="1:3" ht="13.2">
      <c r="A678" s="4"/>
      <c r="C678" s="5"/>
    </row>
    <row r="679" spans="1:3" ht="13.2">
      <c r="A679" s="4"/>
      <c r="C679" s="5"/>
    </row>
    <row r="680" spans="1:3" ht="13.2">
      <c r="A680" s="4"/>
      <c r="C680" s="5"/>
    </row>
    <row r="681" spans="1:3" ht="13.2">
      <c r="A681" s="4"/>
      <c r="C681" s="5"/>
    </row>
    <row r="682" spans="1:3" ht="13.2">
      <c r="A682" s="4"/>
      <c r="C682" s="5"/>
    </row>
    <row r="683" spans="1:3" ht="13.2">
      <c r="A683" s="4"/>
      <c r="C683" s="5"/>
    </row>
    <row r="684" spans="1:3" ht="13.2">
      <c r="A684" s="4"/>
      <c r="C684" s="5"/>
    </row>
    <row r="685" spans="1:3" ht="13.2">
      <c r="A685" s="4"/>
      <c r="C685" s="5"/>
    </row>
    <row r="686" spans="1:3" ht="13.2">
      <c r="A686" s="4"/>
      <c r="C686" s="5"/>
    </row>
    <row r="687" spans="1:3" ht="13.2">
      <c r="A687" s="4"/>
      <c r="C687" s="5"/>
    </row>
    <row r="688" spans="1:3" ht="13.2">
      <c r="A688" s="4"/>
      <c r="C688" s="5"/>
    </row>
    <row r="689" spans="1:3" ht="13.2">
      <c r="A689" s="4"/>
      <c r="C689" s="5"/>
    </row>
    <row r="690" spans="1:3" ht="13.2">
      <c r="A690" s="4"/>
      <c r="C690" s="5"/>
    </row>
    <row r="691" spans="1:3" ht="13.2">
      <c r="A691" s="4"/>
      <c r="C691" s="5"/>
    </row>
    <row r="692" spans="1:3" ht="13.2">
      <c r="A692" s="4"/>
      <c r="C692" s="5"/>
    </row>
    <row r="693" spans="1:3" ht="13.2">
      <c r="A693" s="4"/>
      <c r="C693" s="5"/>
    </row>
    <row r="694" spans="1:3" ht="13.2">
      <c r="A694" s="4"/>
      <c r="C694" s="5"/>
    </row>
    <row r="695" spans="1:3" ht="13.2">
      <c r="A695" s="4"/>
      <c r="C695" s="5"/>
    </row>
    <row r="696" spans="1:3" ht="13.2">
      <c r="A696" s="4"/>
      <c r="C696" s="5"/>
    </row>
    <row r="697" spans="1:3" ht="13.2">
      <c r="A697" s="4"/>
      <c r="C697" s="5"/>
    </row>
    <row r="698" spans="1:3" ht="13.2">
      <c r="A698" s="4"/>
      <c r="C698" s="5"/>
    </row>
    <row r="699" spans="1:3" ht="13.2">
      <c r="A699" s="4"/>
      <c r="C699" s="5"/>
    </row>
    <row r="700" spans="1:3" ht="13.2">
      <c r="A700" s="4"/>
      <c r="C700" s="5"/>
    </row>
    <row r="701" spans="1:3" ht="13.2">
      <c r="A701" s="4"/>
      <c r="C701" s="5"/>
    </row>
    <row r="702" spans="1:3" ht="13.2">
      <c r="A702" s="4"/>
      <c r="C702" s="5"/>
    </row>
    <row r="703" spans="1:3" ht="13.2">
      <c r="A703" s="4"/>
      <c r="C703" s="5"/>
    </row>
    <row r="704" spans="1:3" ht="13.2">
      <c r="A704" s="4"/>
      <c r="C704" s="5"/>
    </row>
    <row r="705" spans="1:3" ht="13.2">
      <c r="A705" s="4"/>
      <c r="C705" s="5"/>
    </row>
    <row r="706" spans="1:3" ht="13.2">
      <c r="A706" s="4"/>
      <c r="C706" s="5"/>
    </row>
    <row r="707" spans="1:3" ht="13.2">
      <c r="A707" s="4"/>
      <c r="C707" s="5"/>
    </row>
    <row r="708" spans="1:3" ht="13.2">
      <c r="A708" s="4"/>
      <c r="C708" s="5"/>
    </row>
    <row r="709" spans="1:3" ht="13.2">
      <c r="A709" s="4"/>
      <c r="C709" s="5"/>
    </row>
    <row r="710" spans="1:3" ht="13.2">
      <c r="A710" s="4"/>
      <c r="C710" s="5"/>
    </row>
    <row r="711" spans="1:3" ht="13.2">
      <c r="A711" s="4"/>
      <c r="C711" s="5"/>
    </row>
    <row r="712" spans="1:3" ht="13.2">
      <c r="A712" s="4"/>
      <c r="C712" s="5"/>
    </row>
    <row r="713" spans="1:3" ht="13.2">
      <c r="A713" s="4"/>
      <c r="C713" s="5"/>
    </row>
    <row r="714" spans="1:3" ht="13.2">
      <c r="A714" s="4"/>
      <c r="C714" s="5"/>
    </row>
    <row r="715" spans="1:3" ht="13.2">
      <c r="A715" s="4"/>
      <c r="C715" s="5"/>
    </row>
    <row r="716" spans="1:3" ht="13.2">
      <c r="A716" s="4"/>
      <c r="C716" s="5"/>
    </row>
    <row r="717" spans="1:3" ht="13.2">
      <c r="A717" s="4"/>
      <c r="C717" s="5"/>
    </row>
    <row r="718" spans="1:3" ht="13.2">
      <c r="A718" s="4"/>
      <c r="C718" s="5"/>
    </row>
    <row r="719" spans="1:3" ht="13.2">
      <c r="A719" s="4"/>
      <c r="C719" s="5"/>
    </row>
    <row r="720" spans="1:3" ht="13.2">
      <c r="A720" s="4"/>
      <c r="C720" s="5"/>
    </row>
    <row r="721" spans="1:3" ht="13.2">
      <c r="A721" s="4"/>
      <c r="C721" s="5"/>
    </row>
    <row r="722" spans="1:3" ht="13.2">
      <c r="A722" s="4"/>
      <c r="C722" s="5"/>
    </row>
    <row r="723" spans="1:3" ht="13.2">
      <c r="A723" s="4"/>
      <c r="C723" s="5"/>
    </row>
    <row r="724" spans="1:3" ht="13.2">
      <c r="A724" s="4"/>
      <c r="C724" s="5"/>
    </row>
    <row r="725" spans="1:3" ht="13.2">
      <c r="A725" s="4"/>
      <c r="C725" s="5"/>
    </row>
    <row r="726" spans="1:3" ht="13.2">
      <c r="A726" s="4"/>
      <c r="C726" s="5"/>
    </row>
    <row r="727" spans="1:3" ht="13.2">
      <c r="A727" s="4"/>
      <c r="C727" s="5"/>
    </row>
    <row r="728" spans="1:3" ht="13.2">
      <c r="A728" s="4"/>
      <c r="C728" s="5"/>
    </row>
    <row r="729" spans="1:3" ht="13.2">
      <c r="A729" s="4"/>
      <c r="C729" s="5"/>
    </row>
    <row r="730" spans="1:3" ht="13.2">
      <c r="A730" s="4"/>
      <c r="C730" s="5"/>
    </row>
    <row r="731" spans="1:3" ht="13.2">
      <c r="A731" s="4"/>
      <c r="C731" s="5"/>
    </row>
    <row r="732" spans="1:3" ht="13.2">
      <c r="A732" s="4"/>
      <c r="C732" s="5"/>
    </row>
    <row r="733" spans="1:3" ht="13.2">
      <c r="A733" s="4"/>
      <c r="C733" s="5"/>
    </row>
    <row r="734" spans="1:3" ht="13.2">
      <c r="A734" s="4"/>
      <c r="C734" s="5"/>
    </row>
    <row r="735" spans="1:3" ht="13.2">
      <c r="A735" s="4"/>
      <c r="C735" s="5"/>
    </row>
    <row r="736" spans="1:3" ht="13.2">
      <c r="A736" s="4"/>
      <c r="C736" s="5"/>
    </row>
    <row r="737" spans="1:3" ht="13.2">
      <c r="A737" s="4"/>
      <c r="C737" s="5"/>
    </row>
    <row r="738" spans="1:3" ht="13.2">
      <c r="A738" s="4"/>
      <c r="C738" s="5"/>
    </row>
    <row r="739" spans="1:3" ht="13.2">
      <c r="A739" s="4"/>
      <c r="C739" s="5"/>
    </row>
    <row r="740" spans="1:3" ht="13.2">
      <c r="A740" s="4"/>
      <c r="C740" s="5"/>
    </row>
    <row r="741" spans="1:3" ht="13.2">
      <c r="A741" s="4"/>
      <c r="C741" s="5"/>
    </row>
    <row r="742" spans="1:3" ht="13.2">
      <c r="A742" s="4"/>
      <c r="C742" s="5"/>
    </row>
    <row r="743" spans="1:3" ht="13.2">
      <c r="A743" s="4"/>
      <c r="C743" s="5"/>
    </row>
    <row r="744" spans="1:3" ht="13.2">
      <c r="A744" s="4"/>
      <c r="C744" s="5"/>
    </row>
    <row r="745" spans="1:3" ht="13.2">
      <c r="A745" s="4"/>
      <c r="C745" s="5"/>
    </row>
    <row r="746" spans="1:3" ht="13.2">
      <c r="A746" s="4"/>
      <c r="C746" s="5"/>
    </row>
    <row r="747" spans="1:3" ht="13.2">
      <c r="A747" s="4"/>
      <c r="C747" s="5"/>
    </row>
    <row r="748" spans="1:3" ht="13.2">
      <c r="A748" s="4"/>
      <c r="C748" s="5"/>
    </row>
    <row r="749" spans="1:3" ht="13.2">
      <c r="A749" s="4"/>
      <c r="C749" s="5"/>
    </row>
    <row r="750" spans="1:3" ht="13.2">
      <c r="A750" s="4"/>
      <c r="C750" s="5"/>
    </row>
    <row r="751" spans="1:3" ht="13.2">
      <c r="A751" s="4"/>
      <c r="C751" s="5"/>
    </row>
    <row r="752" spans="1:3" ht="13.2">
      <c r="A752" s="4"/>
      <c r="C752" s="5"/>
    </row>
    <row r="753" spans="1:3" ht="13.2">
      <c r="A753" s="4"/>
      <c r="C753" s="5"/>
    </row>
    <row r="754" spans="1:3" ht="13.2">
      <c r="A754" s="4"/>
      <c r="C754" s="5"/>
    </row>
    <row r="755" spans="1:3" ht="13.2">
      <c r="A755" s="4"/>
      <c r="C755" s="5"/>
    </row>
    <row r="756" spans="1:3" ht="13.2">
      <c r="A756" s="4"/>
      <c r="C756" s="5"/>
    </row>
    <row r="757" spans="1:3" ht="13.2">
      <c r="A757" s="4"/>
      <c r="C757" s="5"/>
    </row>
    <row r="758" spans="1:3" ht="13.2">
      <c r="A758" s="4"/>
      <c r="C758" s="5"/>
    </row>
    <row r="759" spans="1:3" ht="13.2">
      <c r="A759" s="4"/>
      <c r="C759" s="5"/>
    </row>
    <row r="760" spans="1:3" ht="13.2">
      <c r="A760" s="4"/>
      <c r="C760" s="5"/>
    </row>
    <row r="761" spans="1:3" ht="13.2">
      <c r="A761" s="4"/>
      <c r="C761" s="5"/>
    </row>
    <row r="762" spans="1:3" ht="13.2">
      <c r="A762" s="4"/>
      <c r="C762" s="5"/>
    </row>
    <row r="763" spans="1:3" ht="13.2">
      <c r="A763" s="4"/>
      <c r="C763" s="5"/>
    </row>
    <row r="764" spans="1:3" ht="13.2">
      <c r="A764" s="4"/>
      <c r="C764" s="5"/>
    </row>
    <row r="765" spans="1:3" ht="13.2">
      <c r="A765" s="4"/>
      <c r="C765" s="5"/>
    </row>
    <row r="766" spans="1:3" ht="13.2">
      <c r="A766" s="4"/>
      <c r="C766" s="5"/>
    </row>
    <row r="767" spans="1:3" ht="13.2">
      <c r="A767" s="4"/>
      <c r="C767" s="5"/>
    </row>
    <row r="768" spans="1:3" ht="13.2">
      <c r="A768" s="4"/>
      <c r="C768" s="5"/>
    </row>
    <row r="769" spans="1:3" ht="13.2">
      <c r="A769" s="4"/>
      <c r="C769" s="5"/>
    </row>
    <row r="770" spans="1:3" ht="13.2">
      <c r="A770" s="4"/>
      <c r="C770" s="5"/>
    </row>
    <row r="771" spans="1:3" ht="13.2">
      <c r="A771" s="4"/>
      <c r="C771" s="5"/>
    </row>
    <row r="772" spans="1:3" ht="13.2">
      <c r="A772" s="4"/>
      <c r="C772" s="5"/>
    </row>
    <row r="773" spans="1:3" ht="13.2">
      <c r="A773" s="4"/>
      <c r="C773" s="5"/>
    </row>
    <row r="774" spans="1:3" ht="13.2">
      <c r="A774" s="4"/>
      <c r="C774" s="5"/>
    </row>
    <row r="775" spans="1:3" ht="13.2">
      <c r="A775" s="4"/>
      <c r="C775" s="5"/>
    </row>
    <row r="776" spans="1:3" ht="13.2">
      <c r="A776" s="4"/>
      <c r="C776" s="5"/>
    </row>
    <row r="777" spans="1:3" ht="13.2">
      <c r="A777" s="4"/>
      <c r="C777" s="5"/>
    </row>
    <row r="778" spans="1:3" ht="13.2">
      <c r="A778" s="4"/>
      <c r="C778" s="5"/>
    </row>
    <row r="779" spans="1:3" ht="13.2">
      <c r="A779" s="4"/>
      <c r="C779" s="5"/>
    </row>
    <row r="780" spans="1:3" ht="13.2">
      <c r="A780" s="4"/>
      <c r="C780" s="5"/>
    </row>
    <row r="781" spans="1:3" ht="13.2">
      <c r="A781" s="4"/>
      <c r="C781" s="5"/>
    </row>
    <row r="782" spans="1:3" ht="13.2">
      <c r="A782" s="4"/>
      <c r="C782" s="5"/>
    </row>
    <row r="783" spans="1:3" ht="13.2">
      <c r="A783" s="4"/>
      <c r="C783" s="5"/>
    </row>
    <row r="784" spans="1:3" ht="13.2">
      <c r="A784" s="4"/>
      <c r="C784" s="5"/>
    </row>
    <row r="785" spans="1:3" ht="13.2">
      <c r="A785" s="4"/>
      <c r="C785" s="5"/>
    </row>
    <row r="786" spans="1:3" ht="13.2">
      <c r="A786" s="4"/>
      <c r="C786" s="5"/>
    </row>
    <row r="787" spans="1:3" ht="13.2">
      <c r="A787" s="4"/>
      <c r="C787" s="5"/>
    </row>
    <row r="788" spans="1:3" ht="13.2">
      <c r="A788" s="4"/>
      <c r="C788" s="5"/>
    </row>
    <row r="789" spans="1:3" ht="13.2">
      <c r="A789" s="4"/>
      <c r="C789" s="5"/>
    </row>
    <row r="790" spans="1:3" ht="13.2">
      <c r="A790" s="4"/>
      <c r="C790" s="5"/>
    </row>
    <row r="791" spans="1:3" ht="13.2">
      <c r="A791" s="4"/>
      <c r="C791" s="5"/>
    </row>
    <row r="792" spans="1:3" ht="13.2">
      <c r="A792" s="4"/>
      <c r="C792" s="5"/>
    </row>
    <row r="793" spans="1:3" ht="13.2">
      <c r="A793" s="4"/>
      <c r="C793" s="5"/>
    </row>
    <row r="794" spans="1:3" ht="13.2">
      <c r="A794" s="4"/>
      <c r="C794" s="5"/>
    </row>
    <row r="795" spans="1:3" ht="13.2">
      <c r="A795" s="4"/>
      <c r="C795" s="5"/>
    </row>
    <row r="796" spans="1:3" ht="13.2">
      <c r="A796" s="4"/>
      <c r="C796" s="5"/>
    </row>
    <row r="797" spans="1:3" ht="13.2">
      <c r="A797" s="4"/>
      <c r="C797" s="5"/>
    </row>
    <row r="798" spans="1:3" ht="13.2">
      <c r="A798" s="4"/>
      <c r="C798" s="5"/>
    </row>
    <row r="799" spans="1:3" ht="13.2">
      <c r="A799" s="4"/>
      <c r="C799" s="5"/>
    </row>
    <row r="800" spans="1:3" ht="13.2">
      <c r="A800" s="4"/>
      <c r="C800" s="5"/>
    </row>
    <row r="801" spans="1:3" ht="13.2">
      <c r="A801" s="4"/>
      <c r="C801" s="5"/>
    </row>
    <row r="802" spans="1:3" ht="13.2">
      <c r="A802" s="4"/>
      <c r="C802" s="5"/>
    </row>
    <row r="803" spans="1:3" ht="13.2">
      <c r="A803" s="4"/>
      <c r="C803" s="5"/>
    </row>
    <row r="804" spans="1:3" ht="13.2">
      <c r="A804" s="4"/>
      <c r="C804" s="5"/>
    </row>
    <row r="805" spans="1:3" ht="13.2">
      <c r="A805" s="4"/>
      <c r="C805" s="5"/>
    </row>
    <row r="806" spans="1:3" ht="13.2">
      <c r="A806" s="4"/>
      <c r="C806" s="5"/>
    </row>
    <row r="807" spans="1:3" ht="13.2">
      <c r="A807" s="4"/>
      <c r="C807" s="5"/>
    </row>
    <row r="808" spans="1:3" ht="13.2">
      <c r="A808" s="4"/>
      <c r="C808" s="5"/>
    </row>
    <row r="809" spans="1:3" ht="13.2">
      <c r="A809" s="4"/>
      <c r="C809" s="5"/>
    </row>
    <row r="810" spans="1:3" ht="13.2">
      <c r="A810" s="4"/>
      <c r="C810" s="5"/>
    </row>
    <row r="811" spans="1:3" ht="13.2">
      <c r="A811" s="4"/>
      <c r="C811" s="5"/>
    </row>
    <row r="812" spans="1:3" ht="13.2">
      <c r="A812" s="4"/>
      <c r="C812" s="5"/>
    </row>
    <row r="813" spans="1:3" ht="13.2">
      <c r="A813" s="4"/>
      <c r="C813" s="5"/>
    </row>
    <row r="814" spans="1:3" ht="13.2">
      <c r="A814" s="4"/>
      <c r="C814" s="5"/>
    </row>
    <row r="815" spans="1:3" ht="13.2">
      <c r="A815" s="4"/>
      <c r="C815" s="5"/>
    </row>
    <row r="816" spans="1:3" ht="13.2">
      <c r="A816" s="4"/>
      <c r="C816" s="5"/>
    </row>
    <row r="817" spans="1:3" ht="13.2">
      <c r="A817" s="4"/>
      <c r="C817" s="5"/>
    </row>
    <row r="818" spans="1:3" ht="13.2">
      <c r="A818" s="4"/>
      <c r="C818" s="5"/>
    </row>
    <row r="819" spans="1:3" ht="13.2">
      <c r="A819" s="4"/>
      <c r="C819" s="5"/>
    </row>
    <row r="820" spans="1:3" ht="13.2">
      <c r="A820" s="4"/>
      <c r="C820" s="5"/>
    </row>
    <row r="821" spans="1:3" ht="13.2">
      <c r="A821" s="4"/>
      <c r="C821" s="5"/>
    </row>
    <row r="822" spans="1:3" ht="13.2">
      <c r="A822" s="4"/>
      <c r="C822" s="5"/>
    </row>
    <row r="823" spans="1:3" ht="13.2">
      <c r="A823" s="4"/>
      <c r="C823" s="5"/>
    </row>
    <row r="824" spans="1:3" ht="13.2">
      <c r="A824" s="4"/>
      <c r="C824" s="5"/>
    </row>
    <row r="825" spans="1:3" ht="13.2">
      <c r="A825" s="4"/>
      <c r="C825" s="5"/>
    </row>
    <row r="826" spans="1:3" ht="13.2">
      <c r="A826" s="4"/>
      <c r="C826" s="5"/>
    </row>
    <row r="827" spans="1:3" ht="13.2">
      <c r="A827" s="4"/>
      <c r="C827" s="5"/>
    </row>
    <row r="828" spans="1:3" ht="13.2">
      <c r="A828" s="4"/>
      <c r="C828" s="5"/>
    </row>
    <row r="829" spans="1:3" ht="13.2">
      <c r="A829" s="4"/>
      <c r="C829" s="5"/>
    </row>
    <row r="830" spans="1:3" ht="13.2">
      <c r="A830" s="4"/>
      <c r="C830" s="5"/>
    </row>
    <row r="831" spans="1:3" ht="13.2">
      <c r="A831" s="4"/>
      <c r="C831" s="5"/>
    </row>
    <row r="832" spans="1:3" ht="13.2">
      <c r="A832" s="4"/>
      <c r="C832" s="5"/>
    </row>
    <row r="833" spans="1:3" ht="13.2">
      <c r="A833" s="4"/>
      <c r="C833" s="5"/>
    </row>
    <row r="834" spans="1:3" ht="13.2">
      <c r="A834" s="4"/>
      <c r="C834" s="5"/>
    </row>
    <row r="835" spans="1:3" ht="13.2">
      <c r="A835" s="4"/>
      <c r="C835" s="5"/>
    </row>
    <row r="836" spans="1:3" ht="13.2">
      <c r="A836" s="4"/>
      <c r="C836" s="5"/>
    </row>
    <row r="837" spans="1:3" ht="13.2">
      <c r="A837" s="4"/>
      <c r="C837" s="5"/>
    </row>
    <row r="838" spans="1:3" ht="13.2">
      <c r="A838" s="4"/>
      <c r="C838" s="5"/>
    </row>
    <row r="839" spans="1:3" ht="13.2">
      <c r="A839" s="4"/>
      <c r="C839" s="5"/>
    </row>
    <row r="840" spans="1:3" ht="13.2">
      <c r="A840" s="4"/>
      <c r="C840" s="5"/>
    </row>
    <row r="841" spans="1:3" ht="13.2">
      <c r="A841" s="4"/>
      <c r="C841" s="5"/>
    </row>
    <row r="842" spans="1:3" ht="13.2">
      <c r="A842" s="4"/>
      <c r="C842" s="5"/>
    </row>
    <row r="843" spans="1:3" ht="13.2">
      <c r="A843" s="4"/>
      <c r="C843" s="5"/>
    </row>
    <row r="844" spans="1:3" ht="13.2">
      <c r="A844" s="4"/>
      <c r="C844" s="5"/>
    </row>
    <row r="845" spans="1:3" ht="13.2">
      <c r="A845" s="4"/>
      <c r="C845" s="5"/>
    </row>
    <row r="846" spans="1:3" ht="13.2">
      <c r="A846" s="4"/>
      <c r="C846" s="5"/>
    </row>
    <row r="847" spans="1:3" ht="13.2">
      <c r="A847" s="4"/>
      <c r="C847" s="5"/>
    </row>
    <row r="848" spans="1:3" ht="13.2">
      <c r="A848" s="4"/>
      <c r="C848" s="5"/>
    </row>
    <row r="849" spans="1:3" ht="13.2">
      <c r="A849" s="4"/>
      <c r="C849" s="5"/>
    </row>
    <row r="850" spans="1:3" ht="13.2">
      <c r="A850" s="4"/>
      <c r="C850" s="5"/>
    </row>
    <row r="851" spans="1:3" ht="13.2">
      <c r="A851" s="4"/>
      <c r="C851" s="5"/>
    </row>
    <row r="852" spans="1:3" ht="13.2">
      <c r="A852" s="4"/>
      <c r="C852" s="5"/>
    </row>
    <row r="853" spans="1:3" ht="13.2">
      <c r="A853" s="4"/>
      <c r="C853" s="5"/>
    </row>
    <row r="854" spans="1:3" ht="13.2">
      <c r="A854" s="4"/>
      <c r="C854" s="5"/>
    </row>
    <row r="855" spans="1:3" ht="13.2">
      <c r="A855" s="4"/>
      <c r="C855" s="5"/>
    </row>
    <row r="856" spans="1:3" ht="13.2">
      <c r="A856" s="4"/>
      <c r="C856" s="5"/>
    </row>
    <row r="857" spans="1:3" ht="13.2">
      <c r="A857" s="4"/>
      <c r="C857" s="5"/>
    </row>
    <row r="858" spans="1:3" ht="13.2">
      <c r="A858" s="4"/>
      <c r="C858" s="5"/>
    </row>
    <row r="859" spans="1:3" ht="13.2">
      <c r="A859" s="4"/>
      <c r="C859" s="5"/>
    </row>
    <row r="860" spans="1:3" ht="13.2">
      <c r="A860" s="4"/>
      <c r="C860" s="5"/>
    </row>
    <row r="861" spans="1:3" ht="13.2">
      <c r="A861" s="4"/>
      <c r="C861" s="5"/>
    </row>
    <row r="862" spans="1:3" ht="13.2">
      <c r="A862" s="4"/>
      <c r="C862" s="5"/>
    </row>
    <row r="863" spans="1:3" ht="13.2">
      <c r="A863" s="4"/>
      <c r="C863" s="5"/>
    </row>
    <row r="864" spans="1:3" ht="13.2">
      <c r="A864" s="4"/>
      <c r="C864" s="5"/>
    </row>
    <row r="865" spans="1:3" ht="13.2">
      <c r="A865" s="4"/>
      <c r="C865" s="5"/>
    </row>
    <row r="866" spans="1:3" ht="13.2">
      <c r="A866" s="4"/>
      <c r="C866" s="5"/>
    </row>
    <row r="867" spans="1:3" ht="13.2">
      <c r="A867" s="4"/>
      <c r="C867" s="5"/>
    </row>
    <row r="868" spans="1:3" ht="13.2">
      <c r="A868" s="4"/>
      <c r="C868" s="5"/>
    </row>
    <row r="869" spans="1:3" ht="13.2">
      <c r="A869" s="4"/>
      <c r="C869" s="5"/>
    </row>
    <row r="870" spans="1:3" ht="13.2">
      <c r="A870" s="4"/>
      <c r="C870" s="5"/>
    </row>
    <row r="871" spans="1:3" ht="13.2">
      <c r="A871" s="4"/>
      <c r="C871" s="5"/>
    </row>
    <row r="872" spans="1:3" ht="13.2">
      <c r="A872" s="4"/>
      <c r="C872" s="5"/>
    </row>
    <row r="873" spans="1:3" ht="13.2">
      <c r="A873" s="4"/>
      <c r="C873" s="5"/>
    </row>
    <row r="874" spans="1:3" ht="13.2">
      <c r="A874" s="4"/>
      <c r="C874" s="5"/>
    </row>
    <row r="875" spans="1:3" ht="13.2">
      <c r="A875" s="4"/>
      <c r="C875" s="5"/>
    </row>
    <row r="876" spans="1:3" ht="13.2">
      <c r="A876" s="4"/>
      <c r="C876" s="5"/>
    </row>
    <row r="877" spans="1:3" ht="13.2">
      <c r="A877" s="4"/>
      <c r="C877" s="5"/>
    </row>
    <row r="878" spans="1:3" ht="13.2">
      <c r="A878" s="4"/>
      <c r="C878" s="5"/>
    </row>
    <row r="879" spans="1:3" ht="13.2">
      <c r="A879" s="4"/>
      <c r="C879" s="5"/>
    </row>
    <row r="880" spans="1:3" ht="13.2">
      <c r="A880" s="4"/>
      <c r="C880" s="5"/>
    </row>
    <row r="881" spans="1:3" ht="13.2">
      <c r="A881" s="4"/>
      <c r="C881" s="5"/>
    </row>
    <row r="882" spans="1:3" ht="13.2">
      <c r="A882" s="4"/>
      <c r="C882" s="5"/>
    </row>
    <row r="883" spans="1:3" ht="13.2">
      <c r="A883" s="4"/>
      <c r="C883" s="5"/>
    </row>
    <row r="884" spans="1:3" ht="13.2">
      <c r="A884" s="4"/>
      <c r="C884" s="5"/>
    </row>
    <row r="885" spans="1:3" ht="13.2">
      <c r="A885" s="4"/>
      <c r="C885" s="5"/>
    </row>
    <row r="886" spans="1:3" ht="13.2">
      <c r="A886" s="4"/>
      <c r="C886" s="5"/>
    </row>
    <row r="887" spans="1:3" ht="13.2">
      <c r="A887" s="4"/>
      <c r="C887" s="5"/>
    </row>
    <row r="888" spans="1:3" ht="13.2">
      <c r="A888" s="4"/>
      <c r="C888" s="5"/>
    </row>
    <row r="889" spans="1:3" ht="13.2">
      <c r="A889" s="4"/>
      <c r="C889" s="5"/>
    </row>
    <row r="890" spans="1:3" ht="13.2">
      <c r="A890" s="4"/>
      <c r="C890" s="5"/>
    </row>
    <row r="891" spans="1:3" ht="13.2">
      <c r="A891" s="4"/>
      <c r="C891" s="5"/>
    </row>
    <row r="892" spans="1:3" ht="13.2">
      <c r="A892" s="4"/>
      <c r="C892" s="5"/>
    </row>
    <row r="893" spans="1:3" ht="13.2">
      <c r="A893" s="4"/>
      <c r="C893" s="5"/>
    </row>
    <row r="894" spans="1:3" ht="13.2">
      <c r="A894" s="4"/>
      <c r="C894" s="5"/>
    </row>
    <row r="895" spans="1:3" ht="13.2">
      <c r="A895" s="4"/>
      <c r="C895" s="5"/>
    </row>
    <row r="896" spans="1:3" ht="13.2">
      <c r="A896" s="4"/>
      <c r="C896" s="5"/>
    </row>
    <row r="897" spans="1:3" ht="13.2">
      <c r="A897" s="4"/>
      <c r="C897" s="5"/>
    </row>
    <row r="898" spans="1:3" ht="13.2">
      <c r="A898" s="4"/>
      <c r="C898" s="5"/>
    </row>
    <row r="899" spans="1:3" ht="13.2">
      <c r="A899" s="4"/>
      <c r="C899" s="5"/>
    </row>
    <row r="900" spans="1:3" ht="13.2">
      <c r="A900" s="4"/>
      <c r="C900" s="5"/>
    </row>
    <row r="901" spans="1:3" ht="13.2">
      <c r="A901" s="4"/>
      <c r="C901" s="5"/>
    </row>
    <row r="902" spans="1:3" ht="13.2">
      <c r="A902" s="4"/>
      <c r="C902" s="5"/>
    </row>
    <row r="903" spans="1:3" ht="13.2">
      <c r="A903" s="4"/>
      <c r="C903" s="5"/>
    </row>
    <row r="904" spans="1:3" ht="13.2">
      <c r="A904" s="4"/>
      <c r="C904" s="5"/>
    </row>
    <row r="905" spans="1:3" ht="13.2">
      <c r="A905" s="4"/>
      <c r="C905" s="5"/>
    </row>
    <row r="906" spans="1:3" ht="13.2">
      <c r="A906" s="4"/>
      <c r="C906" s="5"/>
    </row>
    <row r="907" spans="1:3" ht="13.2">
      <c r="A907" s="4"/>
      <c r="C907" s="5"/>
    </row>
    <row r="908" spans="1:3" ht="13.2">
      <c r="A908" s="4"/>
      <c r="C908" s="5"/>
    </row>
    <row r="909" spans="1:3" ht="13.2">
      <c r="A909" s="4"/>
      <c r="C909" s="5"/>
    </row>
    <row r="910" spans="1:3" ht="13.2">
      <c r="A910" s="4"/>
      <c r="C910" s="5"/>
    </row>
    <row r="911" spans="1:3" ht="13.2">
      <c r="A911" s="4"/>
      <c r="C911" s="5"/>
    </row>
    <row r="912" spans="1:3" ht="13.2">
      <c r="A912" s="4"/>
      <c r="C912" s="5"/>
    </row>
    <row r="913" spans="1:3" ht="13.2">
      <c r="A913" s="4"/>
      <c r="C913" s="5"/>
    </row>
    <row r="914" spans="1:3" ht="13.2">
      <c r="A914" s="4"/>
      <c r="C914" s="5"/>
    </row>
    <row r="915" spans="1:3" ht="13.2">
      <c r="A915" s="4"/>
      <c r="C915" s="5"/>
    </row>
    <row r="916" spans="1:3" ht="13.2">
      <c r="A916" s="4"/>
      <c r="C916" s="5"/>
    </row>
    <row r="917" spans="1:3" ht="13.2">
      <c r="A917" s="4"/>
      <c r="C917" s="5"/>
    </row>
    <row r="918" spans="1:3" ht="13.2">
      <c r="A918" s="4"/>
      <c r="C918" s="5"/>
    </row>
    <row r="919" spans="1:3" ht="13.2">
      <c r="A919" s="4"/>
      <c r="C919" s="5"/>
    </row>
    <row r="920" spans="1:3" ht="13.2">
      <c r="A920" s="4"/>
      <c r="C920" s="5"/>
    </row>
    <row r="921" spans="1:3" ht="13.2">
      <c r="A921" s="4"/>
      <c r="C921" s="5"/>
    </row>
    <row r="922" spans="1:3" ht="13.2">
      <c r="A922" s="4"/>
      <c r="C922" s="5"/>
    </row>
    <row r="923" spans="1:3" ht="13.2">
      <c r="A923" s="4"/>
      <c r="C923" s="5"/>
    </row>
    <row r="924" spans="1:3" ht="13.2">
      <c r="A924" s="4"/>
      <c r="C924" s="5"/>
    </row>
    <row r="925" spans="1:3" ht="13.2">
      <c r="A925" s="4"/>
      <c r="C925" s="5"/>
    </row>
    <row r="926" spans="1:3" ht="13.2">
      <c r="A926" s="4"/>
      <c r="C926" s="5"/>
    </row>
    <row r="927" spans="1:3" ht="13.2">
      <c r="A927" s="4"/>
      <c r="C927" s="5"/>
    </row>
    <row r="928" spans="1:3" ht="13.2">
      <c r="A928" s="4"/>
      <c r="C928" s="5"/>
    </row>
    <row r="929" spans="1:3" ht="13.2">
      <c r="A929" s="4"/>
      <c r="C929" s="5"/>
    </row>
    <row r="930" spans="1:3" ht="13.2">
      <c r="A930" s="4"/>
      <c r="C930" s="5"/>
    </row>
    <row r="931" spans="1:3" ht="13.2">
      <c r="A931" s="4"/>
      <c r="C931" s="5"/>
    </row>
    <row r="932" spans="1:3" ht="13.2">
      <c r="A932" s="4"/>
      <c r="C932" s="5"/>
    </row>
    <row r="933" spans="1:3" ht="13.2">
      <c r="A933" s="4"/>
      <c r="C933" s="5"/>
    </row>
    <row r="934" spans="1:3" ht="13.2">
      <c r="A934" s="4"/>
      <c r="C934" s="5"/>
    </row>
    <row r="935" spans="1:3" ht="13.2">
      <c r="A935" s="4"/>
      <c r="C935" s="5"/>
    </row>
    <row r="936" spans="1:3" ht="13.2">
      <c r="A936" s="4"/>
      <c r="C936" s="5"/>
    </row>
    <row r="937" spans="1:3" ht="13.2">
      <c r="A937" s="4"/>
      <c r="C937" s="5"/>
    </row>
    <row r="938" spans="1:3" ht="13.2">
      <c r="A938" s="4"/>
      <c r="C938" s="5"/>
    </row>
    <row r="939" spans="1:3" ht="13.2">
      <c r="A939" s="4"/>
      <c r="C939" s="5"/>
    </row>
    <row r="940" spans="1:3" ht="13.2">
      <c r="A940" s="4"/>
      <c r="C940" s="5"/>
    </row>
    <row r="941" spans="1:3" ht="13.2">
      <c r="A941" s="4"/>
      <c r="C941" s="5"/>
    </row>
    <row r="942" spans="1:3" ht="13.2">
      <c r="A942" s="4"/>
      <c r="C942" s="5"/>
    </row>
    <row r="943" spans="1:3" ht="13.2">
      <c r="A943" s="4"/>
      <c r="C943" s="5"/>
    </row>
    <row r="944" spans="1:3" ht="13.2">
      <c r="A944" s="4"/>
      <c r="C944" s="5"/>
    </row>
    <row r="945" spans="1:3" ht="13.2">
      <c r="A945" s="4"/>
      <c r="C945" s="5"/>
    </row>
    <row r="946" spans="1:3" ht="13.2">
      <c r="A946" s="4"/>
      <c r="C946" s="5"/>
    </row>
    <row r="947" spans="1:3" ht="13.2">
      <c r="A947" s="4"/>
      <c r="C947" s="5"/>
    </row>
    <row r="948" spans="1:3" ht="13.2">
      <c r="A948" s="4"/>
      <c r="C948" s="5"/>
    </row>
    <row r="949" spans="1:3" ht="13.2">
      <c r="A949" s="4"/>
      <c r="C949" s="5"/>
    </row>
    <row r="950" spans="1:3" ht="13.2">
      <c r="A950" s="4"/>
      <c r="C950" s="5"/>
    </row>
    <row r="951" spans="1:3" ht="13.2">
      <c r="A951" s="4"/>
      <c r="C951" s="5"/>
    </row>
    <row r="952" spans="1:3" ht="13.2">
      <c r="A952" s="4"/>
      <c r="C952" s="5"/>
    </row>
    <row r="953" spans="1:3" ht="13.2">
      <c r="A953" s="4"/>
      <c r="C953" s="5"/>
    </row>
    <row r="954" spans="1:3" ht="13.2">
      <c r="A954" s="4"/>
      <c r="C954" s="5"/>
    </row>
    <row r="955" spans="1:3" ht="13.2">
      <c r="A955" s="4"/>
      <c r="C955" s="5"/>
    </row>
    <row r="956" spans="1:3" ht="13.2">
      <c r="A956" s="4"/>
      <c r="C956" s="5"/>
    </row>
    <row r="957" spans="1:3" ht="13.2">
      <c r="A957" s="4"/>
      <c r="C957" s="5"/>
    </row>
    <row r="958" spans="1:3" ht="13.2">
      <c r="A958" s="4"/>
      <c r="C958" s="5"/>
    </row>
    <row r="959" spans="1:3" ht="13.2">
      <c r="A959" s="4"/>
      <c r="C959" s="5"/>
    </row>
    <row r="960" spans="1:3" ht="13.2">
      <c r="A960" s="4"/>
      <c r="C960" s="5"/>
    </row>
    <row r="961" spans="1:3" ht="13.2">
      <c r="A961" s="4"/>
      <c r="C961" s="5"/>
    </row>
    <row r="962" spans="1:3" ht="13.2">
      <c r="A962" s="4"/>
      <c r="C962" s="5"/>
    </row>
    <row r="963" spans="1:3" ht="13.2">
      <c r="A963" s="4"/>
      <c r="C963" s="5"/>
    </row>
    <row r="964" spans="1:3" ht="13.2">
      <c r="A964" s="4"/>
      <c r="C964" s="5"/>
    </row>
    <row r="965" spans="1:3" ht="13.2">
      <c r="A965" s="4"/>
      <c r="C965" s="5"/>
    </row>
    <row r="966" spans="1:3" ht="13.2">
      <c r="A966" s="4"/>
      <c r="C966" s="5"/>
    </row>
    <row r="967" spans="1:3" ht="13.2">
      <c r="A967" s="4"/>
      <c r="C967" s="5"/>
    </row>
    <row r="968" spans="1:3" ht="13.2">
      <c r="A968" s="4"/>
      <c r="C968" s="5"/>
    </row>
    <row r="969" spans="1:3" ht="13.2">
      <c r="A969" s="4"/>
      <c r="C969" s="5"/>
    </row>
    <row r="970" spans="1:3" ht="13.2">
      <c r="A970" s="4"/>
      <c r="C970" s="5"/>
    </row>
    <row r="971" spans="1:3" ht="13.2">
      <c r="A971" s="4"/>
      <c r="C971" s="5"/>
    </row>
    <row r="972" spans="1:3" ht="13.2">
      <c r="A972" s="4"/>
      <c r="C972" s="5"/>
    </row>
    <row r="973" spans="1:3" ht="13.2">
      <c r="A973" s="4"/>
      <c r="C973" s="5"/>
    </row>
    <row r="974" spans="1:3" ht="13.2">
      <c r="A974" s="4"/>
      <c r="C974" s="5"/>
    </row>
    <row r="975" spans="1:3" ht="13.2">
      <c r="A975" s="4"/>
      <c r="C975" s="5"/>
    </row>
    <row r="976" spans="1:3" ht="13.2">
      <c r="A976" s="4"/>
      <c r="C976" s="5"/>
    </row>
    <row r="977" spans="1:3" ht="13.2">
      <c r="A977" s="4"/>
      <c r="C977" s="5"/>
    </row>
    <row r="978" spans="1:3" ht="13.2">
      <c r="A978" s="4"/>
      <c r="C978" s="5"/>
    </row>
    <row r="979" spans="1:3" ht="13.2">
      <c r="A979" s="4"/>
      <c r="C979" s="5"/>
    </row>
    <row r="980" spans="1:3" ht="13.2">
      <c r="A980" s="4"/>
      <c r="C980" s="5"/>
    </row>
    <row r="981" spans="1:3" ht="13.2">
      <c r="A981" s="4"/>
      <c r="C981" s="5"/>
    </row>
    <row r="982" spans="1:3" ht="13.2">
      <c r="A982" s="4"/>
      <c r="C982" s="5"/>
    </row>
    <row r="983" spans="1:3" ht="13.2">
      <c r="A983" s="4"/>
      <c r="C983" s="5"/>
    </row>
    <row r="984" spans="1:3" ht="13.2">
      <c r="A984" s="4"/>
      <c r="C984" s="5"/>
    </row>
    <row r="985" spans="1:3" ht="13.2">
      <c r="A985" s="4"/>
      <c r="C985" s="5"/>
    </row>
    <row r="986" spans="1:3" ht="13.2">
      <c r="A986" s="4"/>
      <c r="C986" s="5"/>
    </row>
    <row r="987" spans="1:3" ht="13.2">
      <c r="A987" s="4"/>
      <c r="C987" s="5"/>
    </row>
    <row r="988" spans="1:3" ht="13.2">
      <c r="A988" s="4"/>
      <c r="C988" s="5"/>
    </row>
    <row r="989" spans="1:3" ht="13.2">
      <c r="A989" s="4"/>
      <c r="C989" s="5"/>
    </row>
    <row r="990" spans="1:3" ht="13.2">
      <c r="A990" s="4"/>
      <c r="C990" s="5"/>
    </row>
    <row r="991" spans="1:3" ht="13.2">
      <c r="A991" s="4"/>
      <c r="C991" s="5"/>
    </row>
    <row r="992" spans="1:3" ht="13.2">
      <c r="A992" s="4"/>
      <c r="C992" s="5"/>
    </row>
    <row r="993" spans="1:3" ht="13.2">
      <c r="A993" s="4"/>
      <c r="C993" s="5"/>
    </row>
    <row r="994" spans="1:3" ht="13.2">
      <c r="A994" s="4"/>
      <c r="C994" s="5"/>
    </row>
    <row r="995" spans="1:3" ht="13.2">
      <c r="A995" s="4"/>
      <c r="C995" s="5"/>
    </row>
    <row r="996" spans="1:3" ht="13.2">
      <c r="A996" s="4"/>
      <c r="C996" s="5"/>
    </row>
    <row r="997" spans="1:3" ht="13.2">
      <c r="A997" s="4"/>
      <c r="C997" s="5"/>
    </row>
    <row r="998" spans="1:3" ht="13.2">
      <c r="A998" s="4"/>
      <c r="C998" s="5"/>
    </row>
    <row r="999" spans="1:3" ht="13.2">
      <c r="A999" s="4"/>
      <c r="C999" s="5"/>
    </row>
    <row r="1000" spans="1:3" ht="13.2">
      <c r="A1000" s="4"/>
      <c r="C1000" s="5"/>
    </row>
  </sheetData>
  <autoFilter ref="A1:F241" xr:uid="{00000000-0009-0000-0000-000001000000}"/>
  <customSheetViews>
    <customSheetView guid="{699370C3-7B05-45EC-A01E-9EDE34BE234E}" filter="1" showAutoFilter="1">
      <pageMargins left="0.7" right="0.7" top="0.75" bottom="0.75" header="0.3" footer="0.3"/>
      <autoFilter ref="E1:E1000" xr:uid="{BF47F2F8-5D31-4A81-AEF1-F466E111B4CF}"/>
    </customSheetView>
  </customSheetViews>
  <conditionalFormatting sqref="A2:A130">
    <cfRule type="notContainsText" dxfId="10" priority="1" operator="notContains" text="za">
      <formula>ISERROR(SEARCH(("za"),(A2)))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77B68-16FB-4BB6-BFE4-594AC7938D8E}">
  <sheetPr filterMode="1">
    <outlinePr summaryBelow="0" summaryRight="0"/>
  </sheetPr>
  <dimension ref="A1:AC281"/>
  <sheetViews>
    <sheetView topLeftCell="D1" zoomScaleNormal="100" workbookViewId="0">
      <selection activeCell="N1" sqref="N1"/>
    </sheetView>
  </sheetViews>
  <sheetFormatPr defaultColWidth="12.6640625" defaultRowHeight="15.75" customHeight="1"/>
  <cols>
    <col min="3" max="3" width="8.21875" hidden="1" customWidth="1"/>
    <col min="6" max="6" width="22.77734375" customWidth="1"/>
    <col min="7" max="7" width="2.77734375" customWidth="1"/>
    <col min="8" max="8" width="21.109375" customWidth="1"/>
    <col min="9" max="9" width="39.21875" customWidth="1"/>
    <col min="10" max="10" width="8.21875" customWidth="1"/>
    <col min="11" max="11" width="35.77734375" customWidth="1"/>
    <col min="13" max="13" width="0" hidden="1" customWidth="1"/>
    <col min="14" max="14" width="19.33203125" customWidth="1"/>
  </cols>
  <sheetData>
    <row r="1" spans="1:29" ht="15" customHeight="1">
      <c r="A1" s="10" t="s">
        <v>0</v>
      </c>
      <c r="B1" s="10" t="s">
        <v>1</v>
      </c>
      <c r="C1" s="11" t="s">
        <v>2</v>
      </c>
      <c r="D1" s="12" t="s">
        <v>3</v>
      </c>
      <c r="E1" s="12" t="s">
        <v>2133</v>
      </c>
      <c r="F1" s="13" t="s">
        <v>4</v>
      </c>
      <c r="G1" s="14"/>
      <c r="H1" s="15" t="s">
        <v>5</v>
      </c>
      <c r="I1" s="15" t="s">
        <v>6</v>
      </c>
      <c r="J1" s="16" t="s">
        <v>7</v>
      </c>
      <c r="K1" s="13" t="s">
        <v>8</v>
      </c>
      <c r="L1" s="13" t="s">
        <v>9</v>
      </c>
      <c r="M1" s="17" t="s">
        <v>10</v>
      </c>
      <c r="N1" s="13" t="s">
        <v>11</v>
      </c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19"/>
      <c r="AB1" s="19"/>
      <c r="AC1" s="19"/>
    </row>
    <row r="2" spans="1:29" s="52" customFormat="1" ht="13.2" hidden="1">
      <c r="A2" s="49">
        <v>3834</v>
      </c>
      <c r="B2" s="50" t="s">
        <v>12</v>
      </c>
      <c r="C2" s="51"/>
      <c r="D2" s="50">
        <v>44814</v>
      </c>
      <c r="E2" s="50" t="str">
        <f>IF(K2=K$9,F2,H2)</f>
        <v>Albatros D3</v>
      </c>
      <c r="F2" s="50" t="s">
        <v>13</v>
      </c>
      <c r="G2" s="50" t="s">
        <v>14</v>
      </c>
      <c r="H2" s="50" t="s">
        <v>15</v>
      </c>
      <c r="I2" s="50" t="str">
        <f t="shared" ref="I2:I222" si="0">F2&amp;" "&amp;G2&amp;" "&amp;H2</f>
        <v>PKC/Vertom D2 - Albatros D3</v>
      </c>
      <c r="J2" s="51">
        <v>0.375</v>
      </c>
      <c r="K2" s="50" t="s">
        <v>16</v>
      </c>
      <c r="L2" s="50" t="s">
        <v>17</v>
      </c>
      <c r="M2" s="50"/>
      <c r="N2" s="50"/>
      <c r="O2" s="50"/>
    </row>
    <row r="3" spans="1:29" s="52" customFormat="1" ht="13.2" hidden="1">
      <c r="A3" s="49">
        <v>1707</v>
      </c>
      <c r="B3" s="50" t="s">
        <v>18</v>
      </c>
      <c r="C3" s="51"/>
      <c r="D3" s="50">
        <v>44814</v>
      </c>
      <c r="E3" s="50" t="str">
        <f t="shared" ref="E3:E66" si="1">IF(K3=K$9,F3,H3)</f>
        <v>Albatros E2</v>
      </c>
      <c r="F3" s="50" t="s">
        <v>19</v>
      </c>
      <c r="G3" s="50" t="s">
        <v>14</v>
      </c>
      <c r="H3" s="50" t="s">
        <v>20</v>
      </c>
      <c r="I3" s="50" t="str">
        <f t="shared" si="0"/>
        <v>HKC (Ha) E1 - Albatros E2</v>
      </c>
      <c r="J3" s="51">
        <v>0.375</v>
      </c>
      <c r="K3" s="50" t="s">
        <v>21</v>
      </c>
      <c r="L3" s="50" t="s">
        <v>22</v>
      </c>
      <c r="M3" s="50"/>
      <c r="N3" s="50"/>
      <c r="O3" s="50"/>
    </row>
    <row r="4" spans="1:29" s="52" customFormat="1" ht="13.2" hidden="1">
      <c r="A4" s="49">
        <v>527</v>
      </c>
      <c r="B4" s="50" t="s">
        <v>23</v>
      </c>
      <c r="C4" s="51"/>
      <c r="D4" s="50">
        <v>44814</v>
      </c>
      <c r="E4" s="50" t="str">
        <f t="shared" si="1"/>
        <v>Albatros F3</v>
      </c>
      <c r="F4" s="50" t="s">
        <v>24</v>
      </c>
      <c r="G4" s="50" t="s">
        <v>14</v>
      </c>
      <c r="H4" s="50" t="s">
        <v>25</v>
      </c>
      <c r="I4" s="50" t="str">
        <f t="shared" si="0"/>
        <v>KCR F2 - Albatros F3</v>
      </c>
      <c r="J4" s="51">
        <v>0.375</v>
      </c>
      <c r="K4" s="50" t="s">
        <v>26</v>
      </c>
      <c r="L4" s="50" t="s">
        <v>27</v>
      </c>
      <c r="M4" s="50"/>
      <c r="N4" s="50"/>
      <c r="O4" s="50"/>
    </row>
    <row r="5" spans="1:29" s="52" customFormat="1" ht="13.2" hidden="1">
      <c r="A5" s="49">
        <v>4411</v>
      </c>
      <c r="B5" s="50" t="s">
        <v>12</v>
      </c>
      <c r="C5" s="51"/>
      <c r="D5" s="50">
        <v>44814</v>
      </c>
      <c r="E5" s="50" t="str">
        <f t="shared" si="1"/>
        <v>Albatros D2</v>
      </c>
      <c r="F5" s="50" t="s">
        <v>28</v>
      </c>
      <c r="G5" s="50" t="s">
        <v>14</v>
      </c>
      <c r="H5" s="50" t="s">
        <v>29</v>
      </c>
      <c r="I5" s="50" t="str">
        <f t="shared" si="0"/>
        <v>Albatros D2 - DeetosSnel D1</v>
      </c>
      <c r="J5" s="51">
        <v>0.39583333333333331</v>
      </c>
      <c r="K5" s="50" t="s">
        <v>30</v>
      </c>
      <c r="L5" s="50" t="s">
        <v>31</v>
      </c>
      <c r="M5" s="50"/>
      <c r="N5" s="50"/>
      <c r="O5" s="50"/>
    </row>
    <row r="6" spans="1:29" s="52" customFormat="1" ht="13.2" hidden="1">
      <c r="A6" s="49">
        <v>3849</v>
      </c>
      <c r="B6" s="50" t="s">
        <v>12</v>
      </c>
      <c r="C6" s="51"/>
      <c r="D6" s="50">
        <v>44814</v>
      </c>
      <c r="E6" s="50" t="str">
        <f t="shared" si="1"/>
        <v>Albatros D4</v>
      </c>
      <c r="F6" s="50" t="s">
        <v>32</v>
      </c>
      <c r="G6" s="50" t="s">
        <v>14</v>
      </c>
      <c r="H6" s="50" t="s">
        <v>33</v>
      </c>
      <c r="I6" s="50" t="str">
        <f t="shared" si="0"/>
        <v>Albatros D4 - Oranje Wit (D) D3</v>
      </c>
      <c r="J6" s="51">
        <v>0.39583333333333331</v>
      </c>
      <c r="K6" s="50" t="s">
        <v>30</v>
      </c>
      <c r="L6" s="50" t="s">
        <v>34</v>
      </c>
      <c r="M6" s="50"/>
      <c r="N6" s="50"/>
      <c r="O6" s="50"/>
    </row>
    <row r="7" spans="1:29" s="52" customFormat="1" ht="13.2" hidden="1">
      <c r="A7" s="49">
        <v>1625</v>
      </c>
      <c r="B7" s="50" t="s">
        <v>18</v>
      </c>
      <c r="C7" s="51"/>
      <c r="D7" s="50">
        <v>44814</v>
      </c>
      <c r="E7" s="50" t="str">
        <f t="shared" si="1"/>
        <v>Albatros E4</v>
      </c>
      <c r="F7" s="50" t="s">
        <v>35</v>
      </c>
      <c r="G7" s="50" t="s">
        <v>14</v>
      </c>
      <c r="H7" s="50" t="s">
        <v>36</v>
      </c>
      <c r="I7" s="50" t="str">
        <f t="shared" si="0"/>
        <v>ACKC E2 - Albatros E4</v>
      </c>
      <c r="J7" s="51">
        <v>0.39583333333333331</v>
      </c>
      <c r="K7" s="50" t="s">
        <v>37</v>
      </c>
      <c r="L7" s="50" t="s">
        <v>38</v>
      </c>
      <c r="M7" s="50"/>
      <c r="N7" s="50"/>
      <c r="O7" s="50"/>
    </row>
    <row r="8" spans="1:29" s="52" customFormat="1" ht="13.2" hidden="1">
      <c r="A8" s="49">
        <v>2551</v>
      </c>
      <c r="B8" s="50" t="s">
        <v>18</v>
      </c>
      <c r="C8" s="51"/>
      <c r="D8" s="50">
        <v>44814</v>
      </c>
      <c r="E8" s="50" t="str">
        <f t="shared" si="1"/>
        <v>Albatros E3</v>
      </c>
      <c r="F8" s="50" t="s">
        <v>39</v>
      </c>
      <c r="G8" s="50" t="s">
        <v>14</v>
      </c>
      <c r="H8" s="50" t="s">
        <v>40</v>
      </c>
      <c r="I8" s="50" t="str">
        <f t="shared" si="0"/>
        <v>Oranje Wit (D) E2 - Albatros E3</v>
      </c>
      <c r="J8" s="51">
        <v>0.41666666666666669</v>
      </c>
      <c r="K8" s="50" t="s">
        <v>41</v>
      </c>
      <c r="L8" s="50" t="s">
        <v>42</v>
      </c>
      <c r="M8" s="50"/>
      <c r="N8" s="50"/>
      <c r="O8" s="50"/>
    </row>
    <row r="9" spans="1:29" s="52" customFormat="1" ht="13.2" hidden="1">
      <c r="A9" s="49">
        <v>518</v>
      </c>
      <c r="B9" s="50" t="s">
        <v>23</v>
      </c>
      <c r="C9" s="51"/>
      <c r="D9" s="50">
        <v>44814</v>
      </c>
      <c r="E9" s="50" t="str">
        <f t="shared" si="1"/>
        <v>Albatros F2</v>
      </c>
      <c r="F9" s="50" t="s">
        <v>43</v>
      </c>
      <c r="G9" s="50" t="s">
        <v>14</v>
      </c>
      <c r="H9" s="50" t="s">
        <v>44</v>
      </c>
      <c r="I9" s="50" t="str">
        <f t="shared" si="0"/>
        <v>Albatros F2 - Springfield F1</v>
      </c>
      <c r="J9" s="51">
        <v>0.41666666666666669</v>
      </c>
      <c r="K9" s="50" t="s">
        <v>30</v>
      </c>
      <c r="L9" s="50" t="s">
        <v>45</v>
      </c>
      <c r="M9" s="50"/>
      <c r="N9" s="50"/>
      <c r="O9" s="50"/>
    </row>
    <row r="10" spans="1:29" s="52" customFormat="1" ht="13.2" hidden="1">
      <c r="A10" s="49">
        <v>6395</v>
      </c>
      <c r="B10" s="50" t="s">
        <v>46</v>
      </c>
      <c r="C10" s="51"/>
      <c r="D10" s="50">
        <v>44814</v>
      </c>
      <c r="E10" s="50" t="str">
        <f t="shared" si="1"/>
        <v>Albatros B3</v>
      </c>
      <c r="F10" s="50" t="s">
        <v>47</v>
      </c>
      <c r="G10" s="50" t="s">
        <v>14</v>
      </c>
      <c r="H10" s="50" t="s">
        <v>48</v>
      </c>
      <c r="I10" s="50" t="str">
        <f t="shared" si="0"/>
        <v>Albatros B3 - Sporting Delta B3</v>
      </c>
      <c r="J10" s="51">
        <v>0.4375</v>
      </c>
      <c r="K10" s="50" t="s">
        <v>30</v>
      </c>
      <c r="L10" s="50" t="s">
        <v>34</v>
      </c>
      <c r="M10" s="50"/>
      <c r="N10" s="50"/>
      <c r="O10" s="50"/>
    </row>
    <row r="11" spans="1:29" s="52" customFormat="1" ht="13.2" hidden="1">
      <c r="A11" s="49">
        <v>7846</v>
      </c>
      <c r="B11" s="50" t="s">
        <v>49</v>
      </c>
      <c r="C11" s="51"/>
      <c r="D11" s="50">
        <v>44814</v>
      </c>
      <c r="E11" s="50" t="str">
        <f t="shared" si="1"/>
        <v>Albatros C1</v>
      </c>
      <c r="F11" s="50" t="s">
        <v>50</v>
      </c>
      <c r="G11" s="50" t="s">
        <v>14</v>
      </c>
      <c r="H11" s="50" t="s">
        <v>51</v>
      </c>
      <c r="I11" s="50" t="str">
        <f t="shared" si="0"/>
        <v>Albatros C1 - Die Haghe C1</v>
      </c>
      <c r="J11" s="51">
        <v>0.4375</v>
      </c>
      <c r="K11" s="50" t="s">
        <v>30</v>
      </c>
      <c r="L11" s="50" t="s">
        <v>31</v>
      </c>
      <c r="M11" s="50"/>
      <c r="N11" s="50"/>
      <c r="O11" s="50"/>
    </row>
    <row r="12" spans="1:29" s="52" customFormat="1" ht="13.2" hidden="1">
      <c r="A12" s="49">
        <v>541</v>
      </c>
      <c r="B12" s="50" t="s">
        <v>23</v>
      </c>
      <c r="C12" s="51"/>
      <c r="D12" s="50">
        <v>44814</v>
      </c>
      <c r="E12" s="50" t="str">
        <f t="shared" si="1"/>
        <v>Albatros F1</v>
      </c>
      <c r="F12" s="50" t="s">
        <v>52</v>
      </c>
      <c r="G12" s="50" t="s">
        <v>14</v>
      </c>
      <c r="H12" s="50" t="s">
        <v>53</v>
      </c>
      <c r="I12" s="50" t="str">
        <f t="shared" si="0"/>
        <v>GKV/Enomics F1 - Albatros F1</v>
      </c>
      <c r="J12" s="51">
        <v>0.4375</v>
      </c>
      <c r="K12" s="50" t="s">
        <v>54</v>
      </c>
      <c r="L12" s="50" t="s">
        <v>45</v>
      </c>
      <c r="M12" s="50"/>
      <c r="N12" s="50"/>
      <c r="O12" s="50"/>
    </row>
    <row r="13" spans="1:29" s="52" customFormat="1" ht="13.2" hidden="1">
      <c r="A13" s="49">
        <v>8082</v>
      </c>
      <c r="B13" s="50" t="s">
        <v>55</v>
      </c>
      <c r="C13" s="51"/>
      <c r="D13" s="50">
        <v>44814</v>
      </c>
      <c r="E13" s="50" t="str">
        <f t="shared" si="1"/>
        <v>Albatros C2</v>
      </c>
      <c r="F13" s="50" t="s">
        <v>56</v>
      </c>
      <c r="G13" s="50" t="s">
        <v>14</v>
      </c>
      <c r="H13" s="50" t="s">
        <v>57</v>
      </c>
      <c r="I13" s="50" t="str">
        <f t="shared" si="0"/>
        <v>ONDO (M) C1 - Albatros C2</v>
      </c>
      <c r="J13" s="51">
        <v>0.44791666666666669</v>
      </c>
      <c r="K13" s="50" t="s">
        <v>58</v>
      </c>
      <c r="L13" s="50" t="s">
        <v>59</v>
      </c>
      <c r="M13" s="50"/>
      <c r="N13" s="50"/>
      <c r="O13" s="50"/>
    </row>
    <row r="14" spans="1:29" s="52" customFormat="1" ht="13.2" hidden="1">
      <c r="A14" s="49">
        <v>9190</v>
      </c>
      <c r="B14" s="50" t="s">
        <v>60</v>
      </c>
      <c r="C14" s="51"/>
      <c r="D14" s="50">
        <v>44814</v>
      </c>
      <c r="E14" s="50" t="str">
        <f t="shared" si="1"/>
        <v>Albatros B2</v>
      </c>
      <c r="F14" s="50" t="s">
        <v>61</v>
      </c>
      <c r="G14" s="50" t="s">
        <v>14</v>
      </c>
      <c r="H14" s="50" t="s">
        <v>62</v>
      </c>
      <c r="I14" s="50" t="str">
        <f t="shared" si="0"/>
        <v>KOAG B1 - Albatros B2</v>
      </c>
      <c r="J14" s="51">
        <v>0.45833333333333331</v>
      </c>
      <c r="K14" s="50" t="s">
        <v>63</v>
      </c>
      <c r="L14" s="50" t="s">
        <v>31</v>
      </c>
      <c r="M14" s="50"/>
      <c r="N14" s="50"/>
      <c r="O14" s="50"/>
    </row>
    <row r="15" spans="1:29" s="52" customFormat="1" ht="13.2" hidden="1">
      <c r="A15" s="49">
        <v>2564</v>
      </c>
      <c r="B15" s="50" t="s">
        <v>18</v>
      </c>
      <c r="C15" s="51"/>
      <c r="D15" s="50">
        <v>44814</v>
      </c>
      <c r="E15" s="50" t="str">
        <f t="shared" si="1"/>
        <v>Albatros E1</v>
      </c>
      <c r="F15" s="50" t="s">
        <v>64</v>
      </c>
      <c r="G15" s="50" t="s">
        <v>14</v>
      </c>
      <c r="H15" s="50" t="s">
        <v>65</v>
      </c>
      <c r="I15" s="50" t="str">
        <f t="shared" si="0"/>
        <v>Albatros E1 - GKV/Enomics E1</v>
      </c>
      <c r="J15" s="51">
        <v>0.45833333333333331</v>
      </c>
      <c r="K15" s="50" t="s">
        <v>30</v>
      </c>
      <c r="L15" s="50" t="s">
        <v>66</v>
      </c>
      <c r="M15" s="50"/>
      <c r="N15" s="50"/>
      <c r="O15" s="50"/>
    </row>
    <row r="16" spans="1:29" s="52" customFormat="1" ht="13.2" hidden="1">
      <c r="A16" s="49">
        <v>1710</v>
      </c>
      <c r="B16" s="50" t="s">
        <v>18</v>
      </c>
      <c r="C16" s="51"/>
      <c r="D16" s="50">
        <v>44814</v>
      </c>
      <c r="E16" s="50" t="str">
        <f t="shared" si="1"/>
        <v>Albatros E5</v>
      </c>
      <c r="F16" s="50" t="s">
        <v>67</v>
      </c>
      <c r="G16" s="50" t="s">
        <v>14</v>
      </c>
      <c r="H16" s="50" t="s">
        <v>68</v>
      </c>
      <c r="I16" s="50" t="str">
        <f t="shared" si="0"/>
        <v>Albatros E5 - ADO E1</v>
      </c>
      <c r="J16" s="51">
        <v>0.45833333333333331</v>
      </c>
      <c r="K16" s="50" t="s">
        <v>30</v>
      </c>
      <c r="L16" s="50" t="s">
        <v>45</v>
      </c>
      <c r="M16" s="50"/>
      <c r="N16" s="50"/>
      <c r="O16" s="50"/>
    </row>
    <row r="17" spans="1:15" s="52" customFormat="1" ht="13.2" hidden="1">
      <c r="A17" s="49">
        <v>5733</v>
      </c>
      <c r="B17" s="50" t="s">
        <v>69</v>
      </c>
      <c r="C17" s="51"/>
      <c r="D17" s="50">
        <v>44814</v>
      </c>
      <c r="E17" s="50" t="str">
        <f t="shared" si="1"/>
        <v>Albatros C3</v>
      </c>
      <c r="F17" s="50" t="s">
        <v>70</v>
      </c>
      <c r="G17" s="50" t="s">
        <v>14</v>
      </c>
      <c r="H17" s="50" t="s">
        <v>71</v>
      </c>
      <c r="I17" s="50" t="str">
        <f t="shared" si="0"/>
        <v>Movado C1 - Albatros C3</v>
      </c>
      <c r="J17" s="51">
        <v>0.47916666666666669</v>
      </c>
      <c r="K17" s="50" t="s">
        <v>72</v>
      </c>
      <c r="L17" s="50" t="s">
        <v>31</v>
      </c>
      <c r="M17" s="50"/>
      <c r="N17" s="50"/>
      <c r="O17" s="50"/>
    </row>
    <row r="18" spans="1:15" s="52" customFormat="1" ht="13.2" hidden="1">
      <c r="A18" s="49">
        <v>10540</v>
      </c>
      <c r="B18" s="50" t="s">
        <v>69</v>
      </c>
      <c r="C18" s="51"/>
      <c r="D18" s="50">
        <v>44814</v>
      </c>
      <c r="E18" s="50" t="str">
        <f t="shared" si="1"/>
        <v>Albatros C4</v>
      </c>
      <c r="F18" s="50" t="s">
        <v>73</v>
      </c>
      <c r="G18" s="50" t="s">
        <v>14</v>
      </c>
      <c r="H18" s="50" t="s">
        <v>74</v>
      </c>
      <c r="I18" s="50" t="str">
        <f t="shared" si="0"/>
        <v>t Capproen C1 - Albatros C4</v>
      </c>
      <c r="J18" s="51">
        <v>0.47916666666666669</v>
      </c>
      <c r="K18" s="50" t="s">
        <v>75</v>
      </c>
      <c r="L18" s="50" t="s">
        <v>76</v>
      </c>
      <c r="M18" s="50"/>
      <c r="N18" s="50"/>
      <c r="O18" s="50"/>
    </row>
    <row r="19" spans="1:15" s="52" customFormat="1" ht="13.2">
      <c r="A19" s="49">
        <v>4767</v>
      </c>
      <c r="B19" s="50" t="s">
        <v>77</v>
      </c>
      <c r="C19" s="51"/>
      <c r="D19" s="50">
        <v>44814</v>
      </c>
      <c r="E19" s="50" t="str">
        <f t="shared" si="1"/>
        <v>Albatros 5</v>
      </c>
      <c r="F19" s="50" t="s">
        <v>78</v>
      </c>
      <c r="G19" s="50" t="s">
        <v>14</v>
      </c>
      <c r="H19" s="50" t="s">
        <v>79</v>
      </c>
      <c r="I19" s="50" t="str">
        <f t="shared" si="0"/>
        <v>RWA 4 - Albatros 5</v>
      </c>
      <c r="J19" s="51">
        <v>0.48958333333333331</v>
      </c>
      <c r="K19" s="50" t="s">
        <v>80</v>
      </c>
      <c r="L19" s="50" t="s">
        <v>59</v>
      </c>
      <c r="M19" s="50"/>
      <c r="N19" s="50"/>
      <c r="O19" s="50"/>
    </row>
    <row r="20" spans="1:15" s="52" customFormat="1" ht="13.2" hidden="1">
      <c r="A20" s="49">
        <v>6827</v>
      </c>
      <c r="B20" s="50" t="s">
        <v>81</v>
      </c>
      <c r="C20" s="51"/>
      <c r="D20" s="50">
        <v>44814</v>
      </c>
      <c r="E20" s="50" t="str">
        <f t="shared" si="1"/>
        <v>Albatros A2</v>
      </c>
      <c r="F20" s="50" t="s">
        <v>82</v>
      </c>
      <c r="G20" s="50" t="s">
        <v>14</v>
      </c>
      <c r="H20" s="50" t="s">
        <v>83</v>
      </c>
      <c r="I20" s="50" t="str">
        <f t="shared" si="0"/>
        <v>Albatros A2 - TOP (A) A1</v>
      </c>
      <c r="J20" s="51">
        <v>0.48958333333333331</v>
      </c>
      <c r="K20" s="50" t="s">
        <v>30</v>
      </c>
      <c r="L20" s="50" t="s">
        <v>34</v>
      </c>
      <c r="M20" s="50"/>
      <c r="N20" s="50"/>
      <c r="O20" s="50"/>
    </row>
    <row r="21" spans="1:15" s="52" customFormat="1" ht="13.2" hidden="1">
      <c r="A21" s="49">
        <v>7370</v>
      </c>
      <c r="B21" s="50" t="s">
        <v>84</v>
      </c>
      <c r="C21" s="51"/>
      <c r="D21" s="50">
        <v>44814</v>
      </c>
      <c r="E21" s="50" t="str">
        <f t="shared" si="1"/>
        <v>Albatros B1</v>
      </c>
      <c r="F21" s="50" t="s">
        <v>85</v>
      </c>
      <c r="G21" s="50" t="s">
        <v>14</v>
      </c>
      <c r="H21" s="50" t="s">
        <v>86</v>
      </c>
      <c r="I21" s="50" t="str">
        <f t="shared" si="0"/>
        <v>Albatros B1 - Vriendenschaar (H) B1</v>
      </c>
      <c r="J21" s="51">
        <v>0.48958333333333331</v>
      </c>
      <c r="K21" s="50" t="s">
        <v>30</v>
      </c>
      <c r="L21" s="50" t="s">
        <v>31</v>
      </c>
      <c r="M21" s="50"/>
      <c r="N21" s="50"/>
      <c r="O21" s="50"/>
    </row>
    <row r="22" spans="1:15" s="52" customFormat="1" ht="13.2">
      <c r="A22" s="49">
        <v>5197</v>
      </c>
      <c r="B22" s="50" t="s">
        <v>77</v>
      </c>
      <c r="C22" s="51"/>
      <c r="D22" s="50">
        <v>44814</v>
      </c>
      <c r="E22" s="50" t="str">
        <f t="shared" si="1"/>
        <v>Albatros 4</v>
      </c>
      <c r="F22" s="50" t="s">
        <v>87</v>
      </c>
      <c r="G22" s="50" t="s">
        <v>14</v>
      </c>
      <c r="H22" s="50" t="s">
        <v>88</v>
      </c>
      <c r="I22" s="50" t="str">
        <f t="shared" si="0"/>
        <v>Vriendenschaar (H) 3 - Albatros 4</v>
      </c>
      <c r="J22" s="51">
        <v>0.54166666666666663</v>
      </c>
      <c r="K22" s="50" t="s">
        <v>89</v>
      </c>
      <c r="L22" s="50" t="s">
        <v>31</v>
      </c>
      <c r="M22" s="50"/>
      <c r="N22" s="50"/>
      <c r="O22" s="50"/>
    </row>
    <row r="23" spans="1:15" s="52" customFormat="1" ht="13.2" hidden="1">
      <c r="A23" s="49">
        <v>6820</v>
      </c>
      <c r="B23" s="50" t="s">
        <v>90</v>
      </c>
      <c r="C23" s="51"/>
      <c r="D23" s="50">
        <v>44814</v>
      </c>
      <c r="E23" s="50" t="str">
        <f t="shared" si="1"/>
        <v>Albatros A1</v>
      </c>
      <c r="F23" s="50" t="s">
        <v>91</v>
      </c>
      <c r="G23" s="50" t="s">
        <v>14</v>
      </c>
      <c r="H23" s="50" t="s">
        <v>92</v>
      </c>
      <c r="I23" s="50" t="str">
        <f t="shared" si="0"/>
        <v>Albatros A1 - Nieuwerkerk A1</v>
      </c>
      <c r="J23" s="51">
        <v>0.54166666666666663</v>
      </c>
      <c r="K23" s="50" t="s">
        <v>30</v>
      </c>
      <c r="L23" s="50" t="s">
        <v>31</v>
      </c>
      <c r="M23" s="50"/>
      <c r="N23" s="50"/>
      <c r="O23" s="50"/>
    </row>
    <row r="24" spans="1:15" s="52" customFormat="1" ht="13.2" hidden="1">
      <c r="A24" s="49">
        <v>7710</v>
      </c>
      <c r="B24" s="50" t="s">
        <v>93</v>
      </c>
      <c r="C24" s="51"/>
      <c r="D24" s="50">
        <v>44814</v>
      </c>
      <c r="E24" s="50" t="str">
        <f t="shared" si="1"/>
        <v>Albatros A4</v>
      </c>
      <c r="F24" s="50" t="s">
        <v>94</v>
      </c>
      <c r="G24" s="50" t="s">
        <v>14</v>
      </c>
      <c r="H24" s="50" t="s">
        <v>95</v>
      </c>
      <c r="I24" s="50" t="str">
        <f t="shared" si="0"/>
        <v>PKC/Vertom A5 - Albatros A4</v>
      </c>
      <c r="J24" s="51">
        <v>0.54166666666666663</v>
      </c>
      <c r="K24" s="50" t="s">
        <v>16</v>
      </c>
      <c r="L24" s="50" t="s">
        <v>96</v>
      </c>
      <c r="M24" s="50"/>
      <c r="N24" s="50"/>
      <c r="O24" s="50"/>
    </row>
    <row r="25" spans="1:15" s="52" customFormat="1" ht="13.2" hidden="1">
      <c r="A25" s="49">
        <v>8125</v>
      </c>
      <c r="B25" s="50" t="s">
        <v>97</v>
      </c>
      <c r="C25" s="51"/>
      <c r="D25" s="50">
        <v>44814</v>
      </c>
      <c r="E25" s="50" t="str">
        <f t="shared" si="1"/>
        <v>Albatros D1</v>
      </c>
      <c r="F25" s="50" t="s">
        <v>98</v>
      </c>
      <c r="G25" s="50" t="s">
        <v>14</v>
      </c>
      <c r="H25" s="50" t="s">
        <v>99</v>
      </c>
      <c r="I25" s="50" t="str">
        <f t="shared" si="0"/>
        <v>Refleks D1 - Albatros D1</v>
      </c>
      <c r="J25" s="51">
        <v>0.54166666666666663</v>
      </c>
      <c r="K25" s="50" t="s">
        <v>100</v>
      </c>
      <c r="L25" s="50" t="s">
        <v>101</v>
      </c>
      <c r="M25" s="50"/>
      <c r="N25" s="50"/>
      <c r="O25" s="50"/>
    </row>
    <row r="26" spans="1:15" s="52" customFormat="1" ht="13.2" hidden="1">
      <c r="A26" s="49">
        <v>7406</v>
      </c>
      <c r="B26" s="50" t="s">
        <v>93</v>
      </c>
      <c r="C26" s="51"/>
      <c r="D26" s="50">
        <v>44814</v>
      </c>
      <c r="E26" s="50" t="str">
        <f t="shared" si="1"/>
        <v>Albatros A3</v>
      </c>
      <c r="F26" s="50" t="s">
        <v>102</v>
      </c>
      <c r="G26" s="50" t="s">
        <v>14</v>
      </c>
      <c r="H26" s="50" t="s">
        <v>103</v>
      </c>
      <c r="I26" s="50" t="str">
        <f t="shared" si="0"/>
        <v>Albatros A3 - SKV A1</v>
      </c>
      <c r="J26" s="51">
        <v>0.55208333333333337</v>
      </c>
      <c r="K26" s="50" t="s">
        <v>30</v>
      </c>
      <c r="L26" s="50" t="s">
        <v>34</v>
      </c>
      <c r="M26" s="50"/>
      <c r="N26" s="50"/>
      <c r="O26" s="50"/>
    </row>
    <row r="27" spans="1:15" s="52" customFormat="1" ht="13.2">
      <c r="A27" s="49">
        <v>9591</v>
      </c>
      <c r="B27" s="50" t="s">
        <v>104</v>
      </c>
      <c r="C27" s="51"/>
      <c r="D27" s="50">
        <v>44814</v>
      </c>
      <c r="E27" s="50" t="str">
        <f t="shared" si="1"/>
        <v>Albatros 7</v>
      </c>
      <c r="F27" s="50" t="s">
        <v>105</v>
      </c>
      <c r="G27" s="50" t="s">
        <v>14</v>
      </c>
      <c r="H27" s="50" t="s">
        <v>106</v>
      </c>
      <c r="I27" s="50" t="str">
        <f t="shared" si="0"/>
        <v>Albatros 7 - DeetosSnel 6</v>
      </c>
      <c r="J27" s="51">
        <v>0.5625</v>
      </c>
      <c r="K27" s="50" t="s">
        <v>30</v>
      </c>
      <c r="L27" s="50" t="s">
        <v>107</v>
      </c>
      <c r="M27" s="50"/>
      <c r="N27" s="50"/>
      <c r="O27" s="50"/>
    </row>
    <row r="28" spans="1:15" s="52" customFormat="1" ht="13.2">
      <c r="A28" s="49">
        <v>4908</v>
      </c>
      <c r="B28" s="50" t="s">
        <v>108</v>
      </c>
      <c r="C28" s="51"/>
      <c r="D28" s="50">
        <v>44814</v>
      </c>
      <c r="E28" s="50" t="str">
        <f t="shared" si="1"/>
        <v>Albatros 2</v>
      </c>
      <c r="F28" s="50" t="s">
        <v>109</v>
      </c>
      <c r="G28" s="50" t="s">
        <v>14</v>
      </c>
      <c r="H28" s="50" t="s">
        <v>110</v>
      </c>
      <c r="I28" s="50" t="str">
        <f t="shared" si="0"/>
        <v>Albatros 2 - Kinderdijk 2</v>
      </c>
      <c r="J28" s="51">
        <v>0.60416666666666663</v>
      </c>
      <c r="K28" s="50" t="s">
        <v>30</v>
      </c>
      <c r="L28" s="50" t="s">
        <v>31</v>
      </c>
      <c r="M28" s="50"/>
      <c r="N28" s="50"/>
      <c r="O28" s="50"/>
    </row>
    <row r="29" spans="1:15" s="52" customFormat="1" ht="13.2">
      <c r="A29" s="49">
        <v>9577</v>
      </c>
      <c r="B29" s="50" t="s">
        <v>104</v>
      </c>
      <c r="C29" s="51"/>
      <c r="D29" s="50">
        <v>44814</v>
      </c>
      <c r="E29" s="50" t="str">
        <f t="shared" si="1"/>
        <v>Albatros 8</v>
      </c>
      <c r="F29" s="50" t="s">
        <v>111</v>
      </c>
      <c r="G29" s="50" t="s">
        <v>14</v>
      </c>
      <c r="H29" s="50" t="s">
        <v>112</v>
      </c>
      <c r="I29" s="50" t="str">
        <f t="shared" si="0"/>
        <v>Triade 3 - Albatros 8</v>
      </c>
      <c r="J29" s="51">
        <v>0.625</v>
      </c>
      <c r="K29" s="50" t="s">
        <v>113</v>
      </c>
      <c r="L29" s="50" t="s">
        <v>114</v>
      </c>
      <c r="M29" s="50"/>
      <c r="N29" s="50"/>
      <c r="O29" s="50"/>
    </row>
    <row r="30" spans="1:15" s="52" customFormat="1" ht="13.2">
      <c r="A30" s="49">
        <v>9034</v>
      </c>
      <c r="B30" s="50" t="s">
        <v>104</v>
      </c>
      <c r="C30" s="51"/>
      <c r="D30" s="50">
        <v>44814</v>
      </c>
      <c r="E30" s="50" t="str">
        <f t="shared" si="1"/>
        <v>Albatros 6</v>
      </c>
      <c r="F30" s="50" t="s">
        <v>115</v>
      </c>
      <c r="G30" s="50" t="s">
        <v>14</v>
      </c>
      <c r="H30" s="50" t="s">
        <v>116</v>
      </c>
      <c r="I30" s="50" t="str">
        <f t="shared" si="0"/>
        <v>Albatros 6 - PKC/Vertom 7</v>
      </c>
      <c r="J30" s="51">
        <v>0.63541666666666663</v>
      </c>
      <c r="K30" s="50" t="s">
        <v>30</v>
      </c>
      <c r="L30" s="50" t="s">
        <v>107</v>
      </c>
      <c r="M30" s="50"/>
      <c r="N30" s="50"/>
      <c r="O30" s="50"/>
    </row>
    <row r="31" spans="1:15" s="52" customFormat="1" ht="13.2">
      <c r="A31" s="49">
        <v>1651</v>
      </c>
      <c r="B31" s="50" t="s">
        <v>117</v>
      </c>
      <c r="C31" s="51"/>
      <c r="D31" s="50">
        <v>44814</v>
      </c>
      <c r="E31" s="50" t="str">
        <f t="shared" si="1"/>
        <v>Albatros 1</v>
      </c>
      <c r="F31" s="50" t="s">
        <v>118</v>
      </c>
      <c r="G31" s="50" t="s">
        <v>14</v>
      </c>
      <c r="H31" s="50" t="s">
        <v>119</v>
      </c>
      <c r="I31" s="50" t="str">
        <f t="shared" si="0"/>
        <v>Albatros 1 - Kinderdijk 1</v>
      </c>
      <c r="J31" s="51">
        <v>0.66666666666666663</v>
      </c>
      <c r="K31" s="50" t="s">
        <v>30</v>
      </c>
      <c r="L31" s="50" t="s">
        <v>31</v>
      </c>
      <c r="M31" s="50"/>
      <c r="N31" s="50"/>
      <c r="O31" s="50"/>
    </row>
    <row r="32" spans="1:15" s="52" customFormat="1" ht="13.2">
      <c r="A32" s="49">
        <v>9589</v>
      </c>
      <c r="B32" s="50" t="s">
        <v>104</v>
      </c>
      <c r="C32" s="51"/>
      <c r="D32" s="50">
        <v>44814</v>
      </c>
      <c r="E32" s="50" t="str">
        <f t="shared" si="1"/>
        <v>Albatros 9</v>
      </c>
      <c r="F32" s="50" t="s">
        <v>120</v>
      </c>
      <c r="G32" s="50" t="s">
        <v>14</v>
      </c>
      <c r="H32" s="50" t="s">
        <v>121</v>
      </c>
      <c r="I32" s="50" t="str">
        <f t="shared" si="0"/>
        <v>Albatros 9 - Merwede/Multiplaat 6</v>
      </c>
      <c r="J32" s="51">
        <v>0.70833333333333337</v>
      </c>
      <c r="K32" s="50" t="s">
        <v>30</v>
      </c>
      <c r="L32" s="50" t="s">
        <v>107</v>
      </c>
      <c r="M32" s="50"/>
      <c r="N32" s="50"/>
      <c r="O32" s="50"/>
    </row>
    <row r="33" spans="1:15" s="52" customFormat="1" ht="13.2">
      <c r="A33" s="49">
        <v>4424</v>
      </c>
      <c r="B33" s="50" t="s">
        <v>122</v>
      </c>
      <c r="C33" s="51"/>
      <c r="D33" s="50">
        <v>44814</v>
      </c>
      <c r="E33" s="50" t="str">
        <f t="shared" si="1"/>
        <v>Albatros 3</v>
      </c>
      <c r="F33" s="50" t="s">
        <v>123</v>
      </c>
      <c r="G33" s="50" t="s">
        <v>14</v>
      </c>
      <c r="H33" s="50" t="s">
        <v>124</v>
      </c>
      <c r="I33" s="50" t="str">
        <f t="shared" si="0"/>
        <v>Albatros 3 - VEO 4</v>
      </c>
      <c r="J33" s="51">
        <v>0.72916666666666663</v>
      </c>
      <c r="K33" s="50" t="s">
        <v>30</v>
      </c>
      <c r="L33" s="50" t="s">
        <v>31</v>
      </c>
      <c r="M33" s="50"/>
      <c r="N33" s="50"/>
      <c r="O33" s="50"/>
    </row>
    <row r="34" spans="1:15" s="52" customFormat="1" ht="13.2" hidden="1">
      <c r="A34" s="49">
        <v>8366</v>
      </c>
      <c r="B34" s="50" t="s">
        <v>125</v>
      </c>
      <c r="C34" s="51"/>
      <c r="D34" s="50">
        <v>44818</v>
      </c>
      <c r="E34" s="50" t="str">
        <f t="shared" si="1"/>
        <v>Albatros/Conventus MW1</v>
      </c>
      <c r="F34" s="50" t="s">
        <v>126</v>
      </c>
      <c r="G34" s="50" t="s">
        <v>14</v>
      </c>
      <c r="H34" s="50" t="s">
        <v>127</v>
      </c>
      <c r="I34" s="50" t="str">
        <f t="shared" si="0"/>
        <v>HKC (Ha) MW1 - Albatros/Conventus MW1</v>
      </c>
      <c r="J34" s="51">
        <v>0.85416666666666663</v>
      </c>
      <c r="K34" s="50" t="s">
        <v>21</v>
      </c>
      <c r="L34" s="50" t="s">
        <v>31</v>
      </c>
      <c r="M34" s="50"/>
      <c r="N34" s="50"/>
      <c r="O34" s="50"/>
    </row>
    <row r="35" spans="1:15" s="52" customFormat="1" ht="13.2" hidden="1">
      <c r="A35" s="49">
        <v>532</v>
      </c>
      <c r="B35" s="50" t="s">
        <v>23</v>
      </c>
      <c r="C35" s="51"/>
      <c r="D35" s="50">
        <v>44821</v>
      </c>
      <c r="E35" s="50" t="str">
        <f t="shared" si="1"/>
        <v>Albatros F2</v>
      </c>
      <c r="F35" s="50" t="s">
        <v>128</v>
      </c>
      <c r="G35" s="50" t="s">
        <v>14</v>
      </c>
      <c r="H35" s="50" t="s">
        <v>43</v>
      </c>
      <c r="I35" s="50" t="str">
        <f t="shared" si="0"/>
        <v>DeetosSnel F2 - Albatros F2</v>
      </c>
      <c r="J35" s="51">
        <v>0.375</v>
      </c>
      <c r="K35" s="50" t="s">
        <v>129</v>
      </c>
      <c r="L35" s="50" t="s">
        <v>45</v>
      </c>
      <c r="M35" s="50"/>
      <c r="N35" s="50"/>
      <c r="O35" s="50"/>
    </row>
    <row r="36" spans="1:15" s="52" customFormat="1" ht="13.2" hidden="1">
      <c r="A36" s="49">
        <v>9196</v>
      </c>
      <c r="B36" s="50" t="s">
        <v>97</v>
      </c>
      <c r="C36" s="51"/>
      <c r="D36" s="50">
        <v>44821</v>
      </c>
      <c r="E36" s="50" t="str">
        <f t="shared" si="1"/>
        <v>Albatros D1</v>
      </c>
      <c r="F36" s="50" t="s">
        <v>99</v>
      </c>
      <c r="G36" s="50" t="s">
        <v>14</v>
      </c>
      <c r="H36" s="50" t="s">
        <v>130</v>
      </c>
      <c r="I36" s="50" t="str">
        <f t="shared" si="0"/>
        <v>Albatros D1 - Oranje Wit (D) D1</v>
      </c>
      <c r="J36" s="51">
        <v>0.39583333333333331</v>
      </c>
      <c r="K36" s="50" t="s">
        <v>30</v>
      </c>
      <c r="L36" s="50" t="s">
        <v>31</v>
      </c>
      <c r="M36" s="50"/>
      <c r="N36" s="50"/>
      <c r="O36" s="50"/>
    </row>
    <row r="37" spans="1:15" s="52" customFormat="1" ht="13.2" hidden="1">
      <c r="A37" s="49">
        <v>4186</v>
      </c>
      <c r="B37" s="50" t="s">
        <v>12</v>
      </c>
      <c r="C37" s="51"/>
      <c r="D37" s="50">
        <v>44821</v>
      </c>
      <c r="E37" s="50" t="str">
        <f t="shared" si="1"/>
        <v>Albatros D3</v>
      </c>
      <c r="F37" s="50" t="s">
        <v>15</v>
      </c>
      <c r="G37" s="50" t="s">
        <v>14</v>
      </c>
      <c r="H37" s="50" t="s">
        <v>131</v>
      </c>
      <c r="I37" s="50" t="str">
        <f t="shared" si="0"/>
        <v>Albatros D3 - ACKC D1</v>
      </c>
      <c r="J37" s="51">
        <v>0.39583333333333331</v>
      </c>
      <c r="K37" s="50" t="s">
        <v>30</v>
      </c>
      <c r="L37" s="50" t="s">
        <v>107</v>
      </c>
      <c r="M37" s="50"/>
      <c r="N37" s="50"/>
      <c r="O37" s="50"/>
    </row>
    <row r="38" spans="1:15" s="52" customFormat="1" ht="13.2" hidden="1">
      <c r="A38" s="49">
        <v>2220</v>
      </c>
      <c r="B38" s="50" t="s">
        <v>18</v>
      </c>
      <c r="C38" s="51"/>
      <c r="D38" s="50">
        <v>44821</v>
      </c>
      <c r="E38" s="50" t="str">
        <f t="shared" si="1"/>
        <v>Albatros E2</v>
      </c>
      <c r="F38" s="50" t="s">
        <v>20</v>
      </c>
      <c r="G38" s="50" t="s">
        <v>14</v>
      </c>
      <c r="H38" s="50" t="s">
        <v>132</v>
      </c>
      <c r="I38" s="50" t="str">
        <f t="shared" si="0"/>
        <v>Albatros E2 - PKC/Vertom E2</v>
      </c>
      <c r="J38" s="51">
        <v>0.39583333333333331</v>
      </c>
      <c r="K38" s="50" t="s">
        <v>30</v>
      </c>
      <c r="L38" s="50" t="s">
        <v>66</v>
      </c>
      <c r="M38" s="50"/>
      <c r="N38" s="50"/>
      <c r="O38" s="50"/>
    </row>
    <row r="39" spans="1:15" s="52" customFormat="1" ht="13.2" hidden="1">
      <c r="A39" s="49">
        <v>7890</v>
      </c>
      <c r="B39" s="50" t="s">
        <v>49</v>
      </c>
      <c r="C39" s="51"/>
      <c r="D39" s="50">
        <v>44821</v>
      </c>
      <c r="E39" s="50" t="str">
        <f t="shared" si="1"/>
        <v>Albatros C1</v>
      </c>
      <c r="F39" s="50" t="s">
        <v>133</v>
      </c>
      <c r="G39" s="50" t="s">
        <v>14</v>
      </c>
      <c r="H39" s="50" t="s">
        <v>50</v>
      </c>
      <c r="I39" s="50" t="str">
        <f t="shared" si="0"/>
        <v>Nieuwerkerk C1 - Albatros C1</v>
      </c>
      <c r="J39" s="51">
        <v>0.41666666666666669</v>
      </c>
      <c r="K39" s="50" t="s">
        <v>134</v>
      </c>
      <c r="L39" s="50" t="s">
        <v>31</v>
      </c>
      <c r="M39" s="50"/>
      <c r="N39" s="50"/>
      <c r="O39" s="50"/>
    </row>
    <row r="40" spans="1:15" s="52" customFormat="1" ht="13.2" hidden="1">
      <c r="A40" s="49">
        <v>515</v>
      </c>
      <c r="B40" s="50" t="s">
        <v>23</v>
      </c>
      <c r="C40" s="51"/>
      <c r="D40" s="50">
        <v>44821</v>
      </c>
      <c r="E40" s="50" t="str">
        <f t="shared" si="1"/>
        <v>Albatros F1</v>
      </c>
      <c r="F40" s="50" t="s">
        <v>53</v>
      </c>
      <c r="G40" s="50" t="s">
        <v>14</v>
      </c>
      <c r="H40" s="50" t="s">
        <v>135</v>
      </c>
      <c r="I40" s="50" t="str">
        <f t="shared" si="0"/>
        <v>Albatros F1 - Merwede/Multiplaat F1</v>
      </c>
      <c r="J40" s="51">
        <v>0.41666666666666669</v>
      </c>
      <c r="K40" s="50" t="s">
        <v>30</v>
      </c>
      <c r="L40" s="50" t="s">
        <v>45</v>
      </c>
      <c r="M40" s="50"/>
      <c r="N40" s="50"/>
      <c r="O40" s="50"/>
    </row>
    <row r="41" spans="1:15" s="52" customFormat="1" ht="13.2" hidden="1">
      <c r="A41" s="49">
        <v>9183</v>
      </c>
      <c r="B41" s="50" t="s">
        <v>60</v>
      </c>
      <c r="C41" s="51"/>
      <c r="D41" s="50">
        <v>44821</v>
      </c>
      <c r="E41" s="50" t="str">
        <f t="shared" si="1"/>
        <v>Albatros B2</v>
      </c>
      <c r="F41" s="50" t="s">
        <v>62</v>
      </c>
      <c r="G41" s="50" t="s">
        <v>14</v>
      </c>
      <c r="H41" s="50" t="s">
        <v>136</v>
      </c>
      <c r="I41" s="50" t="str">
        <f t="shared" si="0"/>
        <v>Albatros B2 - KCR B2</v>
      </c>
      <c r="J41" s="51">
        <v>0.4375</v>
      </c>
      <c r="K41" s="50" t="s">
        <v>30</v>
      </c>
      <c r="L41" s="50" t="s">
        <v>31</v>
      </c>
      <c r="M41" s="50"/>
      <c r="N41" s="50"/>
      <c r="O41" s="50"/>
    </row>
    <row r="42" spans="1:15" s="52" customFormat="1" ht="13.2" hidden="1">
      <c r="A42" s="49">
        <v>6228</v>
      </c>
      <c r="B42" s="50" t="s">
        <v>46</v>
      </c>
      <c r="C42" s="51"/>
      <c r="D42" s="50">
        <v>44821</v>
      </c>
      <c r="E42" s="50" t="str">
        <f t="shared" si="1"/>
        <v>Albatros B3</v>
      </c>
      <c r="F42" s="50" t="s">
        <v>137</v>
      </c>
      <c r="G42" s="50" t="s">
        <v>14</v>
      </c>
      <c r="H42" s="50" t="s">
        <v>47</v>
      </c>
      <c r="I42" s="50" t="str">
        <f t="shared" si="0"/>
        <v>Oranje Wit (D) B3 - Albatros B3</v>
      </c>
      <c r="J42" s="51">
        <v>0.4375</v>
      </c>
      <c r="K42" s="50" t="s">
        <v>41</v>
      </c>
      <c r="L42" s="50" t="s">
        <v>107</v>
      </c>
      <c r="M42" s="50"/>
      <c r="N42" s="50"/>
      <c r="O42" s="50"/>
    </row>
    <row r="43" spans="1:15" s="52" customFormat="1" ht="13.2" hidden="1">
      <c r="A43" s="49">
        <v>10541</v>
      </c>
      <c r="B43" s="50" t="s">
        <v>69</v>
      </c>
      <c r="C43" s="51"/>
      <c r="D43" s="50">
        <v>44821</v>
      </c>
      <c r="E43" s="50" t="str">
        <f t="shared" si="1"/>
        <v>Albatros C4</v>
      </c>
      <c r="F43" s="50" t="s">
        <v>74</v>
      </c>
      <c r="G43" s="50" t="s">
        <v>14</v>
      </c>
      <c r="H43" s="50" t="s">
        <v>138</v>
      </c>
      <c r="I43" s="50" t="str">
        <f t="shared" si="0"/>
        <v>Albatros C4 - KCC/CK Kozijnen C2</v>
      </c>
      <c r="J43" s="51">
        <v>0.4375</v>
      </c>
      <c r="K43" s="50" t="s">
        <v>30</v>
      </c>
      <c r="L43" s="50" t="s">
        <v>107</v>
      </c>
      <c r="M43" s="50"/>
      <c r="N43" s="50"/>
      <c r="O43" s="50"/>
    </row>
    <row r="44" spans="1:15" s="52" customFormat="1" ht="13.2" hidden="1">
      <c r="A44" s="49">
        <v>1363</v>
      </c>
      <c r="B44" s="50" t="s">
        <v>18</v>
      </c>
      <c r="C44" s="51"/>
      <c r="D44" s="50">
        <v>44821</v>
      </c>
      <c r="E44" s="50" t="str">
        <f t="shared" si="1"/>
        <v>Albatros E3</v>
      </c>
      <c r="F44" s="50" t="s">
        <v>40</v>
      </c>
      <c r="G44" s="50" t="s">
        <v>14</v>
      </c>
      <c r="H44" s="50" t="s">
        <v>139</v>
      </c>
      <c r="I44" s="50" t="str">
        <f t="shared" si="0"/>
        <v>Albatros E3 - DVS '69 E1</v>
      </c>
      <c r="J44" s="51">
        <v>0.4375</v>
      </c>
      <c r="K44" s="50" t="s">
        <v>30</v>
      </c>
      <c r="L44" s="50" t="s">
        <v>66</v>
      </c>
      <c r="M44" s="50"/>
      <c r="N44" s="50"/>
      <c r="O44" s="50"/>
    </row>
    <row r="45" spans="1:15" s="52" customFormat="1" ht="13.2">
      <c r="A45" s="49">
        <v>9376</v>
      </c>
      <c r="B45" s="50" t="s">
        <v>104</v>
      </c>
      <c r="C45" s="51"/>
      <c r="D45" s="50">
        <v>44821</v>
      </c>
      <c r="E45" s="50" t="str">
        <f t="shared" si="1"/>
        <v>Albatros 7</v>
      </c>
      <c r="F45" s="50" t="s">
        <v>140</v>
      </c>
      <c r="G45" s="50" t="s">
        <v>14</v>
      </c>
      <c r="H45" s="50" t="s">
        <v>105</v>
      </c>
      <c r="I45" s="50" t="str">
        <f t="shared" si="0"/>
        <v>Sporting Delta 7 - Albatros 7</v>
      </c>
      <c r="J45" s="51">
        <v>0.44791666666666669</v>
      </c>
      <c r="K45" s="50" t="s">
        <v>141</v>
      </c>
      <c r="L45" s="50" t="s">
        <v>59</v>
      </c>
      <c r="M45" s="50"/>
      <c r="N45" s="50"/>
      <c r="O45" s="50"/>
    </row>
    <row r="46" spans="1:15" s="52" customFormat="1" ht="13.2" hidden="1">
      <c r="A46" s="49">
        <v>7416</v>
      </c>
      <c r="B46" s="50" t="s">
        <v>84</v>
      </c>
      <c r="C46" s="51"/>
      <c r="D46" s="50">
        <v>44821</v>
      </c>
      <c r="E46" s="50" t="str">
        <f t="shared" si="1"/>
        <v>Albatros B1</v>
      </c>
      <c r="F46" s="50" t="s">
        <v>142</v>
      </c>
      <c r="G46" s="50" t="s">
        <v>14</v>
      </c>
      <c r="H46" s="50" t="s">
        <v>85</v>
      </c>
      <c r="I46" s="50" t="str">
        <f t="shared" si="0"/>
        <v>TOP (A) B1 - Albatros B1</v>
      </c>
      <c r="J46" s="51">
        <v>0.45833333333333331</v>
      </c>
      <c r="K46" s="50" t="s">
        <v>143</v>
      </c>
      <c r="L46" s="50" t="s">
        <v>31</v>
      </c>
      <c r="M46" s="50"/>
      <c r="N46" s="50"/>
      <c r="O46" s="50"/>
    </row>
    <row r="47" spans="1:15" s="52" customFormat="1" ht="13.2" hidden="1">
      <c r="A47" s="49">
        <v>3624</v>
      </c>
      <c r="B47" s="50" t="s">
        <v>12</v>
      </c>
      <c r="C47" s="51"/>
      <c r="D47" s="50">
        <v>44821</v>
      </c>
      <c r="E47" s="50" t="str">
        <f t="shared" si="1"/>
        <v>Albatros D4</v>
      </c>
      <c r="F47" s="50" t="s">
        <v>144</v>
      </c>
      <c r="G47" s="50" t="s">
        <v>14</v>
      </c>
      <c r="H47" s="50" t="s">
        <v>32</v>
      </c>
      <c r="I47" s="50" t="str">
        <f t="shared" si="0"/>
        <v>DeetosSnel D2 - Albatros D4</v>
      </c>
      <c r="J47" s="51">
        <v>0.45833333333333331</v>
      </c>
      <c r="K47" s="50" t="s">
        <v>129</v>
      </c>
      <c r="L47" s="50" t="s">
        <v>96</v>
      </c>
      <c r="M47" s="50"/>
      <c r="N47" s="50"/>
      <c r="O47" s="50"/>
    </row>
    <row r="48" spans="1:15" s="52" customFormat="1" ht="13.2" hidden="1">
      <c r="A48" s="49">
        <v>2202</v>
      </c>
      <c r="B48" s="50" t="s">
        <v>18</v>
      </c>
      <c r="C48" s="51"/>
      <c r="D48" s="50">
        <v>44821</v>
      </c>
      <c r="E48" s="50" t="str">
        <f t="shared" si="1"/>
        <v>Albatros E1</v>
      </c>
      <c r="F48" s="50" t="s">
        <v>145</v>
      </c>
      <c r="G48" s="50" t="s">
        <v>14</v>
      </c>
      <c r="H48" s="50" t="s">
        <v>64</v>
      </c>
      <c r="I48" s="50" t="str">
        <f t="shared" si="0"/>
        <v>PKC/Vertom E1 - Albatros E1</v>
      </c>
      <c r="J48" s="51">
        <v>0.45833333333333331</v>
      </c>
      <c r="K48" s="50" t="s">
        <v>16</v>
      </c>
      <c r="L48" s="50" t="s">
        <v>146</v>
      </c>
      <c r="M48" s="50"/>
      <c r="N48" s="50"/>
      <c r="O48" s="50"/>
    </row>
    <row r="49" spans="1:15" s="52" customFormat="1" ht="13.2" hidden="1">
      <c r="A49" s="49">
        <v>11358</v>
      </c>
      <c r="B49" s="50" t="s">
        <v>23</v>
      </c>
      <c r="C49" s="51"/>
      <c r="D49" s="50">
        <v>44821</v>
      </c>
      <c r="E49" s="50" t="str">
        <f t="shared" si="1"/>
        <v>Albatros F3</v>
      </c>
      <c r="F49" s="50" t="s">
        <v>25</v>
      </c>
      <c r="G49" s="50" t="s">
        <v>14</v>
      </c>
      <c r="H49" s="50" t="s">
        <v>147</v>
      </c>
      <c r="I49" s="50" t="str">
        <f t="shared" si="0"/>
        <v>Albatros F3 - GKV/Enomics F2</v>
      </c>
      <c r="J49" s="51">
        <v>0.45833333333333331</v>
      </c>
      <c r="K49" s="50" t="s">
        <v>30</v>
      </c>
      <c r="L49" s="50" t="s">
        <v>45</v>
      </c>
      <c r="M49" s="50"/>
      <c r="N49" s="50"/>
      <c r="O49" s="50"/>
    </row>
    <row r="50" spans="1:15" s="52" customFormat="1" ht="13.2" hidden="1">
      <c r="A50" s="49">
        <v>5054</v>
      </c>
      <c r="B50" s="50" t="s">
        <v>69</v>
      </c>
      <c r="C50" s="51"/>
      <c r="D50" s="50">
        <v>44821</v>
      </c>
      <c r="E50" s="50" t="str">
        <f t="shared" si="1"/>
        <v>Albatros C3</v>
      </c>
      <c r="F50" s="50" t="s">
        <v>71</v>
      </c>
      <c r="G50" s="50" t="s">
        <v>14</v>
      </c>
      <c r="H50" s="50" t="s">
        <v>148</v>
      </c>
      <c r="I50" s="50" t="str">
        <f t="shared" si="0"/>
        <v>Albatros C3 - DeetosSnel C2</v>
      </c>
      <c r="J50" s="51">
        <v>0.47916666666666669</v>
      </c>
      <c r="K50" s="50" t="s">
        <v>30</v>
      </c>
      <c r="L50" s="50" t="s">
        <v>107</v>
      </c>
      <c r="M50" s="50"/>
      <c r="N50" s="50"/>
      <c r="O50" s="50"/>
    </row>
    <row r="51" spans="1:15" s="52" customFormat="1" ht="13.2" hidden="1">
      <c r="A51" s="49">
        <v>2219</v>
      </c>
      <c r="B51" s="50" t="s">
        <v>18</v>
      </c>
      <c r="C51" s="51"/>
      <c r="D51" s="50">
        <v>44821</v>
      </c>
      <c r="E51" s="50" t="str">
        <f t="shared" si="1"/>
        <v>Albatros E4</v>
      </c>
      <c r="F51" s="50" t="s">
        <v>36</v>
      </c>
      <c r="G51" s="50" t="s">
        <v>14</v>
      </c>
      <c r="H51" s="50" t="s">
        <v>149</v>
      </c>
      <c r="I51" s="50" t="str">
        <f t="shared" si="0"/>
        <v>Albatros E4 - Movado E1</v>
      </c>
      <c r="J51" s="51">
        <v>0.47916666666666669</v>
      </c>
      <c r="K51" s="50" t="s">
        <v>30</v>
      </c>
      <c r="L51" s="50" t="s">
        <v>66</v>
      </c>
      <c r="M51" s="50"/>
      <c r="N51" s="50"/>
      <c r="O51" s="50"/>
    </row>
    <row r="52" spans="1:15" s="52" customFormat="1" ht="13.2" hidden="1">
      <c r="A52" s="49">
        <v>10160</v>
      </c>
      <c r="B52" s="50" t="s">
        <v>150</v>
      </c>
      <c r="C52" s="51"/>
      <c r="D52" s="50">
        <v>44821</v>
      </c>
      <c r="E52" s="50" t="str">
        <f t="shared" si="1"/>
        <v>Albatros G1</v>
      </c>
      <c r="F52" s="50" t="s">
        <v>151</v>
      </c>
      <c r="G52" s="50" t="s">
        <v>14</v>
      </c>
      <c r="H52" s="50" t="s">
        <v>152</v>
      </c>
      <c r="I52" s="50" t="str">
        <f t="shared" si="0"/>
        <v>IJsselvogels G1 - Albatros G1</v>
      </c>
      <c r="J52" s="51">
        <v>0.47916666666666669</v>
      </c>
      <c r="K52" s="50" t="s">
        <v>153</v>
      </c>
      <c r="L52" s="50" t="s">
        <v>59</v>
      </c>
      <c r="M52" s="50"/>
      <c r="N52" s="50"/>
      <c r="O52" s="50"/>
    </row>
    <row r="53" spans="1:15" s="52" customFormat="1" ht="13.2" hidden="1">
      <c r="A53" s="49">
        <v>8052</v>
      </c>
      <c r="B53" s="50" t="s">
        <v>55</v>
      </c>
      <c r="C53" s="51"/>
      <c r="D53" s="50">
        <v>44821</v>
      </c>
      <c r="E53" s="50" t="str">
        <f t="shared" si="1"/>
        <v>Albatros C2</v>
      </c>
      <c r="F53" s="50" t="s">
        <v>57</v>
      </c>
      <c r="G53" s="50" t="s">
        <v>14</v>
      </c>
      <c r="H53" s="50" t="s">
        <v>154</v>
      </c>
      <c r="I53" s="50" t="str">
        <f t="shared" si="0"/>
        <v>Albatros C2 - Fortis C1</v>
      </c>
      <c r="J53" s="51">
        <v>0.5</v>
      </c>
      <c r="K53" s="50" t="s">
        <v>30</v>
      </c>
      <c r="L53" s="50" t="s">
        <v>31</v>
      </c>
      <c r="M53" s="50"/>
      <c r="N53" s="50"/>
      <c r="O53" s="50"/>
    </row>
    <row r="54" spans="1:15" s="52" customFormat="1" ht="13.2" hidden="1">
      <c r="A54" s="49">
        <v>6990</v>
      </c>
      <c r="B54" s="50" t="s">
        <v>90</v>
      </c>
      <c r="C54" s="51"/>
      <c r="D54" s="50">
        <v>44821</v>
      </c>
      <c r="E54" s="50" t="str">
        <f t="shared" si="1"/>
        <v>Albatros A1</v>
      </c>
      <c r="F54" s="50" t="s">
        <v>155</v>
      </c>
      <c r="G54" s="50" t="s">
        <v>14</v>
      </c>
      <c r="H54" s="50" t="s">
        <v>91</v>
      </c>
      <c r="I54" s="50" t="str">
        <f t="shared" si="0"/>
        <v>PKC/Vertom A1 - Albatros A1</v>
      </c>
      <c r="J54" s="51">
        <v>0.52083333333333337</v>
      </c>
      <c r="K54" s="50" t="s">
        <v>16</v>
      </c>
      <c r="L54" s="50" t="s">
        <v>31</v>
      </c>
      <c r="M54" s="50"/>
      <c r="N54" s="50"/>
      <c r="O54" s="50"/>
    </row>
    <row r="55" spans="1:15" s="52" customFormat="1" ht="13.2" hidden="1">
      <c r="A55" s="49">
        <v>4244</v>
      </c>
      <c r="B55" s="50" t="s">
        <v>12</v>
      </c>
      <c r="C55" s="51"/>
      <c r="D55" s="50">
        <v>44821</v>
      </c>
      <c r="E55" s="50" t="str">
        <f t="shared" si="1"/>
        <v>Albatros D2</v>
      </c>
      <c r="F55" s="50" t="s">
        <v>156</v>
      </c>
      <c r="G55" s="50" t="s">
        <v>14</v>
      </c>
      <c r="H55" s="50" t="s">
        <v>28</v>
      </c>
      <c r="I55" s="50" t="str">
        <f t="shared" si="0"/>
        <v>OJC '98 D1 - Albatros D2</v>
      </c>
      <c r="J55" s="51">
        <v>0.52777777777777779</v>
      </c>
      <c r="K55" s="50" t="s">
        <v>157</v>
      </c>
      <c r="L55" s="50" t="s">
        <v>59</v>
      </c>
      <c r="M55" s="50"/>
      <c r="N55" s="50"/>
      <c r="O55" s="50"/>
    </row>
    <row r="56" spans="1:15" s="52" customFormat="1" ht="13.2" hidden="1">
      <c r="A56" s="49">
        <v>7286</v>
      </c>
      <c r="B56" s="50" t="s">
        <v>93</v>
      </c>
      <c r="C56" s="51"/>
      <c r="D56" s="50">
        <v>44821</v>
      </c>
      <c r="E56" s="50" t="str">
        <f t="shared" si="1"/>
        <v>Albatros A4</v>
      </c>
      <c r="F56" s="50" t="s">
        <v>95</v>
      </c>
      <c r="G56" s="50" t="s">
        <v>14</v>
      </c>
      <c r="H56" s="50" t="s">
        <v>158</v>
      </c>
      <c r="I56" s="50" t="str">
        <f t="shared" si="0"/>
        <v>Albatros A4 - ACKC A2</v>
      </c>
      <c r="J56" s="51">
        <v>0.53125</v>
      </c>
      <c r="K56" s="50" t="s">
        <v>30</v>
      </c>
      <c r="L56" s="50" t="s">
        <v>107</v>
      </c>
      <c r="M56" s="50"/>
      <c r="N56" s="50"/>
      <c r="O56" s="50"/>
    </row>
    <row r="57" spans="1:15" s="52" customFormat="1" ht="13.2" hidden="1">
      <c r="A57" s="49">
        <v>1313</v>
      </c>
      <c r="B57" s="50" t="s">
        <v>18</v>
      </c>
      <c r="C57" s="51"/>
      <c r="D57" s="50">
        <v>44821</v>
      </c>
      <c r="E57" s="50" t="str">
        <f t="shared" si="1"/>
        <v>Albatros E5</v>
      </c>
      <c r="F57" s="50" t="s">
        <v>159</v>
      </c>
      <c r="G57" s="50" t="s">
        <v>14</v>
      </c>
      <c r="H57" s="50" t="s">
        <v>67</v>
      </c>
      <c r="I57" s="50" t="str">
        <f t="shared" si="0"/>
        <v>Scheldevogels E1 - Albatros E5</v>
      </c>
      <c r="J57" s="51">
        <v>0.53819444444444442</v>
      </c>
      <c r="K57" s="50" t="s">
        <v>160</v>
      </c>
      <c r="L57" s="50" t="s">
        <v>66</v>
      </c>
      <c r="M57" s="50"/>
      <c r="N57" s="50"/>
      <c r="O57" s="50"/>
    </row>
    <row r="58" spans="1:15" s="52" customFormat="1" ht="13.2">
      <c r="A58" s="49">
        <v>3910</v>
      </c>
      <c r="B58" s="50" t="s">
        <v>122</v>
      </c>
      <c r="C58" s="51"/>
      <c r="D58" s="50">
        <v>44821</v>
      </c>
      <c r="E58" s="50" t="str">
        <f t="shared" si="1"/>
        <v>Albatros 3</v>
      </c>
      <c r="F58" s="50" t="s">
        <v>161</v>
      </c>
      <c r="G58" s="50" t="s">
        <v>14</v>
      </c>
      <c r="H58" s="50" t="s">
        <v>123</v>
      </c>
      <c r="I58" s="50" t="str">
        <f t="shared" si="0"/>
        <v>Fortuna/Delta Logistiek 4 - Albatros 3</v>
      </c>
      <c r="J58" s="51">
        <v>0.54166666666666663</v>
      </c>
      <c r="K58" s="50" t="s">
        <v>162</v>
      </c>
      <c r="L58" s="50" t="s">
        <v>31</v>
      </c>
      <c r="M58" s="50"/>
      <c r="N58" s="50"/>
      <c r="O58" s="50"/>
    </row>
    <row r="59" spans="1:15" s="52" customFormat="1" ht="13.2" hidden="1">
      <c r="A59" s="49">
        <v>7035</v>
      </c>
      <c r="B59" s="50" t="s">
        <v>81</v>
      </c>
      <c r="C59" s="51"/>
      <c r="D59" s="50">
        <v>44821</v>
      </c>
      <c r="E59" s="50" t="str">
        <f t="shared" si="1"/>
        <v>Albatros A2</v>
      </c>
      <c r="F59" s="50" t="s">
        <v>163</v>
      </c>
      <c r="G59" s="50" t="s">
        <v>14</v>
      </c>
      <c r="H59" s="50" t="s">
        <v>82</v>
      </c>
      <c r="I59" s="50" t="str">
        <f t="shared" si="0"/>
        <v>Tjoba A1 - Albatros A2</v>
      </c>
      <c r="J59" s="51">
        <v>0.54166666666666663</v>
      </c>
      <c r="K59" s="50" t="s">
        <v>164</v>
      </c>
      <c r="L59" s="50" t="s">
        <v>165</v>
      </c>
      <c r="M59" s="50"/>
      <c r="N59" s="50"/>
      <c r="O59" s="50"/>
    </row>
    <row r="60" spans="1:15" s="52" customFormat="1" ht="13.2" hidden="1">
      <c r="A60" s="49">
        <v>10198</v>
      </c>
      <c r="B60" s="50" t="s">
        <v>150</v>
      </c>
      <c r="C60" s="51"/>
      <c r="D60" s="50">
        <v>44821</v>
      </c>
      <c r="E60" s="50" t="str">
        <f t="shared" si="1"/>
        <v>KCR G1</v>
      </c>
      <c r="F60" s="50" t="s">
        <v>152</v>
      </c>
      <c r="G60" s="50" t="s">
        <v>14</v>
      </c>
      <c r="H60" s="50" t="s">
        <v>166</v>
      </c>
      <c r="I60" s="50" t="str">
        <f t="shared" si="0"/>
        <v>Albatros G1 - KCR G1</v>
      </c>
      <c r="J60" s="51">
        <v>0.54166666666666663</v>
      </c>
      <c r="K60" s="50" t="s">
        <v>153</v>
      </c>
      <c r="L60" s="50" t="s">
        <v>59</v>
      </c>
      <c r="M60" s="50"/>
      <c r="N60" s="50"/>
      <c r="O60" s="50"/>
    </row>
    <row r="61" spans="1:15" s="52" customFormat="1" ht="13.2">
      <c r="A61" s="49">
        <v>8751</v>
      </c>
      <c r="B61" s="50" t="s">
        <v>104</v>
      </c>
      <c r="C61" s="51"/>
      <c r="D61" s="50">
        <v>44821</v>
      </c>
      <c r="E61" s="50" t="str">
        <f t="shared" si="1"/>
        <v>Albatros 8</v>
      </c>
      <c r="F61" s="50" t="s">
        <v>112</v>
      </c>
      <c r="G61" s="50" t="s">
        <v>14</v>
      </c>
      <c r="H61" s="50" t="s">
        <v>167</v>
      </c>
      <c r="I61" s="50" t="str">
        <f t="shared" si="0"/>
        <v>Albatros 8 - PKC/Vertom 8</v>
      </c>
      <c r="J61" s="51">
        <v>0.55208333333333337</v>
      </c>
      <c r="K61" s="50" t="s">
        <v>30</v>
      </c>
      <c r="L61" s="50" t="s">
        <v>31</v>
      </c>
      <c r="M61" s="50"/>
      <c r="N61" s="50"/>
      <c r="O61" s="50"/>
    </row>
    <row r="62" spans="1:15" s="52" customFormat="1" ht="13.2">
      <c r="A62" s="49">
        <v>8793</v>
      </c>
      <c r="B62" s="50" t="s">
        <v>104</v>
      </c>
      <c r="C62" s="51"/>
      <c r="D62" s="50">
        <v>44821</v>
      </c>
      <c r="E62" s="50" t="str">
        <f t="shared" si="1"/>
        <v>Albatros 6</v>
      </c>
      <c r="F62" s="50" t="s">
        <v>168</v>
      </c>
      <c r="G62" s="50" t="s">
        <v>14</v>
      </c>
      <c r="H62" s="50" t="s">
        <v>115</v>
      </c>
      <c r="I62" s="50" t="str">
        <f t="shared" si="0"/>
        <v>GKV/Enomics 4 - Albatros 6</v>
      </c>
      <c r="J62" s="51">
        <v>0.58333333333333337</v>
      </c>
      <c r="K62" s="50" t="s">
        <v>54</v>
      </c>
      <c r="L62" s="50" t="s">
        <v>31</v>
      </c>
      <c r="M62" s="50"/>
      <c r="N62" s="50"/>
      <c r="O62" s="50"/>
    </row>
    <row r="63" spans="1:15" s="52" customFormat="1" ht="13.2">
      <c r="A63" s="49">
        <v>9389</v>
      </c>
      <c r="B63" s="50" t="s">
        <v>104</v>
      </c>
      <c r="C63" s="51"/>
      <c r="D63" s="50">
        <v>44821</v>
      </c>
      <c r="E63" s="50" t="str">
        <f t="shared" si="1"/>
        <v>Albatros 9</v>
      </c>
      <c r="F63" s="50" t="s">
        <v>169</v>
      </c>
      <c r="G63" s="50" t="s">
        <v>14</v>
      </c>
      <c r="H63" s="50" t="s">
        <v>120</v>
      </c>
      <c r="I63" s="50" t="str">
        <f t="shared" si="0"/>
        <v>ADO 5 - Albatros 9</v>
      </c>
      <c r="J63" s="51">
        <v>0.58333333333333337</v>
      </c>
      <c r="K63" s="50" t="s">
        <v>170</v>
      </c>
      <c r="L63" s="50" t="s">
        <v>31</v>
      </c>
      <c r="M63" s="50"/>
      <c r="N63" s="50"/>
      <c r="O63" s="50"/>
    </row>
    <row r="64" spans="1:15" s="52" customFormat="1" ht="13.2" hidden="1">
      <c r="A64" s="49">
        <v>7284</v>
      </c>
      <c r="B64" s="50" t="s">
        <v>93</v>
      </c>
      <c r="C64" s="51"/>
      <c r="D64" s="50">
        <v>44821</v>
      </c>
      <c r="E64" s="50" t="str">
        <f t="shared" si="1"/>
        <v>Albatros A3</v>
      </c>
      <c r="F64" s="50" t="s">
        <v>171</v>
      </c>
      <c r="G64" s="50" t="s">
        <v>14</v>
      </c>
      <c r="H64" s="50" t="s">
        <v>102</v>
      </c>
      <c r="I64" s="50" t="str">
        <f t="shared" si="0"/>
        <v>KOAG A2 - Albatros A3</v>
      </c>
      <c r="J64" s="51">
        <v>0.60416666666666663</v>
      </c>
      <c r="K64" s="50" t="s">
        <v>63</v>
      </c>
      <c r="L64" s="50" t="s">
        <v>59</v>
      </c>
      <c r="M64" s="50"/>
      <c r="N64" s="50"/>
      <c r="O64" s="50"/>
    </row>
    <row r="65" spans="1:15" s="52" customFormat="1" ht="13.2">
      <c r="A65" s="49">
        <v>4438</v>
      </c>
      <c r="B65" s="50" t="s">
        <v>77</v>
      </c>
      <c r="C65" s="51"/>
      <c r="D65" s="50">
        <v>44821</v>
      </c>
      <c r="E65" s="50" t="str">
        <f t="shared" si="1"/>
        <v>Albatros 5</v>
      </c>
      <c r="F65" s="50" t="s">
        <v>79</v>
      </c>
      <c r="G65" s="50" t="s">
        <v>14</v>
      </c>
      <c r="H65" s="50" t="s">
        <v>172</v>
      </c>
      <c r="I65" s="50" t="str">
        <f t="shared" si="0"/>
        <v>Albatros 5 - Vitesse (Ba) 3</v>
      </c>
      <c r="J65" s="51">
        <v>0.61458333333333337</v>
      </c>
      <c r="K65" s="50" t="s">
        <v>30</v>
      </c>
      <c r="L65" s="50" t="s">
        <v>31</v>
      </c>
      <c r="M65" s="50"/>
      <c r="N65" s="50"/>
      <c r="O65" s="50"/>
    </row>
    <row r="66" spans="1:15" s="52" customFormat="1" ht="13.2">
      <c r="A66" s="49">
        <v>5184</v>
      </c>
      <c r="B66" s="50" t="s">
        <v>108</v>
      </c>
      <c r="C66" s="51"/>
      <c r="D66" s="50">
        <v>44821</v>
      </c>
      <c r="E66" s="50" t="str">
        <f t="shared" si="1"/>
        <v>Albatros 2</v>
      </c>
      <c r="F66" s="50" t="s">
        <v>173</v>
      </c>
      <c r="G66" s="50" t="s">
        <v>14</v>
      </c>
      <c r="H66" s="50" t="s">
        <v>109</v>
      </c>
      <c r="I66" s="50" t="str">
        <f t="shared" si="0"/>
        <v>Vitesse (Ba) 2 - Albatros 2</v>
      </c>
      <c r="J66" s="51">
        <v>0.63888888888888884</v>
      </c>
      <c r="K66" s="50" t="s">
        <v>174</v>
      </c>
      <c r="L66" s="50" t="s">
        <v>31</v>
      </c>
      <c r="M66" s="50"/>
      <c r="N66" s="50"/>
      <c r="O66" s="50"/>
    </row>
    <row r="67" spans="1:15" s="52" customFormat="1" ht="13.2">
      <c r="A67" s="49">
        <v>4429</v>
      </c>
      <c r="B67" s="50" t="s">
        <v>77</v>
      </c>
      <c r="C67" s="51"/>
      <c r="D67" s="50">
        <v>44821</v>
      </c>
      <c r="E67" s="50" t="str">
        <f t="shared" ref="E67:E130" si="2">IF(K67=K$9,F67,H67)</f>
        <v>Albatros 4</v>
      </c>
      <c r="F67" s="50" t="s">
        <v>88</v>
      </c>
      <c r="G67" s="50" t="s">
        <v>14</v>
      </c>
      <c r="H67" s="50" t="s">
        <v>175</v>
      </c>
      <c r="I67" s="50" t="str">
        <f t="shared" si="0"/>
        <v>Albatros 4 - Vitesse (Ba) 4</v>
      </c>
      <c r="J67" s="51">
        <v>0.67708333333333337</v>
      </c>
      <c r="K67" s="50" t="s">
        <v>30</v>
      </c>
      <c r="L67" s="50" t="s">
        <v>31</v>
      </c>
      <c r="M67" s="50"/>
      <c r="N67" s="50"/>
      <c r="O67" s="50"/>
    </row>
    <row r="68" spans="1:15" s="52" customFormat="1" ht="13.2">
      <c r="A68" s="49">
        <v>1864</v>
      </c>
      <c r="B68" s="50" t="s">
        <v>117</v>
      </c>
      <c r="C68" s="51"/>
      <c r="D68" s="50">
        <v>44821</v>
      </c>
      <c r="E68" s="50" t="str">
        <f t="shared" si="2"/>
        <v>Albatros 1</v>
      </c>
      <c r="F68" s="50" t="s">
        <v>176</v>
      </c>
      <c r="G68" s="50" t="s">
        <v>14</v>
      </c>
      <c r="H68" s="50" t="s">
        <v>118</v>
      </c>
      <c r="I68" s="50" t="str">
        <f t="shared" si="0"/>
        <v>Vitesse (Ba) 1 - Albatros 1</v>
      </c>
      <c r="J68" s="51">
        <v>0.70138888888888884</v>
      </c>
      <c r="K68" s="50" t="s">
        <v>174</v>
      </c>
      <c r="L68" s="50" t="s">
        <v>31</v>
      </c>
      <c r="M68" s="50"/>
      <c r="N68" s="50"/>
      <c r="O68" s="50"/>
    </row>
    <row r="69" spans="1:15" s="52" customFormat="1" ht="13.2" hidden="1">
      <c r="A69" s="49">
        <v>8387</v>
      </c>
      <c r="B69" s="50" t="s">
        <v>125</v>
      </c>
      <c r="C69" s="51"/>
      <c r="D69" s="50">
        <v>44825</v>
      </c>
      <c r="E69" s="50" t="str">
        <f t="shared" si="2"/>
        <v>Albatros/Conventus MW1</v>
      </c>
      <c r="F69" s="50" t="s">
        <v>127</v>
      </c>
      <c r="G69" s="50" t="s">
        <v>14</v>
      </c>
      <c r="H69" s="50" t="s">
        <v>177</v>
      </c>
      <c r="I69" s="50" t="str">
        <f t="shared" si="0"/>
        <v>Albatros/Conventus MW1 - Vriendenschaar (H) MW3</v>
      </c>
      <c r="J69" s="51">
        <v>0.85416666666666663</v>
      </c>
      <c r="K69" s="50" t="s">
        <v>30</v>
      </c>
      <c r="L69" s="50" t="s">
        <v>31</v>
      </c>
      <c r="M69" s="50"/>
      <c r="N69" s="50"/>
      <c r="O69" s="50"/>
    </row>
    <row r="70" spans="1:15" s="52" customFormat="1" ht="13.2" hidden="1">
      <c r="A70" s="49">
        <v>8189</v>
      </c>
      <c r="B70" s="50" t="s">
        <v>97</v>
      </c>
      <c r="C70" s="51"/>
      <c r="D70" s="50">
        <v>44828</v>
      </c>
      <c r="E70" s="50" t="str">
        <f t="shared" si="2"/>
        <v>Albatros D1</v>
      </c>
      <c r="F70" s="50" t="s">
        <v>178</v>
      </c>
      <c r="G70" s="50" t="s">
        <v>14</v>
      </c>
      <c r="H70" s="50" t="s">
        <v>99</v>
      </c>
      <c r="I70" s="50" t="str">
        <f t="shared" si="0"/>
        <v>Nieuwerkerk D1 - Albatros D1</v>
      </c>
      <c r="J70" s="51">
        <v>0.375</v>
      </c>
      <c r="K70" s="50" t="s">
        <v>134</v>
      </c>
      <c r="L70" s="50" t="s">
        <v>31</v>
      </c>
      <c r="M70" s="50"/>
      <c r="N70" s="50"/>
      <c r="O70" s="50"/>
    </row>
    <row r="71" spans="1:15" s="52" customFormat="1" ht="13.2" hidden="1">
      <c r="A71" s="49">
        <v>4619</v>
      </c>
      <c r="B71" s="50" t="s">
        <v>12</v>
      </c>
      <c r="C71" s="51"/>
      <c r="D71" s="50">
        <v>44828</v>
      </c>
      <c r="E71" s="50" t="str">
        <f t="shared" si="2"/>
        <v>Albatros D2</v>
      </c>
      <c r="F71" s="50" t="s">
        <v>179</v>
      </c>
      <c r="G71" s="50" t="s">
        <v>14</v>
      </c>
      <c r="H71" s="50" t="s">
        <v>28</v>
      </c>
      <c r="I71" s="50" t="str">
        <f t="shared" si="0"/>
        <v>Merwede/Multiplaat D1 - Albatros D2</v>
      </c>
      <c r="J71" s="51">
        <v>0.375</v>
      </c>
      <c r="K71" s="50" t="s">
        <v>180</v>
      </c>
      <c r="L71" s="50" t="s">
        <v>31</v>
      </c>
      <c r="M71" s="50"/>
      <c r="N71" s="50"/>
      <c r="O71" s="50"/>
    </row>
    <row r="72" spans="1:15" s="52" customFormat="1" ht="13.2" hidden="1">
      <c r="A72" s="49">
        <v>551</v>
      </c>
      <c r="B72" s="50" t="s">
        <v>23</v>
      </c>
      <c r="C72" s="51"/>
      <c r="D72" s="50">
        <v>44828</v>
      </c>
      <c r="E72" s="50" t="str">
        <f t="shared" si="2"/>
        <v>Albatros F3</v>
      </c>
      <c r="F72" s="50" t="s">
        <v>181</v>
      </c>
      <c r="G72" s="50" t="s">
        <v>14</v>
      </c>
      <c r="H72" s="50" t="s">
        <v>25</v>
      </c>
      <c r="I72" s="50" t="str">
        <f t="shared" si="0"/>
        <v>HKC (Ha) F2 - Albatros F3</v>
      </c>
      <c r="J72" s="51">
        <v>0.375</v>
      </c>
      <c r="K72" s="50" t="s">
        <v>21</v>
      </c>
      <c r="L72" s="50" t="s">
        <v>22</v>
      </c>
      <c r="M72" s="50"/>
      <c r="N72" s="50"/>
      <c r="O72" s="50"/>
    </row>
    <row r="73" spans="1:15" s="52" customFormat="1" ht="13.2" hidden="1">
      <c r="A73" s="49">
        <v>10542</v>
      </c>
      <c r="B73" s="50" t="s">
        <v>69</v>
      </c>
      <c r="C73" s="51"/>
      <c r="D73" s="50">
        <v>44828</v>
      </c>
      <c r="E73" s="50" t="str">
        <f t="shared" si="2"/>
        <v>Albatros C4</v>
      </c>
      <c r="F73" s="50" t="s">
        <v>74</v>
      </c>
      <c r="G73" s="50" t="s">
        <v>14</v>
      </c>
      <c r="H73" s="50" t="s">
        <v>182</v>
      </c>
      <c r="I73" s="50" t="str">
        <f t="shared" si="0"/>
        <v>Albatros C4 - RWA C3</v>
      </c>
      <c r="J73" s="51">
        <v>0.39583333333333331</v>
      </c>
      <c r="K73" s="50" t="s">
        <v>30</v>
      </c>
      <c r="L73" s="50" t="s">
        <v>107</v>
      </c>
      <c r="M73" s="50"/>
      <c r="N73" s="50"/>
      <c r="O73" s="50"/>
    </row>
    <row r="74" spans="1:15" s="52" customFormat="1" ht="13.2" hidden="1">
      <c r="A74" s="49">
        <v>3962</v>
      </c>
      <c r="B74" s="50" t="s">
        <v>12</v>
      </c>
      <c r="C74" s="51"/>
      <c r="D74" s="50">
        <v>44828</v>
      </c>
      <c r="E74" s="50" t="str">
        <f t="shared" si="2"/>
        <v>Albatros D3</v>
      </c>
      <c r="F74" s="50" t="s">
        <v>15</v>
      </c>
      <c r="G74" s="50" t="s">
        <v>14</v>
      </c>
      <c r="H74" s="50" t="s">
        <v>183</v>
      </c>
      <c r="I74" s="50" t="str">
        <f t="shared" si="0"/>
        <v>Albatros D3 - KCR D2</v>
      </c>
      <c r="J74" s="51">
        <v>0.39583333333333331</v>
      </c>
      <c r="K74" s="50" t="s">
        <v>30</v>
      </c>
      <c r="L74" s="50" t="s">
        <v>34</v>
      </c>
      <c r="M74" s="50"/>
      <c r="N74" s="50"/>
      <c r="O74" s="50"/>
    </row>
    <row r="75" spans="1:15" s="52" customFormat="1" ht="13.2" hidden="1">
      <c r="A75" s="49">
        <v>1876</v>
      </c>
      <c r="B75" s="50" t="s">
        <v>18</v>
      </c>
      <c r="C75" s="51"/>
      <c r="D75" s="50">
        <v>44828</v>
      </c>
      <c r="E75" s="50" t="str">
        <f t="shared" si="2"/>
        <v>Albatros E2</v>
      </c>
      <c r="F75" s="50" t="s">
        <v>20</v>
      </c>
      <c r="G75" s="50" t="s">
        <v>14</v>
      </c>
      <c r="H75" s="50" t="s">
        <v>184</v>
      </c>
      <c r="I75" s="50" t="str">
        <f t="shared" si="0"/>
        <v>Albatros E2 - Kinderdijk E1</v>
      </c>
      <c r="J75" s="51">
        <v>0.39583333333333331</v>
      </c>
      <c r="K75" s="50" t="s">
        <v>30</v>
      </c>
      <c r="L75" s="50" t="s">
        <v>66</v>
      </c>
      <c r="M75" s="50"/>
      <c r="N75" s="50"/>
      <c r="O75" s="50"/>
    </row>
    <row r="76" spans="1:15" s="52" customFormat="1" ht="13.2" hidden="1">
      <c r="A76" s="49">
        <v>7366</v>
      </c>
      <c r="B76" s="50" t="s">
        <v>84</v>
      </c>
      <c r="C76" s="51"/>
      <c r="D76" s="50">
        <v>44828</v>
      </c>
      <c r="E76" s="50" t="str">
        <f t="shared" si="2"/>
        <v>Albatros B1</v>
      </c>
      <c r="F76" s="50" t="s">
        <v>85</v>
      </c>
      <c r="G76" s="50" t="s">
        <v>14</v>
      </c>
      <c r="H76" s="50" t="s">
        <v>185</v>
      </c>
      <c r="I76" s="50" t="str">
        <f t="shared" si="0"/>
        <v>Albatros B1 - DeetosSnel B1</v>
      </c>
      <c r="J76" s="51">
        <v>0.41666666666666669</v>
      </c>
      <c r="K76" s="50" t="s">
        <v>30</v>
      </c>
      <c r="L76" s="50" t="s">
        <v>31</v>
      </c>
      <c r="M76" s="50"/>
      <c r="N76" s="50"/>
      <c r="O76" s="50"/>
    </row>
    <row r="77" spans="1:15" s="52" customFormat="1" ht="13.2" hidden="1">
      <c r="A77" s="49">
        <v>516</v>
      </c>
      <c r="B77" s="50" t="s">
        <v>23</v>
      </c>
      <c r="C77" s="51"/>
      <c r="D77" s="50">
        <v>44828</v>
      </c>
      <c r="E77" s="50" t="str">
        <f t="shared" si="2"/>
        <v>Albatros F1</v>
      </c>
      <c r="F77" s="50" t="s">
        <v>53</v>
      </c>
      <c r="G77" s="50" t="s">
        <v>14</v>
      </c>
      <c r="H77" s="50" t="s">
        <v>186</v>
      </c>
      <c r="I77" s="50" t="str">
        <f t="shared" si="0"/>
        <v>Albatros F1 - PKC/Vertom F1</v>
      </c>
      <c r="J77" s="51">
        <v>0.41666666666666669</v>
      </c>
      <c r="K77" s="50" t="s">
        <v>30</v>
      </c>
      <c r="L77" s="50" t="s">
        <v>45</v>
      </c>
      <c r="M77" s="50"/>
      <c r="N77" s="50"/>
      <c r="O77" s="50"/>
    </row>
    <row r="78" spans="1:15" s="52" customFormat="1" ht="13.2" hidden="1">
      <c r="A78" s="49">
        <v>1090</v>
      </c>
      <c r="B78" s="50" t="s">
        <v>23</v>
      </c>
      <c r="C78" s="51"/>
      <c r="D78" s="50">
        <v>44828</v>
      </c>
      <c r="E78" s="50" t="str">
        <f t="shared" si="2"/>
        <v>Albatros F2</v>
      </c>
      <c r="F78" s="50" t="s">
        <v>187</v>
      </c>
      <c r="G78" s="50" t="s">
        <v>14</v>
      </c>
      <c r="H78" s="50" t="s">
        <v>43</v>
      </c>
      <c r="I78" s="50" t="str">
        <f t="shared" si="0"/>
        <v>DSO (K) F3 - Albatros F2</v>
      </c>
      <c r="J78" s="51">
        <v>0.41666666666666669</v>
      </c>
      <c r="K78" s="50" t="s">
        <v>188</v>
      </c>
      <c r="L78" s="50" t="s">
        <v>189</v>
      </c>
      <c r="M78" s="50"/>
      <c r="N78" s="50"/>
      <c r="O78" s="50"/>
    </row>
    <row r="79" spans="1:15" s="52" customFormat="1" ht="13.2" hidden="1">
      <c r="A79" s="49">
        <v>8054</v>
      </c>
      <c r="B79" s="50" t="s">
        <v>55</v>
      </c>
      <c r="C79" s="51"/>
      <c r="D79" s="50">
        <v>44828</v>
      </c>
      <c r="E79" s="50" t="str">
        <f t="shared" si="2"/>
        <v>Albatros C2</v>
      </c>
      <c r="F79" s="50" t="s">
        <v>57</v>
      </c>
      <c r="G79" s="50" t="s">
        <v>14</v>
      </c>
      <c r="H79" s="50" t="s">
        <v>190</v>
      </c>
      <c r="I79" s="50" t="str">
        <f t="shared" si="0"/>
        <v>Albatros C2 - Swift (M) C1</v>
      </c>
      <c r="J79" s="51">
        <v>0.4375</v>
      </c>
      <c r="K79" s="50" t="s">
        <v>30</v>
      </c>
      <c r="L79" s="50" t="s">
        <v>107</v>
      </c>
      <c r="M79" s="50"/>
      <c r="N79" s="50"/>
      <c r="O79" s="50"/>
    </row>
    <row r="80" spans="1:15" s="52" customFormat="1" ht="13.2" hidden="1">
      <c r="A80" s="49">
        <v>5348</v>
      </c>
      <c r="B80" s="50" t="s">
        <v>69</v>
      </c>
      <c r="C80" s="51"/>
      <c r="D80" s="50">
        <v>44828</v>
      </c>
      <c r="E80" s="50" t="str">
        <f t="shared" si="2"/>
        <v>Albatros C3</v>
      </c>
      <c r="F80" s="50" t="s">
        <v>191</v>
      </c>
      <c r="G80" s="50" t="s">
        <v>14</v>
      </c>
      <c r="H80" s="50" t="s">
        <v>71</v>
      </c>
      <c r="I80" s="50" t="str">
        <f t="shared" si="0"/>
        <v>GKV/Enomics C2 - Albatros C3</v>
      </c>
      <c r="J80" s="51">
        <v>0.4375</v>
      </c>
      <c r="K80" s="50" t="s">
        <v>54</v>
      </c>
      <c r="L80" s="50" t="s">
        <v>31</v>
      </c>
      <c r="M80" s="50"/>
      <c r="N80" s="50"/>
      <c r="O80" s="50"/>
    </row>
    <row r="81" spans="1:15" s="52" customFormat="1" ht="13.2" hidden="1">
      <c r="A81" s="49">
        <v>4633</v>
      </c>
      <c r="B81" s="50" t="s">
        <v>12</v>
      </c>
      <c r="C81" s="51"/>
      <c r="D81" s="50">
        <v>44828</v>
      </c>
      <c r="E81" s="50" t="str">
        <f t="shared" si="2"/>
        <v>Albatros D4</v>
      </c>
      <c r="F81" s="50" t="s">
        <v>32</v>
      </c>
      <c r="G81" s="50" t="s">
        <v>14</v>
      </c>
      <c r="H81" s="50" t="s">
        <v>192</v>
      </c>
      <c r="I81" s="50" t="str">
        <f t="shared" si="0"/>
        <v>Albatros D4 - Korbatjo D1</v>
      </c>
      <c r="J81" s="51">
        <v>0.4375</v>
      </c>
      <c r="K81" s="50" t="s">
        <v>30</v>
      </c>
      <c r="L81" s="50" t="s">
        <v>34</v>
      </c>
      <c r="M81" s="50"/>
      <c r="N81" s="50"/>
      <c r="O81" s="50"/>
    </row>
    <row r="82" spans="1:15" s="52" customFormat="1" ht="13.2" hidden="1">
      <c r="A82" s="49">
        <v>1870</v>
      </c>
      <c r="B82" s="50" t="s">
        <v>18</v>
      </c>
      <c r="C82" s="51"/>
      <c r="D82" s="50">
        <v>44828</v>
      </c>
      <c r="E82" s="50" t="str">
        <f t="shared" si="2"/>
        <v>Albatros E3</v>
      </c>
      <c r="F82" s="50" t="s">
        <v>193</v>
      </c>
      <c r="G82" s="50" t="s">
        <v>14</v>
      </c>
      <c r="H82" s="50" t="s">
        <v>40</v>
      </c>
      <c r="I82" s="50" t="str">
        <f t="shared" si="0"/>
        <v>GKV/Enomics E2 - Albatros E3</v>
      </c>
      <c r="J82" s="51">
        <v>0.4375</v>
      </c>
      <c r="K82" s="50" t="s">
        <v>54</v>
      </c>
      <c r="L82" s="50" t="s">
        <v>45</v>
      </c>
      <c r="M82" s="50"/>
      <c r="N82" s="50"/>
      <c r="O82" s="50"/>
    </row>
    <row r="83" spans="1:15" s="52" customFormat="1" ht="13.2" hidden="1">
      <c r="A83" s="49">
        <v>2914</v>
      </c>
      <c r="B83" s="50" t="s">
        <v>18</v>
      </c>
      <c r="C83" s="51"/>
      <c r="D83" s="50">
        <v>44828</v>
      </c>
      <c r="E83" s="50" t="str">
        <f t="shared" si="2"/>
        <v>Albatros E5</v>
      </c>
      <c r="F83" s="50" t="s">
        <v>67</v>
      </c>
      <c r="G83" s="50" t="s">
        <v>14</v>
      </c>
      <c r="H83" s="50" t="s">
        <v>194</v>
      </c>
      <c r="I83" s="50" t="str">
        <f t="shared" si="0"/>
        <v>Albatros E5 - DSO (K) E3</v>
      </c>
      <c r="J83" s="51">
        <v>0.4375</v>
      </c>
      <c r="K83" s="50" t="s">
        <v>30</v>
      </c>
      <c r="L83" s="50" t="s">
        <v>66</v>
      </c>
      <c r="M83" s="50"/>
      <c r="N83" s="50"/>
      <c r="O83" s="50"/>
    </row>
    <row r="84" spans="1:15" s="52" customFormat="1" ht="13.2" hidden="1">
      <c r="A84" s="49">
        <v>9186</v>
      </c>
      <c r="B84" s="50" t="s">
        <v>60</v>
      </c>
      <c r="C84" s="51"/>
      <c r="D84" s="50">
        <v>44828</v>
      </c>
      <c r="E84" s="50" t="str">
        <f t="shared" si="2"/>
        <v>Albatros B2</v>
      </c>
      <c r="F84" s="50" t="s">
        <v>195</v>
      </c>
      <c r="G84" s="50" t="s">
        <v>14</v>
      </c>
      <c r="H84" s="50" t="s">
        <v>62</v>
      </c>
      <c r="I84" s="50" t="str">
        <f t="shared" si="0"/>
        <v>Nieuwerkerk B2 - Albatros B2</v>
      </c>
      <c r="J84" s="51">
        <v>0.45833333333333331</v>
      </c>
      <c r="K84" s="50" t="s">
        <v>134</v>
      </c>
      <c r="L84" s="50" t="s">
        <v>31</v>
      </c>
      <c r="M84" s="50"/>
      <c r="N84" s="50"/>
      <c r="O84" s="50"/>
    </row>
    <row r="85" spans="1:15" s="52" customFormat="1" ht="13.2" hidden="1">
      <c r="A85" s="49">
        <v>2896</v>
      </c>
      <c r="B85" s="50" t="s">
        <v>18</v>
      </c>
      <c r="C85" s="51"/>
      <c r="D85" s="50">
        <v>44828</v>
      </c>
      <c r="E85" s="50" t="str">
        <f t="shared" si="2"/>
        <v>Albatros E1</v>
      </c>
      <c r="F85" s="50" t="s">
        <v>196</v>
      </c>
      <c r="G85" s="50" t="s">
        <v>14</v>
      </c>
      <c r="H85" s="50" t="s">
        <v>64</v>
      </c>
      <c r="I85" s="50" t="str">
        <f t="shared" si="0"/>
        <v>Vriendenschaar (H) E1 - Albatros E1</v>
      </c>
      <c r="J85" s="51">
        <v>0.45833333333333331</v>
      </c>
      <c r="K85" s="50" t="s">
        <v>89</v>
      </c>
      <c r="L85" s="50" t="s">
        <v>197</v>
      </c>
      <c r="M85" s="50"/>
      <c r="N85" s="50"/>
      <c r="O85" s="50"/>
    </row>
    <row r="86" spans="1:15" s="52" customFormat="1" ht="13.2" hidden="1">
      <c r="A86" s="49">
        <v>1875</v>
      </c>
      <c r="B86" s="50" t="s">
        <v>18</v>
      </c>
      <c r="C86" s="51"/>
      <c r="D86" s="50">
        <v>44828</v>
      </c>
      <c r="E86" s="50" t="str">
        <f t="shared" si="2"/>
        <v>Albatros E4</v>
      </c>
      <c r="F86" s="50" t="s">
        <v>36</v>
      </c>
      <c r="G86" s="50" t="s">
        <v>14</v>
      </c>
      <c r="H86" s="50" t="s">
        <v>198</v>
      </c>
      <c r="I86" s="50" t="str">
        <f t="shared" si="0"/>
        <v>Albatros E4 - HKC (Ha) E5</v>
      </c>
      <c r="J86" s="51">
        <v>0.45833333333333331</v>
      </c>
      <c r="K86" s="50" t="s">
        <v>30</v>
      </c>
      <c r="L86" s="50" t="s">
        <v>45</v>
      </c>
      <c r="M86" s="50"/>
      <c r="N86" s="50"/>
      <c r="O86" s="50"/>
    </row>
    <row r="87" spans="1:15" s="52" customFormat="1" ht="13.2" hidden="1">
      <c r="A87" s="49">
        <v>6821</v>
      </c>
      <c r="B87" s="50" t="s">
        <v>81</v>
      </c>
      <c r="C87" s="51"/>
      <c r="D87" s="50">
        <v>44828</v>
      </c>
      <c r="E87" s="50" t="str">
        <f t="shared" si="2"/>
        <v>Albatros A2</v>
      </c>
      <c r="F87" s="50" t="s">
        <v>82</v>
      </c>
      <c r="G87" s="50" t="s">
        <v>14</v>
      </c>
      <c r="H87" s="50" t="s">
        <v>199</v>
      </c>
      <c r="I87" s="50" t="str">
        <f t="shared" si="0"/>
        <v>Albatros A2 - Fortis A1</v>
      </c>
      <c r="J87" s="51">
        <v>0.46875</v>
      </c>
      <c r="K87" s="50" t="s">
        <v>30</v>
      </c>
      <c r="L87" s="50" t="s">
        <v>31</v>
      </c>
      <c r="M87" s="50"/>
      <c r="N87" s="50"/>
      <c r="O87" s="50"/>
    </row>
    <row r="88" spans="1:15" s="52" customFormat="1" ht="13.2" hidden="1">
      <c r="A88" s="49">
        <v>6962</v>
      </c>
      <c r="B88" s="50" t="s">
        <v>46</v>
      </c>
      <c r="C88" s="51"/>
      <c r="D88" s="50">
        <v>44828</v>
      </c>
      <c r="E88" s="50" t="str">
        <f t="shared" si="2"/>
        <v>Albatros B3</v>
      </c>
      <c r="F88" s="50" t="s">
        <v>47</v>
      </c>
      <c r="G88" s="50" t="s">
        <v>14</v>
      </c>
      <c r="H88" s="50" t="s">
        <v>200</v>
      </c>
      <c r="I88" s="50" t="str">
        <f t="shared" si="0"/>
        <v>Albatros B3 - Merwede/Multiplaat B2</v>
      </c>
      <c r="J88" s="51">
        <v>0.47916666666666669</v>
      </c>
      <c r="K88" s="50" t="s">
        <v>30</v>
      </c>
      <c r="L88" s="50" t="s">
        <v>34</v>
      </c>
      <c r="M88" s="50"/>
      <c r="N88" s="50"/>
      <c r="O88" s="50"/>
    </row>
    <row r="89" spans="1:15" s="52" customFormat="1" ht="13.2" hidden="1">
      <c r="A89" s="49">
        <v>7847</v>
      </c>
      <c r="B89" s="50" t="s">
        <v>49</v>
      </c>
      <c r="C89" s="51"/>
      <c r="D89" s="50">
        <v>44828</v>
      </c>
      <c r="E89" s="50" t="str">
        <f t="shared" si="2"/>
        <v>Albatros C1</v>
      </c>
      <c r="F89" s="50" t="s">
        <v>50</v>
      </c>
      <c r="G89" s="50" t="s">
        <v>14</v>
      </c>
      <c r="H89" s="50" t="s">
        <v>201</v>
      </c>
      <c r="I89" s="50" t="str">
        <f t="shared" si="0"/>
        <v>Albatros C1 - Valto C1</v>
      </c>
      <c r="J89" s="51">
        <v>0.47916666666666669</v>
      </c>
      <c r="K89" s="50" t="s">
        <v>30</v>
      </c>
      <c r="L89" s="50" t="s">
        <v>107</v>
      </c>
      <c r="M89" s="50"/>
      <c r="N89" s="50"/>
      <c r="O89" s="50"/>
    </row>
    <row r="90" spans="1:15" s="52" customFormat="1" ht="13.2">
      <c r="A90" s="49">
        <v>9832</v>
      </c>
      <c r="B90" s="50" t="s">
        <v>104</v>
      </c>
      <c r="C90" s="51"/>
      <c r="D90" s="50">
        <v>44828</v>
      </c>
      <c r="E90" s="50" t="str">
        <f t="shared" si="2"/>
        <v>Albatros 7</v>
      </c>
      <c r="F90" s="50" t="s">
        <v>202</v>
      </c>
      <c r="G90" s="50" t="s">
        <v>14</v>
      </c>
      <c r="H90" s="50" t="s">
        <v>105</v>
      </c>
      <c r="I90" s="50" t="str">
        <f t="shared" si="0"/>
        <v>Trekvogels 2 - Albatros 7</v>
      </c>
      <c r="J90" s="51">
        <v>0.49305555555555558</v>
      </c>
      <c r="K90" s="50" t="s">
        <v>203</v>
      </c>
      <c r="L90" s="50" t="s">
        <v>31</v>
      </c>
      <c r="M90" s="50"/>
      <c r="N90" s="50"/>
      <c r="O90" s="50"/>
    </row>
    <row r="91" spans="1:15" s="52" customFormat="1" ht="13.2">
      <c r="A91" s="49">
        <v>9139</v>
      </c>
      <c r="B91" s="50" t="s">
        <v>104</v>
      </c>
      <c r="C91" s="51"/>
      <c r="D91" s="50">
        <v>44828</v>
      </c>
      <c r="E91" s="50" t="str">
        <f t="shared" si="2"/>
        <v>Albatros 8</v>
      </c>
      <c r="F91" s="50" t="s">
        <v>204</v>
      </c>
      <c r="G91" s="50" t="s">
        <v>14</v>
      </c>
      <c r="H91" s="50" t="s">
        <v>112</v>
      </c>
      <c r="I91" s="50" t="str">
        <f t="shared" si="0"/>
        <v>Korbatjo 3 - Albatros 8</v>
      </c>
      <c r="J91" s="51">
        <v>0.52083333333333337</v>
      </c>
      <c r="K91" s="50" t="s">
        <v>205</v>
      </c>
      <c r="L91" s="50" t="s">
        <v>206</v>
      </c>
      <c r="M91" s="50"/>
      <c r="N91" s="50"/>
      <c r="O91" s="50"/>
    </row>
    <row r="92" spans="1:15" s="52" customFormat="1" ht="13.2" hidden="1">
      <c r="A92" s="49">
        <v>7833</v>
      </c>
      <c r="B92" s="50" t="s">
        <v>93</v>
      </c>
      <c r="C92" s="51"/>
      <c r="D92" s="50">
        <v>44828</v>
      </c>
      <c r="E92" s="50" t="str">
        <f t="shared" si="2"/>
        <v>Albatros A3</v>
      </c>
      <c r="F92" s="50" t="s">
        <v>102</v>
      </c>
      <c r="G92" s="50" t="s">
        <v>14</v>
      </c>
      <c r="H92" s="50" t="s">
        <v>207</v>
      </c>
      <c r="I92" s="50" t="str">
        <f t="shared" si="0"/>
        <v>Albatros A3 - Triade A1</v>
      </c>
      <c r="J92" s="51">
        <v>0.53125</v>
      </c>
      <c r="K92" s="50" t="s">
        <v>30</v>
      </c>
      <c r="L92" s="50" t="s">
        <v>107</v>
      </c>
      <c r="M92" s="50"/>
      <c r="N92" s="50"/>
      <c r="O92" s="50"/>
    </row>
    <row r="93" spans="1:15" s="52" customFormat="1" ht="13.2" hidden="1">
      <c r="A93" s="49">
        <v>6818</v>
      </c>
      <c r="B93" s="50" t="s">
        <v>90</v>
      </c>
      <c r="C93" s="51"/>
      <c r="D93" s="50">
        <v>44828</v>
      </c>
      <c r="E93" s="50" t="str">
        <f t="shared" si="2"/>
        <v>Albatros A1</v>
      </c>
      <c r="F93" s="50" t="s">
        <v>91</v>
      </c>
      <c r="G93" s="50" t="s">
        <v>14</v>
      </c>
      <c r="H93" s="50" t="s">
        <v>208</v>
      </c>
      <c r="I93" s="50" t="str">
        <f t="shared" si="0"/>
        <v>Albatros A1 - KCC/CK Kozijnen A1</v>
      </c>
      <c r="J93" s="51">
        <v>0.54166666666666663</v>
      </c>
      <c r="K93" s="50" t="s">
        <v>30</v>
      </c>
      <c r="L93" s="50" t="s">
        <v>31</v>
      </c>
      <c r="M93" s="50"/>
      <c r="N93" s="50"/>
      <c r="O93" s="50"/>
    </row>
    <row r="94" spans="1:15" s="52" customFormat="1" ht="13.2">
      <c r="A94" s="49">
        <v>9814</v>
      </c>
      <c r="B94" s="50" t="s">
        <v>104</v>
      </c>
      <c r="C94" s="51"/>
      <c r="D94" s="50">
        <v>44828</v>
      </c>
      <c r="E94" s="50" t="str">
        <f t="shared" si="2"/>
        <v>Albatros 9</v>
      </c>
      <c r="F94" s="50" t="s">
        <v>209</v>
      </c>
      <c r="G94" s="50" t="s">
        <v>14</v>
      </c>
      <c r="H94" s="50" t="s">
        <v>120</v>
      </c>
      <c r="I94" s="50" t="str">
        <f t="shared" si="0"/>
        <v>DeetosSnel 10 - Albatros 9</v>
      </c>
      <c r="J94" s="51">
        <v>0.59375</v>
      </c>
      <c r="K94" s="50" t="s">
        <v>129</v>
      </c>
      <c r="L94" s="50" t="s">
        <v>96</v>
      </c>
      <c r="M94" s="50"/>
      <c r="N94" s="50"/>
      <c r="O94" s="50"/>
    </row>
    <row r="95" spans="1:15" s="52" customFormat="1" ht="13.2">
      <c r="A95" s="49">
        <v>4907</v>
      </c>
      <c r="B95" s="50" t="s">
        <v>108</v>
      </c>
      <c r="C95" s="51"/>
      <c r="D95" s="50">
        <v>44828</v>
      </c>
      <c r="E95" s="50" t="str">
        <f t="shared" si="2"/>
        <v>Albatros 2</v>
      </c>
      <c r="F95" s="50" t="s">
        <v>109</v>
      </c>
      <c r="G95" s="50" t="s">
        <v>14</v>
      </c>
      <c r="H95" s="50" t="s">
        <v>210</v>
      </c>
      <c r="I95" s="50" t="str">
        <f t="shared" si="0"/>
        <v>Albatros 2 - KCR 3</v>
      </c>
      <c r="J95" s="51">
        <v>0.60416666666666663</v>
      </c>
      <c r="K95" s="50" t="s">
        <v>30</v>
      </c>
      <c r="L95" s="50" t="s">
        <v>31</v>
      </c>
      <c r="M95" s="50"/>
      <c r="N95" s="50"/>
      <c r="O95" s="50"/>
    </row>
    <row r="96" spans="1:15" s="52" customFormat="1" ht="13.2">
      <c r="A96" s="49">
        <v>4838</v>
      </c>
      <c r="B96" s="50" t="s">
        <v>77</v>
      </c>
      <c r="C96" s="51"/>
      <c r="D96" s="50">
        <v>44828</v>
      </c>
      <c r="E96" s="50" t="str">
        <f t="shared" si="2"/>
        <v>Albatros 4</v>
      </c>
      <c r="F96" s="50" t="s">
        <v>211</v>
      </c>
      <c r="G96" s="50" t="s">
        <v>14</v>
      </c>
      <c r="H96" s="50" t="s">
        <v>88</v>
      </c>
      <c r="I96" s="50" t="str">
        <f t="shared" si="0"/>
        <v>Oranje Wit (D) 5 - Albatros 4</v>
      </c>
      <c r="J96" s="51">
        <v>0.60416666666666663</v>
      </c>
      <c r="K96" s="50" t="s">
        <v>41</v>
      </c>
      <c r="L96" s="50" t="s">
        <v>165</v>
      </c>
      <c r="M96" s="50"/>
      <c r="N96" s="50"/>
      <c r="O96" s="50"/>
    </row>
    <row r="97" spans="1:15" s="52" customFormat="1" ht="13.2">
      <c r="A97" s="49">
        <v>4585</v>
      </c>
      <c r="B97" s="50" t="s">
        <v>77</v>
      </c>
      <c r="C97" s="51"/>
      <c r="D97" s="50">
        <v>44828</v>
      </c>
      <c r="E97" s="50" t="str">
        <f t="shared" si="2"/>
        <v>Albatros 5</v>
      </c>
      <c r="F97" s="50" t="s">
        <v>212</v>
      </c>
      <c r="G97" s="50" t="s">
        <v>14</v>
      </c>
      <c r="H97" s="50" t="s">
        <v>79</v>
      </c>
      <c r="I97" s="50" t="str">
        <f t="shared" si="0"/>
        <v>KCC/CK Kozijnen 6 - Albatros 5</v>
      </c>
      <c r="J97" s="51">
        <v>0.60416666666666663</v>
      </c>
      <c r="K97" s="50" t="s">
        <v>213</v>
      </c>
      <c r="L97" s="50" t="s">
        <v>31</v>
      </c>
      <c r="M97" s="50"/>
      <c r="N97" s="50"/>
      <c r="O97" s="50"/>
    </row>
    <row r="98" spans="1:15" s="52" customFormat="1" ht="13.2">
      <c r="A98" s="49">
        <v>9860</v>
      </c>
      <c r="B98" s="50" t="s">
        <v>104</v>
      </c>
      <c r="C98" s="51"/>
      <c r="D98" s="50">
        <v>44828</v>
      </c>
      <c r="E98" s="50" t="str">
        <f t="shared" si="2"/>
        <v>Albatros 6</v>
      </c>
      <c r="F98" s="50" t="s">
        <v>115</v>
      </c>
      <c r="G98" s="50" t="s">
        <v>14</v>
      </c>
      <c r="H98" s="50" t="s">
        <v>214</v>
      </c>
      <c r="I98" s="50" t="str">
        <f t="shared" si="0"/>
        <v>Albatros 6 - Merwede/Multiplaat 5</v>
      </c>
      <c r="J98" s="51">
        <v>0.60416666666666663</v>
      </c>
      <c r="K98" s="50" t="s">
        <v>30</v>
      </c>
      <c r="L98" s="50" t="s">
        <v>107</v>
      </c>
      <c r="M98" s="50"/>
      <c r="N98" s="50"/>
      <c r="O98" s="50"/>
    </row>
    <row r="99" spans="1:15" s="52" customFormat="1" ht="13.2" hidden="1">
      <c r="A99" s="49">
        <v>7465</v>
      </c>
      <c r="B99" s="50" t="s">
        <v>93</v>
      </c>
      <c r="C99" s="51"/>
      <c r="D99" s="50">
        <v>44828</v>
      </c>
      <c r="E99" s="50" t="str">
        <f t="shared" si="2"/>
        <v>Albatros A4</v>
      </c>
      <c r="F99" s="50" t="s">
        <v>215</v>
      </c>
      <c r="G99" s="50" t="s">
        <v>14</v>
      </c>
      <c r="H99" s="50" t="s">
        <v>95</v>
      </c>
      <c r="I99" s="50" t="str">
        <f t="shared" si="0"/>
        <v>Oranje Wit (D) A3 - Albatros A4</v>
      </c>
      <c r="J99" s="51">
        <v>0.625</v>
      </c>
      <c r="K99" s="50" t="s">
        <v>41</v>
      </c>
      <c r="L99" s="50" t="s">
        <v>107</v>
      </c>
      <c r="M99" s="50"/>
      <c r="N99" s="50"/>
      <c r="O99" s="50"/>
    </row>
    <row r="100" spans="1:15" s="52" customFormat="1" ht="13.2">
      <c r="A100" s="49">
        <v>1649</v>
      </c>
      <c r="B100" s="50" t="s">
        <v>117</v>
      </c>
      <c r="C100" s="51"/>
      <c r="D100" s="50">
        <v>44828</v>
      </c>
      <c r="E100" s="50" t="str">
        <f t="shared" si="2"/>
        <v>Albatros 1</v>
      </c>
      <c r="F100" s="50" t="s">
        <v>118</v>
      </c>
      <c r="G100" s="50" t="s">
        <v>14</v>
      </c>
      <c r="H100" s="50" t="s">
        <v>216</v>
      </c>
      <c r="I100" s="50" t="str">
        <f t="shared" si="0"/>
        <v>Albatros 1 - Tilburg 1</v>
      </c>
      <c r="J100" s="51">
        <v>0.66666666666666663</v>
      </c>
      <c r="K100" s="50" t="s">
        <v>30</v>
      </c>
      <c r="L100" s="50" t="s">
        <v>31</v>
      </c>
      <c r="M100" s="50"/>
      <c r="N100" s="50"/>
      <c r="O100" s="50"/>
    </row>
    <row r="101" spans="1:15" s="52" customFormat="1" ht="13.2">
      <c r="A101" s="49">
        <v>4425</v>
      </c>
      <c r="B101" s="50" t="s">
        <v>122</v>
      </c>
      <c r="C101" s="51"/>
      <c r="D101" s="50">
        <v>44828</v>
      </c>
      <c r="E101" s="50" t="str">
        <f t="shared" si="2"/>
        <v>Albatros 3</v>
      </c>
      <c r="F101" s="50" t="s">
        <v>123</v>
      </c>
      <c r="G101" s="50" t="s">
        <v>14</v>
      </c>
      <c r="H101" s="50" t="s">
        <v>217</v>
      </c>
      <c r="I101" s="50" t="str">
        <f t="shared" si="0"/>
        <v>Albatros 3 - KCR 5</v>
      </c>
      <c r="J101" s="51">
        <v>0.72916666666666663</v>
      </c>
      <c r="K101" s="50" t="s">
        <v>30</v>
      </c>
      <c r="L101" s="50" t="s">
        <v>31</v>
      </c>
      <c r="M101" s="50"/>
      <c r="N101" s="50"/>
      <c r="O101" s="50"/>
    </row>
    <row r="102" spans="1:15" s="52" customFormat="1" ht="13.2" hidden="1">
      <c r="A102" s="49">
        <v>9273</v>
      </c>
      <c r="B102" s="50" t="s">
        <v>218</v>
      </c>
      <c r="C102" s="51"/>
      <c r="D102" s="50">
        <v>44831</v>
      </c>
      <c r="E102" s="50" t="str">
        <f t="shared" si="2"/>
        <v>Albatros B1</v>
      </c>
      <c r="F102" s="50" t="s">
        <v>85</v>
      </c>
      <c r="G102" s="50" t="s">
        <v>14</v>
      </c>
      <c r="H102" s="50" t="s">
        <v>219</v>
      </c>
      <c r="I102" s="50" t="str">
        <f t="shared" si="0"/>
        <v>Albatros B1 - Vitesse (Ba) B1</v>
      </c>
      <c r="J102" s="51">
        <v>0.8125</v>
      </c>
      <c r="K102" s="50" t="s">
        <v>30</v>
      </c>
      <c r="L102" s="50" t="s">
        <v>107</v>
      </c>
      <c r="M102" s="50"/>
      <c r="N102" s="50"/>
      <c r="O102" s="50"/>
    </row>
    <row r="103" spans="1:15" s="52" customFormat="1" ht="13.2" hidden="1">
      <c r="A103" s="49">
        <v>9265</v>
      </c>
      <c r="B103" s="50" t="s">
        <v>220</v>
      </c>
      <c r="C103" s="51"/>
      <c r="D103" s="50">
        <v>44832</v>
      </c>
      <c r="E103" s="50" t="str">
        <f t="shared" si="2"/>
        <v>Albatros A1</v>
      </c>
      <c r="F103" s="50" t="s">
        <v>208</v>
      </c>
      <c r="G103" s="50" t="s">
        <v>14</v>
      </c>
      <c r="H103" s="50" t="s">
        <v>91</v>
      </c>
      <c r="I103" s="50" t="str">
        <f t="shared" si="0"/>
        <v>KCC/CK Kozijnen A1 - Albatros A1</v>
      </c>
      <c r="J103" s="51">
        <v>0.83333333333333337</v>
      </c>
      <c r="K103" s="50" t="s">
        <v>213</v>
      </c>
      <c r="L103" s="50" t="s">
        <v>31</v>
      </c>
      <c r="M103" s="50"/>
      <c r="N103" s="50"/>
      <c r="O103" s="50"/>
    </row>
    <row r="104" spans="1:15" s="52" customFormat="1" ht="13.2" hidden="1">
      <c r="A104" s="49">
        <v>8211</v>
      </c>
      <c r="B104" s="50" t="s">
        <v>125</v>
      </c>
      <c r="C104" s="51"/>
      <c r="D104" s="50">
        <v>44832</v>
      </c>
      <c r="E104" s="50" t="str">
        <f t="shared" si="2"/>
        <v>Albatros/Conventus MW1</v>
      </c>
      <c r="F104" s="50" t="s">
        <v>221</v>
      </c>
      <c r="G104" s="50" t="s">
        <v>14</v>
      </c>
      <c r="H104" s="50" t="s">
        <v>127</v>
      </c>
      <c r="I104" s="50" t="str">
        <f t="shared" si="0"/>
        <v>GKV/Enomics MW1 - Albatros/Conventus MW1</v>
      </c>
      <c r="J104" s="51">
        <v>0.85416666666666663</v>
      </c>
      <c r="K104" s="50" t="s">
        <v>54</v>
      </c>
      <c r="L104" s="50" t="s">
        <v>96</v>
      </c>
      <c r="M104" s="50"/>
      <c r="N104" s="50"/>
      <c r="O104" s="50"/>
    </row>
    <row r="105" spans="1:15" s="52" customFormat="1" ht="13.2" hidden="1">
      <c r="A105" s="49">
        <v>2393</v>
      </c>
      <c r="B105" s="50" t="s">
        <v>18</v>
      </c>
      <c r="C105" s="51"/>
      <c r="D105" s="50">
        <v>44835</v>
      </c>
      <c r="E105" s="50" t="str">
        <f t="shared" si="2"/>
        <v>Albatros E5</v>
      </c>
      <c r="F105" s="50" t="s">
        <v>68</v>
      </c>
      <c r="G105" s="50" t="s">
        <v>14</v>
      </c>
      <c r="H105" s="50" t="s">
        <v>67</v>
      </c>
      <c r="I105" s="50" t="str">
        <f t="shared" si="0"/>
        <v>ADO E1 - Albatros E5</v>
      </c>
      <c r="J105" s="51">
        <v>0.375</v>
      </c>
      <c r="K105" s="50" t="s">
        <v>170</v>
      </c>
      <c r="L105" s="50" t="s">
        <v>222</v>
      </c>
      <c r="M105" s="50"/>
      <c r="N105" s="50"/>
      <c r="O105" s="50"/>
    </row>
    <row r="106" spans="1:15" s="52" customFormat="1" ht="13.2" hidden="1">
      <c r="A106" s="49">
        <v>6724</v>
      </c>
      <c r="B106" s="50" t="s">
        <v>46</v>
      </c>
      <c r="C106" s="51"/>
      <c r="D106" s="50">
        <v>44835</v>
      </c>
      <c r="E106" s="50" t="str">
        <f t="shared" si="2"/>
        <v>Albatros B3</v>
      </c>
      <c r="F106" s="50" t="s">
        <v>48</v>
      </c>
      <c r="G106" s="50" t="s">
        <v>14</v>
      </c>
      <c r="H106" s="50" t="s">
        <v>47</v>
      </c>
      <c r="I106" s="50" t="str">
        <f t="shared" si="0"/>
        <v>Sporting Delta B3 - Albatros B3</v>
      </c>
      <c r="J106" s="51">
        <v>0.39583333333333331</v>
      </c>
      <c r="K106" s="50" t="s">
        <v>141</v>
      </c>
      <c r="L106" s="50" t="s">
        <v>59</v>
      </c>
      <c r="M106" s="50"/>
      <c r="N106" s="50"/>
      <c r="O106" s="50"/>
    </row>
    <row r="107" spans="1:15" s="52" customFormat="1" ht="13.2" hidden="1">
      <c r="A107" s="49">
        <v>4298</v>
      </c>
      <c r="B107" s="50" t="s">
        <v>12</v>
      </c>
      <c r="C107" s="51"/>
      <c r="D107" s="50">
        <v>44835</v>
      </c>
      <c r="E107" s="50" t="str">
        <f t="shared" si="2"/>
        <v>Albatros D3</v>
      </c>
      <c r="F107" s="50" t="s">
        <v>15</v>
      </c>
      <c r="G107" s="50" t="s">
        <v>14</v>
      </c>
      <c r="H107" s="50" t="s">
        <v>13</v>
      </c>
      <c r="I107" s="50" t="str">
        <f t="shared" si="0"/>
        <v>Albatros D3 - PKC/Vertom D2</v>
      </c>
      <c r="J107" s="51">
        <v>0.39583333333333331</v>
      </c>
      <c r="K107" s="50" t="s">
        <v>30</v>
      </c>
      <c r="L107" s="50" t="s">
        <v>34</v>
      </c>
      <c r="M107" s="50"/>
      <c r="N107" s="50"/>
      <c r="O107" s="50"/>
    </row>
    <row r="108" spans="1:15" s="52" customFormat="1" ht="13.2" hidden="1">
      <c r="A108" s="49">
        <v>4283</v>
      </c>
      <c r="B108" s="50" t="s">
        <v>12</v>
      </c>
      <c r="C108" s="51"/>
      <c r="D108" s="50">
        <v>44835</v>
      </c>
      <c r="E108" s="50" t="str">
        <f t="shared" si="2"/>
        <v>Albatros D4</v>
      </c>
      <c r="F108" s="50" t="s">
        <v>33</v>
      </c>
      <c r="G108" s="50" t="s">
        <v>14</v>
      </c>
      <c r="H108" s="50" t="s">
        <v>32</v>
      </c>
      <c r="I108" s="50" t="str">
        <f t="shared" si="0"/>
        <v>Oranje Wit (D) D3 - Albatros D4</v>
      </c>
      <c r="J108" s="51">
        <v>0.39583333333333331</v>
      </c>
      <c r="K108" s="50" t="s">
        <v>41</v>
      </c>
      <c r="L108" s="50" t="s">
        <v>107</v>
      </c>
      <c r="M108" s="50"/>
      <c r="N108" s="50"/>
      <c r="O108" s="50"/>
    </row>
    <row r="109" spans="1:15" s="52" customFormat="1" ht="13.2" hidden="1">
      <c r="A109" s="49">
        <v>2391</v>
      </c>
      <c r="B109" s="50" t="s">
        <v>18</v>
      </c>
      <c r="C109" s="51"/>
      <c r="D109" s="50">
        <v>44835</v>
      </c>
      <c r="E109" s="50" t="str">
        <f t="shared" si="2"/>
        <v>Albatros E4</v>
      </c>
      <c r="F109" s="50" t="s">
        <v>36</v>
      </c>
      <c r="G109" s="50" t="s">
        <v>14</v>
      </c>
      <c r="H109" s="50" t="s">
        <v>35</v>
      </c>
      <c r="I109" s="50" t="str">
        <f t="shared" si="0"/>
        <v>Albatros E4 - ACKC E2</v>
      </c>
      <c r="J109" s="51">
        <v>0.39583333333333331</v>
      </c>
      <c r="K109" s="50" t="s">
        <v>30</v>
      </c>
      <c r="L109" s="50" t="s">
        <v>66</v>
      </c>
      <c r="M109" s="50"/>
      <c r="N109" s="50"/>
      <c r="O109" s="50"/>
    </row>
    <row r="110" spans="1:15" s="52" customFormat="1" ht="13.2" hidden="1">
      <c r="A110" s="49">
        <v>8181</v>
      </c>
      <c r="B110" s="50" t="s">
        <v>97</v>
      </c>
      <c r="C110" s="51"/>
      <c r="D110" s="50">
        <v>44835</v>
      </c>
      <c r="E110" s="50" t="str">
        <f t="shared" si="2"/>
        <v>Albatros D1</v>
      </c>
      <c r="F110" s="50" t="s">
        <v>99</v>
      </c>
      <c r="G110" s="50" t="s">
        <v>14</v>
      </c>
      <c r="H110" s="50" t="s">
        <v>98</v>
      </c>
      <c r="I110" s="50" t="str">
        <f t="shared" si="0"/>
        <v>Albatros D1 - Refleks D1</v>
      </c>
      <c r="J110" s="51">
        <v>0.40625</v>
      </c>
      <c r="K110" s="50" t="s">
        <v>30</v>
      </c>
      <c r="L110" s="50" t="s">
        <v>107</v>
      </c>
      <c r="M110" s="50"/>
      <c r="N110" s="50"/>
      <c r="O110" s="50"/>
    </row>
    <row r="111" spans="1:15" s="52" customFormat="1" ht="13.2" hidden="1">
      <c r="A111" s="49">
        <v>655</v>
      </c>
      <c r="B111" s="50" t="s">
        <v>23</v>
      </c>
      <c r="C111" s="51"/>
      <c r="D111" s="50">
        <v>44835</v>
      </c>
      <c r="E111" s="50" t="str">
        <f t="shared" si="2"/>
        <v>Albatros F2</v>
      </c>
      <c r="F111" s="50" t="s">
        <v>44</v>
      </c>
      <c r="G111" s="50" t="s">
        <v>14</v>
      </c>
      <c r="H111" s="50" t="s">
        <v>43</v>
      </c>
      <c r="I111" s="50" t="str">
        <f t="shared" si="0"/>
        <v>Springfield F1 - Albatros F2</v>
      </c>
      <c r="J111" s="51">
        <v>0.40625</v>
      </c>
      <c r="K111" s="50" t="s">
        <v>223</v>
      </c>
      <c r="L111" s="50" t="s">
        <v>224</v>
      </c>
      <c r="M111" s="50"/>
      <c r="N111" s="50"/>
      <c r="O111" s="50"/>
    </row>
    <row r="112" spans="1:15" s="52" customFormat="1" ht="13.2" hidden="1">
      <c r="A112" s="49">
        <v>7368</v>
      </c>
      <c r="B112" s="50" t="s">
        <v>84</v>
      </c>
      <c r="C112" s="51"/>
      <c r="D112" s="50">
        <v>44835</v>
      </c>
      <c r="E112" s="50" t="str">
        <f t="shared" si="2"/>
        <v>Albatros B1</v>
      </c>
      <c r="F112" s="50" t="s">
        <v>85</v>
      </c>
      <c r="G112" s="50" t="s">
        <v>14</v>
      </c>
      <c r="H112" s="50" t="s">
        <v>225</v>
      </c>
      <c r="I112" s="50" t="str">
        <f t="shared" si="0"/>
        <v>Albatros B1 - Nieuwerkerk B1</v>
      </c>
      <c r="J112" s="51">
        <v>0.41666666666666669</v>
      </c>
      <c r="K112" s="50" t="s">
        <v>30</v>
      </c>
      <c r="L112" s="50" t="s">
        <v>31</v>
      </c>
      <c r="M112" s="50"/>
      <c r="N112" s="50"/>
      <c r="O112" s="50"/>
    </row>
    <row r="113" spans="1:15" s="52" customFormat="1" ht="13.2" hidden="1">
      <c r="A113" s="49">
        <v>1021</v>
      </c>
      <c r="B113" s="50" t="s">
        <v>23</v>
      </c>
      <c r="C113" s="51"/>
      <c r="D113" s="50">
        <v>44835</v>
      </c>
      <c r="E113" s="50" t="str">
        <f t="shared" si="2"/>
        <v>Albatros F3</v>
      </c>
      <c r="F113" s="50" t="s">
        <v>25</v>
      </c>
      <c r="G113" s="50" t="s">
        <v>14</v>
      </c>
      <c r="H113" s="50" t="s">
        <v>24</v>
      </c>
      <c r="I113" s="50" t="str">
        <f t="shared" si="0"/>
        <v>Albatros F3 - KCR F2</v>
      </c>
      <c r="J113" s="51">
        <v>0.41666666666666669</v>
      </c>
      <c r="K113" s="50" t="s">
        <v>30</v>
      </c>
      <c r="L113" s="50" t="s">
        <v>45</v>
      </c>
      <c r="M113" s="50"/>
      <c r="N113" s="50"/>
      <c r="O113" s="50"/>
    </row>
    <row r="114" spans="1:15" s="52" customFormat="1" ht="13.2" hidden="1">
      <c r="A114" s="49">
        <v>2046</v>
      </c>
      <c r="B114" s="50" t="s">
        <v>18</v>
      </c>
      <c r="C114" s="51"/>
      <c r="D114" s="50">
        <v>44835</v>
      </c>
      <c r="E114" s="50" t="str">
        <f t="shared" si="2"/>
        <v>Albatros E1</v>
      </c>
      <c r="F114" s="50" t="s">
        <v>65</v>
      </c>
      <c r="G114" s="50" t="s">
        <v>14</v>
      </c>
      <c r="H114" s="50" t="s">
        <v>64</v>
      </c>
      <c r="I114" s="50" t="str">
        <f t="shared" si="0"/>
        <v>GKV/Enomics E1 - Albatros E1</v>
      </c>
      <c r="J114" s="51">
        <v>0.4375</v>
      </c>
      <c r="K114" s="50" t="s">
        <v>54</v>
      </c>
      <c r="L114" s="50" t="s">
        <v>45</v>
      </c>
      <c r="M114" s="50"/>
      <c r="N114" s="50"/>
      <c r="O114" s="50"/>
    </row>
    <row r="115" spans="1:15" s="52" customFormat="1" ht="13.2" hidden="1">
      <c r="A115" s="49">
        <v>2392</v>
      </c>
      <c r="B115" s="50" t="s">
        <v>18</v>
      </c>
      <c r="C115" s="51"/>
      <c r="D115" s="50">
        <v>44835</v>
      </c>
      <c r="E115" s="50" t="str">
        <f t="shared" si="2"/>
        <v>Albatros E2</v>
      </c>
      <c r="F115" s="50" t="s">
        <v>20</v>
      </c>
      <c r="G115" s="50" t="s">
        <v>14</v>
      </c>
      <c r="H115" s="50" t="s">
        <v>19</v>
      </c>
      <c r="I115" s="50" t="str">
        <f t="shared" si="0"/>
        <v>Albatros E2 - HKC (Ha) E1</v>
      </c>
      <c r="J115" s="51">
        <v>0.4375</v>
      </c>
      <c r="K115" s="50" t="s">
        <v>30</v>
      </c>
      <c r="L115" s="50" t="s">
        <v>66</v>
      </c>
      <c r="M115" s="50"/>
      <c r="N115" s="50"/>
      <c r="O115" s="50"/>
    </row>
    <row r="116" spans="1:15" s="52" customFormat="1" ht="13.2" hidden="1">
      <c r="A116" s="49">
        <v>5450</v>
      </c>
      <c r="B116" s="50" t="s">
        <v>69</v>
      </c>
      <c r="C116" s="51"/>
      <c r="D116" s="50">
        <v>44835</v>
      </c>
      <c r="E116" s="50" t="str">
        <f t="shared" si="2"/>
        <v>Albatros C3</v>
      </c>
      <c r="F116" s="50" t="s">
        <v>71</v>
      </c>
      <c r="G116" s="50" t="s">
        <v>14</v>
      </c>
      <c r="H116" s="50" t="s">
        <v>70</v>
      </c>
      <c r="I116" s="50" t="str">
        <f t="shared" si="0"/>
        <v>Albatros C3 - Movado C1</v>
      </c>
      <c r="J116" s="51">
        <v>0.44791666666666669</v>
      </c>
      <c r="K116" s="50" t="s">
        <v>30</v>
      </c>
      <c r="L116" s="50" t="s">
        <v>34</v>
      </c>
      <c r="M116" s="50"/>
      <c r="N116" s="50"/>
      <c r="O116" s="50"/>
    </row>
    <row r="117" spans="1:15" s="52" customFormat="1" ht="13.2" hidden="1">
      <c r="A117" s="49">
        <v>7742</v>
      </c>
      <c r="B117" s="50" t="s">
        <v>49</v>
      </c>
      <c r="C117" s="51"/>
      <c r="D117" s="50">
        <v>44835</v>
      </c>
      <c r="E117" s="50" t="str">
        <f t="shared" si="2"/>
        <v>Albatros C1</v>
      </c>
      <c r="F117" s="50" t="s">
        <v>226</v>
      </c>
      <c r="G117" s="50" t="s">
        <v>14</v>
      </c>
      <c r="H117" s="50" t="s">
        <v>50</v>
      </c>
      <c r="I117" s="50" t="str">
        <f t="shared" si="0"/>
        <v>Fortuna/Delta Logistiek C1 - Albatros C1</v>
      </c>
      <c r="J117" s="51">
        <v>0.45833333333333331</v>
      </c>
      <c r="K117" s="50" t="s">
        <v>162</v>
      </c>
      <c r="L117" s="50" t="s">
        <v>17</v>
      </c>
      <c r="M117" s="50"/>
      <c r="N117" s="50"/>
      <c r="O117" s="50"/>
    </row>
    <row r="118" spans="1:15" s="52" customFormat="1" ht="13.2" hidden="1">
      <c r="A118" s="49">
        <v>8053</v>
      </c>
      <c r="B118" s="50" t="s">
        <v>55</v>
      </c>
      <c r="C118" s="51"/>
      <c r="D118" s="50">
        <v>44835</v>
      </c>
      <c r="E118" s="50" t="str">
        <f t="shared" si="2"/>
        <v>Albatros C2</v>
      </c>
      <c r="F118" s="50" t="s">
        <v>57</v>
      </c>
      <c r="G118" s="50" t="s">
        <v>14</v>
      </c>
      <c r="H118" s="50" t="s">
        <v>56</v>
      </c>
      <c r="I118" s="50" t="str">
        <f t="shared" si="0"/>
        <v>Albatros C2 - ONDO (M) C1</v>
      </c>
      <c r="J118" s="51">
        <v>0.45833333333333331</v>
      </c>
      <c r="K118" s="50" t="s">
        <v>30</v>
      </c>
      <c r="L118" s="50" t="s">
        <v>107</v>
      </c>
      <c r="M118" s="50"/>
      <c r="N118" s="50"/>
      <c r="O118" s="50"/>
    </row>
    <row r="119" spans="1:15" s="52" customFormat="1" ht="13.2" hidden="1">
      <c r="A119" s="49">
        <v>4073</v>
      </c>
      <c r="B119" s="50" t="s">
        <v>12</v>
      </c>
      <c r="C119" s="51"/>
      <c r="D119" s="50">
        <v>44835</v>
      </c>
      <c r="E119" s="50" t="str">
        <f t="shared" si="2"/>
        <v>Albatros D2</v>
      </c>
      <c r="F119" s="50" t="s">
        <v>29</v>
      </c>
      <c r="G119" s="50" t="s">
        <v>14</v>
      </c>
      <c r="H119" s="50" t="s">
        <v>28</v>
      </c>
      <c r="I119" s="50" t="str">
        <f t="shared" si="0"/>
        <v>DeetosSnel D1 - Albatros D2</v>
      </c>
      <c r="J119" s="51">
        <v>0.45833333333333331</v>
      </c>
      <c r="K119" s="50" t="s">
        <v>129</v>
      </c>
      <c r="L119" s="50" t="s">
        <v>96</v>
      </c>
      <c r="M119" s="50"/>
      <c r="N119" s="50"/>
      <c r="O119" s="50"/>
    </row>
    <row r="120" spans="1:15" s="52" customFormat="1" ht="13.2" hidden="1">
      <c r="A120" s="49">
        <v>514</v>
      </c>
      <c r="B120" s="50" t="s">
        <v>23</v>
      </c>
      <c r="C120" s="51"/>
      <c r="D120" s="50">
        <v>44835</v>
      </c>
      <c r="E120" s="50" t="str">
        <f t="shared" si="2"/>
        <v>Albatros F1</v>
      </c>
      <c r="F120" s="50" t="s">
        <v>53</v>
      </c>
      <c r="G120" s="50" t="s">
        <v>14</v>
      </c>
      <c r="H120" s="50" t="s">
        <v>52</v>
      </c>
      <c r="I120" s="50" t="str">
        <f t="shared" si="0"/>
        <v>Albatros F1 - GKV/Enomics F1</v>
      </c>
      <c r="J120" s="51">
        <v>0.45833333333333331</v>
      </c>
      <c r="K120" s="50" t="s">
        <v>30</v>
      </c>
      <c r="L120" s="50" t="s">
        <v>45</v>
      </c>
      <c r="M120" s="50"/>
      <c r="N120" s="50"/>
      <c r="O120" s="50"/>
    </row>
    <row r="121" spans="1:15" s="52" customFormat="1" ht="13.2" hidden="1">
      <c r="A121" s="49">
        <v>6822</v>
      </c>
      <c r="B121" s="50" t="s">
        <v>81</v>
      </c>
      <c r="C121" s="51"/>
      <c r="D121" s="50">
        <v>44835</v>
      </c>
      <c r="E121" s="50" t="str">
        <f t="shared" si="2"/>
        <v>Albatros A2</v>
      </c>
      <c r="F121" s="50" t="s">
        <v>82</v>
      </c>
      <c r="G121" s="50" t="s">
        <v>14</v>
      </c>
      <c r="H121" s="50" t="s">
        <v>227</v>
      </c>
      <c r="I121" s="50" t="str">
        <f t="shared" si="0"/>
        <v>Albatros A2 - HKC (Ha) A1</v>
      </c>
      <c r="J121" s="51">
        <v>0.46875</v>
      </c>
      <c r="K121" s="50" t="s">
        <v>30</v>
      </c>
      <c r="L121" s="50" t="s">
        <v>31</v>
      </c>
      <c r="M121" s="50"/>
      <c r="N121" s="50"/>
      <c r="O121" s="50"/>
    </row>
    <row r="122" spans="1:15" s="52" customFormat="1" ht="13.2" hidden="1">
      <c r="A122" s="49">
        <v>2051</v>
      </c>
      <c r="B122" s="50" t="s">
        <v>18</v>
      </c>
      <c r="C122" s="51"/>
      <c r="D122" s="50">
        <v>44835</v>
      </c>
      <c r="E122" s="50" t="str">
        <f t="shared" si="2"/>
        <v>Albatros E3</v>
      </c>
      <c r="F122" s="50" t="s">
        <v>40</v>
      </c>
      <c r="G122" s="50" t="s">
        <v>14</v>
      </c>
      <c r="H122" s="50" t="s">
        <v>39</v>
      </c>
      <c r="I122" s="50" t="str">
        <f t="shared" si="0"/>
        <v>Albatros E3 - Oranje Wit (D) E2</v>
      </c>
      <c r="J122" s="51">
        <v>0.47916666666666669</v>
      </c>
      <c r="K122" s="50" t="s">
        <v>30</v>
      </c>
      <c r="L122" s="50" t="s">
        <v>66</v>
      </c>
      <c r="M122" s="50"/>
      <c r="N122" s="50"/>
      <c r="O122" s="50"/>
    </row>
    <row r="123" spans="1:15" s="52" customFormat="1" ht="13.2" hidden="1">
      <c r="A123" s="49">
        <v>10543</v>
      </c>
      <c r="B123" s="50" t="s">
        <v>69</v>
      </c>
      <c r="C123" s="51"/>
      <c r="D123" s="50">
        <v>44835</v>
      </c>
      <c r="E123" s="50" t="str">
        <f t="shared" si="2"/>
        <v>Albatros C4</v>
      </c>
      <c r="F123" s="50" t="s">
        <v>74</v>
      </c>
      <c r="G123" s="50" t="s">
        <v>14</v>
      </c>
      <c r="H123" s="50" t="s">
        <v>73</v>
      </c>
      <c r="I123" s="50" t="str">
        <f t="shared" si="0"/>
        <v>Albatros C4 - t Capproen C1</v>
      </c>
      <c r="J123" s="51">
        <v>0.48958333333333331</v>
      </c>
      <c r="K123" s="50" t="s">
        <v>30</v>
      </c>
      <c r="L123" s="50" t="s">
        <v>34</v>
      </c>
      <c r="M123" s="50"/>
      <c r="N123" s="50"/>
      <c r="O123" s="50"/>
    </row>
    <row r="124" spans="1:15" s="52" customFormat="1" ht="13.2" hidden="1">
      <c r="A124" s="49">
        <v>9187</v>
      </c>
      <c r="B124" s="50" t="s">
        <v>60</v>
      </c>
      <c r="C124" s="51"/>
      <c r="D124" s="50">
        <v>44835</v>
      </c>
      <c r="E124" s="50" t="str">
        <f t="shared" si="2"/>
        <v>Albatros B2</v>
      </c>
      <c r="F124" s="50" t="s">
        <v>62</v>
      </c>
      <c r="G124" s="50" t="s">
        <v>14</v>
      </c>
      <c r="H124" s="50" t="s">
        <v>61</v>
      </c>
      <c r="I124" s="50" t="str">
        <f t="shared" si="0"/>
        <v>Albatros B2 - KOAG B1</v>
      </c>
      <c r="J124" s="51">
        <v>0.51041666666666663</v>
      </c>
      <c r="K124" s="50" t="s">
        <v>30</v>
      </c>
      <c r="L124" s="50" t="s">
        <v>107</v>
      </c>
      <c r="M124" s="50"/>
      <c r="N124" s="50"/>
      <c r="O124" s="50"/>
    </row>
    <row r="125" spans="1:15" s="52" customFormat="1" ht="13.2">
      <c r="A125" s="49">
        <v>4414</v>
      </c>
      <c r="B125" s="50" t="s">
        <v>77</v>
      </c>
      <c r="C125" s="51"/>
      <c r="D125" s="50">
        <v>44835</v>
      </c>
      <c r="E125" s="50" t="str">
        <f t="shared" si="2"/>
        <v>Albatros 4</v>
      </c>
      <c r="F125" s="50" t="s">
        <v>228</v>
      </c>
      <c r="G125" s="50" t="s">
        <v>14</v>
      </c>
      <c r="H125" s="50" t="s">
        <v>88</v>
      </c>
      <c r="I125" s="50" t="str">
        <f t="shared" si="0"/>
        <v>ADO 3 - Albatros 4</v>
      </c>
      <c r="J125" s="51">
        <v>0.52083333333333337</v>
      </c>
      <c r="K125" s="50" t="s">
        <v>170</v>
      </c>
      <c r="L125" s="50" t="s">
        <v>31</v>
      </c>
      <c r="M125" s="50"/>
      <c r="N125" s="50"/>
      <c r="O125" s="50"/>
    </row>
    <row r="126" spans="1:15" s="52" customFormat="1" ht="13.2" hidden="1">
      <c r="A126" s="49">
        <v>6814</v>
      </c>
      <c r="B126" s="50" t="s">
        <v>90</v>
      </c>
      <c r="C126" s="51"/>
      <c r="D126" s="50">
        <v>44835</v>
      </c>
      <c r="E126" s="50" t="str">
        <f t="shared" si="2"/>
        <v>Albatros A1</v>
      </c>
      <c r="F126" s="50" t="s">
        <v>91</v>
      </c>
      <c r="G126" s="50" t="s">
        <v>14</v>
      </c>
      <c r="H126" s="50" t="s">
        <v>229</v>
      </c>
      <c r="I126" s="50" t="str">
        <f t="shared" si="0"/>
        <v>Albatros A1 - ONDO (G) A1</v>
      </c>
      <c r="J126" s="51">
        <v>0.54166666666666663</v>
      </c>
      <c r="K126" s="50" t="s">
        <v>30</v>
      </c>
      <c r="L126" s="50" t="s">
        <v>31</v>
      </c>
      <c r="M126" s="50"/>
      <c r="N126" s="50"/>
      <c r="O126" s="50"/>
    </row>
    <row r="127" spans="1:15" s="52" customFormat="1" ht="13.2" hidden="1">
      <c r="A127" s="49">
        <v>7530</v>
      </c>
      <c r="B127" s="50" t="s">
        <v>93</v>
      </c>
      <c r="C127" s="51"/>
      <c r="D127" s="50">
        <v>44835</v>
      </c>
      <c r="E127" s="50" t="str">
        <f t="shared" si="2"/>
        <v>Albatros A4</v>
      </c>
      <c r="F127" s="50" t="s">
        <v>95</v>
      </c>
      <c r="G127" s="50" t="s">
        <v>14</v>
      </c>
      <c r="H127" s="50" t="s">
        <v>94</v>
      </c>
      <c r="I127" s="50" t="str">
        <f t="shared" si="0"/>
        <v>Albatros A4 - PKC/Vertom A5</v>
      </c>
      <c r="J127" s="51">
        <v>0.5625</v>
      </c>
      <c r="K127" s="50" t="s">
        <v>30</v>
      </c>
      <c r="L127" s="50" t="s">
        <v>107</v>
      </c>
      <c r="M127" s="50"/>
      <c r="N127" s="50"/>
      <c r="O127" s="50"/>
    </row>
    <row r="128" spans="1:15" s="52" customFormat="1" ht="13.2" hidden="1">
      <c r="A128" s="49">
        <v>7635</v>
      </c>
      <c r="B128" s="50" t="s">
        <v>93</v>
      </c>
      <c r="C128" s="51"/>
      <c r="D128" s="50">
        <v>44835</v>
      </c>
      <c r="E128" s="50" t="str">
        <f t="shared" si="2"/>
        <v>Albatros A3</v>
      </c>
      <c r="F128" s="50" t="s">
        <v>103</v>
      </c>
      <c r="G128" s="50" t="s">
        <v>14</v>
      </c>
      <c r="H128" s="50" t="s">
        <v>102</v>
      </c>
      <c r="I128" s="50" t="str">
        <f t="shared" si="0"/>
        <v>SKV A1 - Albatros A3</v>
      </c>
      <c r="J128" s="51">
        <v>0.58333333333333337</v>
      </c>
      <c r="K128" s="50" t="s">
        <v>230</v>
      </c>
      <c r="L128" s="50" t="s">
        <v>165</v>
      </c>
      <c r="M128" s="50"/>
      <c r="N128" s="50"/>
      <c r="O128" s="50"/>
    </row>
    <row r="129" spans="1:15" s="52" customFormat="1" ht="13.2">
      <c r="A129" s="49">
        <v>4912</v>
      </c>
      <c r="B129" s="50" t="s">
        <v>108</v>
      </c>
      <c r="C129" s="51"/>
      <c r="D129" s="50">
        <v>44835</v>
      </c>
      <c r="E129" s="50" t="str">
        <f t="shared" si="2"/>
        <v>Albatros 2</v>
      </c>
      <c r="F129" s="50" t="s">
        <v>109</v>
      </c>
      <c r="G129" s="50" t="s">
        <v>14</v>
      </c>
      <c r="H129" s="50" t="s">
        <v>231</v>
      </c>
      <c r="I129" s="50" t="str">
        <f t="shared" si="0"/>
        <v>Albatros 2 - Vriendenschaar (H) 2</v>
      </c>
      <c r="J129" s="51">
        <v>0.60416666666666663</v>
      </c>
      <c r="K129" s="50" t="s">
        <v>30</v>
      </c>
      <c r="L129" s="50" t="s">
        <v>31</v>
      </c>
      <c r="M129" s="50"/>
      <c r="N129" s="50"/>
      <c r="O129" s="50"/>
    </row>
    <row r="130" spans="1:15" s="52" customFormat="1" ht="13.2">
      <c r="A130" s="49">
        <v>4892</v>
      </c>
      <c r="B130" s="50" t="s">
        <v>77</v>
      </c>
      <c r="C130" s="51"/>
      <c r="D130" s="50">
        <v>44835</v>
      </c>
      <c r="E130" s="50" t="str">
        <f t="shared" si="2"/>
        <v>Albatros 5</v>
      </c>
      <c r="F130" s="50" t="s">
        <v>232</v>
      </c>
      <c r="G130" s="50" t="s">
        <v>14</v>
      </c>
      <c r="H130" s="50" t="s">
        <v>79</v>
      </c>
      <c r="I130" s="50" t="str">
        <f t="shared" si="0"/>
        <v>DeetosSnel 4 - Albatros 5</v>
      </c>
      <c r="J130" s="51">
        <v>0.625</v>
      </c>
      <c r="K130" s="50" t="s">
        <v>129</v>
      </c>
      <c r="L130" s="50" t="s">
        <v>31</v>
      </c>
      <c r="M130" s="50"/>
      <c r="N130" s="50"/>
      <c r="O130" s="50"/>
    </row>
    <row r="131" spans="1:15" s="52" customFormat="1" ht="13.2">
      <c r="A131" s="49">
        <v>9269</v>
      </c>
      <c r="B131" s="50" t="s">
        <v>104</v>
      </c>
      <c r="C131" s="51"/>
      <c r="D131" s="50">
        <v>44835</v>
      </c>
      <c r="E131" s="50" t="str">
        <f t="shared" ref="E131:E194" si="3">IF(K131=K$9,F131,H131)</f>
        <v>Albatros 7</v>
      </c>
      <c r="F131" s="50" t="s">
        <v>106</v>
      </c>
      <c r="G131" s="50" t="s">
        <v>14</v>
      </c>
      <c r="H131" s="50" t="s">
        <v>105</v>
      </c>
      <c r="I131" s="50" t="str">
        <f t="shared" si="0"/>
        <v>DeetosSnel 6 - Albatros 7</v>
      </c>
      <c r="J131" s="51">
        <v>0.625</v>
      </c>
      <c r="K131" s="50" t="s">
        <v>129</v>
      </c>
      <c r="L131" s="50" t="s">
        <v>96</v>
      </c>
      <c r="M131" s="50"/>
      <c r="N131" s="50"/>
      <c r="O131" s="50"/>
    </row>
    <row r="132" spans="1:15" s="52" customFormat="1" ht="13.2">
      <c r="A132" s="49">
        <v>9223</v>
      </c>
      <c r="B132" s="50" t="s">
        <v>104</v>
      </c>
      <c r="C132" s="51"/>
      <c r="D132" s="50">
        <v>44835</v>
      </c>
      <c r="E132" s="50" t="str">
        <f t="shared" si="3"/>
        <v>Albatros 8</v>
      </c>
      <c r="F132" s="50" t="s">
        <v>112</v>
      </c>
      <c r="G132" s="50" t="s">
        <v>14</v>
      </c>
      <c r="H132" s="50" t="s">
        <v>111</v>
      </c>
      <c r="I132" s="50" t="str">
        <f t="shared" si="0"/>
        <v>Albatros 8 - Triade 3</v>
      </c>
      <c r="J132" s="51">
        <v>0.63541666666666663</v>
      </c>
      <c r="K132" s="50" t="s">
        <v>30</v>
      </c>
      <c r="L132" s="50" t="s">
        <v>107</v>
      </c>
      <c r="M132" s="50"/>
      <c r="N132" s="50"/>
      <c r="O132" s="50"/>
    </row>
    <row r="133" spans="1:15" s="52" customFormat="1" ht="13.2">
      <c r="A133" s="49">
        <v>1654</v>
      </c>
      <c r="B133" s="50" t="s">
        <v>117</v>
      </c>
      <c r="C133" s="51"/>
      <c r="D133" s="50">
        <v>44835</v>
      </c>
      <c r="E133" s="50" t="str">
        <f t="shared" si="3"/>
        <v>Albatros 1</v>
      </c>
      <c r="F133" s="50" t="s">
        <v>118</v>
      </c>
      <c r="G133" s="50" t="s">
        <v>14</v>
      </c>
      <c r="H133" s="50" t="s">
        <v>233</v>
      </c>
      <c r="I133" s="50" t="str">
        <f t="shared" si="0"/>
        <v>Albatros 1 - Vriendenschaar (H) 1</v>
      </c>
      <c r="J133" s="51">
        <v>0.66666666666666663</v>
      </c>
      <c r="K133" s="50" t="s">
        <v>30</v>
      </c>
      <c r="L133" s="50" t="s">
        <v>31</v>
      </c>
      <c r="M133" s="50"/>
      <c r="N133" s="50"/>
      <c r="O133" s="50"/>
    </row>
    <row r="134" spans="1:15" s="52" customFormat="1" ht="13.2">
      <c r="A134" s="49">
        <v>9487</v>
      </c>
      <c r="B134" s="50" t="s">
        <v>104</v>
      </c>
      <c r="C134" s="51"/>
      <c r="D134" s="50">
        <v>44835</v>
      </c>
      <c r="E134" s="50" t="str">
        <f t="shared" si="3"/>
        <v>Albatros 6</v>
      </c>
      <c r="F134" s="50" t="s">
        <v>116</v>
      </c>
      <c r="G134" s="50" t="s">
        <v>14</v>
      </c>
      <c r="H134" s="50" t="s">
        <v>115</v>
      </c>
      <c r="I134" s="50" t="str">
        <f t="shared" si="0"/>
        <v>PKC/Vertom 7 - Albatros 6</v>
      </c>
      <c r="J134" s="51">
        <v>0.70833333333333337</v>
      </c>
      <c r="K134" s="50" t="s">
        <v>16</v>
      </c>
      <c r="L134" s="50" t="s">
        <v>31</v>
      </c>
      <c r="M134" s="50"/>
      <c r="N134" s="50"/>
      <c r="O134" s="50"/>
    </row>
    <row r="135" spans="1:15" s="52" customFormat="1" ht="13.2">
      <c r="A135" s="49">
        <v>9255</v>
      </c>
      <c r="B135" s="50" t="s">
        <v>104</v>
      </c>
      <c r="C135" s="51"/>
      <c r="D135" s="50">
        <v>44835</v>
      </c>
      <c r="E135" s="50" t="str">
        <f t="shared" si="3"/>
        <v>Albatros 9</v>
      </c>
      <c r="F135" s="50" t="s">
        <v>121</v>
      </c>
      <c r="G135" s="50" t="s">
        <v>14</v>
      </c>
      <c r="H135" s="50" t="s">
        <v>120</v>
      </c>
      <c r="I135" s="50" t="str">
        <f t="shared" si="0"/>
        <v>Merwede/Multiplaat 6 - Albatros 9</v>
      </c>
      <c r="J135" s="51">
        <v>0.71875</v>
      </c>
      <c r="K135" s="50" t="s">
        <v>180</v>
      </c>
      <c r="L135" s="50" t="s">
        <v>31</v>
      </c>
      <c r="M135" s="50"/>
      <c r="N135" s="50"/>
      <c r="O135" s="50"/>
    </row>
    <row r="136" spans="1:15" s="52" customFormat="1" ht="13.2">
      <c r="A136" s="49">
        <v>4421</v>
      </c>
      <c r="B136" s="50" t="s">
        <v>122</v>
      </c>
      <c r="C136" s="51"/>
      <c r="D136" s="50">
        <v>44835</v>
      </c>
      <c r="E136" s="50" t="str">
        <f t="shared" si="3"/>
        <v>Albatros 3</v>
      </c>
      <c r="F136" s="50" t="s">
        <v>123</v>
      </c>
      <c r="G136" s="50" t="s">
        <v>14</v>
      </c>
      <c r="H136" s="50" t="s">
        <v>234</v>
      </c>
      <c r="I136" s="50" t="str">
        <f t="shared" si="0"/>
        <v>Albatros 3 - ONDO (G) 2</v>
      </c>
      <c r="J136" s="51">
        <v>0.72916666666666663</v>
      </c>
      <c r="K136" s="50" t="s">
        <v>30</v>
      </c>
      <c r="L136" s="50" t="s">
        <v>31</v>
      </c>
      <c r="M136" s="50"/>
      <c r="N136" s="50"/>
      <c r="O136" s="50"/>
    </row>
    <row r="137" spans="1:15" s="52" customFormat="1" ht="13.2" hidden="1">
      <c r="A137" s="49">
        <v>8252</v>
      </c>
      <c r="B137" s="50" t="s">
        <v>125</v>
      </c>
      <c r="C137" s="51"/>
      <c r="D137" s="50">
        <v>44839</v>
      </c>
      <c r="E137" s="50" t="str">
        <f t="shared" si="3"/>
        <v>Albatros/Conventus MW1</v>
      </c>
      <c r="F137" s="50" t="s">
        <v>127</v>
      </c>
      <c r="G137" s="50" t="s">
        <v>14</v>
      </c>
      <c r="H137" s="50" t="s">
        <v>221</v>
      </c>
      <c r="I137" s="50" t="str">
        <f t="shared" si="0"/>
        <v>Albatros/Conventus MW1 - GKV/Enomics MW1</v>
      </c>
      <c r="J137" s="51">
        <v>0.85416666666666663</v>
      </c>
      <c r="K137" s="50" t="s">
        <v>30</v>
      </c>
      <c r="L137" s="50" t="s">
        <v>31</v>
      </c>
      <c r="M137" s="50"/>
      <c r="N137" s="50"/>
      <c r="O137" s="50"/>
    </row>
    <row r="138" spans="1:15" s="52" customFormat="1" ht="13.2" hidden="1">
      <c r="A138" s="49">
        <v>3033</v>
      </c>
      <c r="B138" s="50" t="s">
        <v>18</v>
      </c>
      <c r="C138" s="51"/>
      <c r="D138" s="50">
        <v>44842</v>
      </c>
      <c r="E138" s="50" t="str">
        <f t="shared" si="3"/>
        <v>Albatros E3</v>
      </c>
      <c r="F138" s="50" t="s">
        <v>139</v>
      </c>
      <c r="G138" s="50" t="s">
        <v>14</v>
      </c>
      <c r="H138" s="50" t="s">
        <v>40</v>
      </c>
      <c r="I138" s="50" t="str">
        <f t="shared" si="0"/>
        <v>DVS '69 E1 - Albatros E3</v>
      </c>
      <c r="J138" s="51">
        <v>0.375</v>
      </c>
      <c r="K138" s="50" t="s">
        <v>235</v>
      </c>
      <c r="L138" s="50" t="s">
        <v>236</v>
      </c>
      <c r="M138" s="50"/>
      <c r="N138" s="50"/>
      <c r="O138" s="50"/>
    </row>
    <row r="139" spans="1:15" s="52" customFormat="1" ht="13.2" hidden="1">
      <c r="A139" s="49">
        <v>2721</v>
      </c>
      <c r="B139" s="50" t="s">
        <v>18</v>
      </c>
      <c r="C139" s="51"/>
      <c r="D139" s="50">
        <v>44842</v>
      </c>
      <c r="E139" s="50" t="str">
        <f t="shared" si="3"/>
        <v>Albatros E4</v>
      </c>
      <c r="F139" s="50" t="s">
        <v>149</v>
      </c>
      <c r="G139" s="50" t="s">
        <v>14</v>
      </c>
      <c r="H139" s="50" t="s">
        <v>36</v>
      </c>
      <c r="I139" s="50" t="str">
        <f t="shared" si="0"/>
        <v>Movado E1 - Albatros E4</v>
      </c>
      <c r="J139" s="51">
        <v>0.375</v>
      </c>
      <c r="K139" s="50" t="s">
        <v>72</v>
      </c>
      <c r="L139" s="50" t="s">
        <v>237</v>
      </c>
      <c r="M139" s="50"/>
      <c r="N139" s="50"/>
      <c r="O139" s="50"/>
    </row>
    <row r="140" spans="1:15" s="52" customFormat="1" ht="13.2" hidden="1">
      <c r="A140" s="49">
        <v>625</v>
      </c>
      <c r="B140" s="50" t="s">
        <v>23</v>
      </c>
      <c r="C140" s="51"/>
      <c r="D140" s="50">
        <v>44842</v>
      </c>
      <c r="E140" s="50" t="str">
        <f t="shared" si="3"/>
        <v>Albatros F1</v>
      </c>
      <c r="F140" s="50" t="s">
        <v>135</v>
      </c>
      <c r="G140" s="50" t="s">
        <v>14</v>
      </c>
      <c r="H140" s="50" t="s">
        <v>53</v>
      </c>
      <c r="I140" s="50" t="str">
        <f t="shared" si="0"/>
        <v>Merwede/Multiplaat F1 - Albatros F1</v>
      </c>
      <c r="J140" s="51">
        <v>0.375</v>
      </c>
      <c r="K140" s="50" t="s">
        <v>180</v>
      </c>
      <c r="L140" s="50" t="s">
        <v>238</v>
      </c>
      <c r="M140" s="50"/>
      <c r="N140" s="50"/>
      <c r="O140" s="50"/>
    </row>
    <row r="141" spans="1:15" s="52" customFormat="1" ht="13.2" hidden="1">
      <c r="A141" s="49">
        <v>11361</v>
      </c>
      <c r="B141" s="50" t="s">
        <v>23</v>
      </c>
      <c r="C141" s="51"/>
      <c r="D141" s="50">
        <v>44842</v>
      </c>
      <c r="E141" s="50" t="str">
        <f t="shared" si="3"/>
        <v>Albatros F3</v>
      </c>
      <c r="F141" s="50" t="s">
        <v>147</v>
      </c>
      <c r="G141" s="50" t="s">
        <v>14</v>
      </c>
      <c r="H141" s="50" t="s">
        <v>25</v>
      </c>
      <c r="I141" s="50" t="str">
        <f t="shared" si="0"/>
        <v>GKV/Enomics F2 - Albatros F3</v>
      </c>
      <c r="J141" s="51">
        <v>0.375</v>
      </c>
      <c r="K141" s="50" t="s">
        <v>54</v>
      </c>
      <c r="L141" s="50" t="s">
        <v>238</v>
      </c>
      <c r="M141" s="50"/>
      <c r="N141" s="50"/>
      <c r="O141" s="50"/>
    </row>
    <row r="142" spans="1:15" s="52" customFormat="1" ht="13.2" hidden="1">
      <c r="A142" s="49">
        <v>9199</v>
      </c>
      <c r="B142" s="50" t="s">
        <v>97</v>
      </c>
      <c r="C142" s="51"/>
      <c r="D142" s="50">
        <v>44842</v>
      </c>
      <c r="E142" s="50" t="str">
        <f t="shared" si="3"/>
        <v>Albatros D1</v>
      </c>
      <c r="F142" s="50" t="s">
        <v>130</v>
      </c>
      <c r="G142" s="50" t="s">
        <v>14</v>
      </c>
      <c r="H142" s="50" t="s">
        <v>99</v>
      </c>
      <c r="I142" s="50" t="str">
        <f t="shared" si="0"/>
        <v>Oranje Wit (D) D1 - Albatros D1</v>
      </c>
      <c r="J142" s="51">
        <v>0.39583333333333331</v>
      </c>
      <c r="K142" s="50" t="s">
        <v>41</v>
      </c>
      <c r="L142" s="50" t="s">
        <v>165</v>
      </c>
      <c r="M142" s="50"/>
      <c r="N142" s="50"/>
      <c r="O142" s="50"/>
    </row>
    <row r="143" spans="1:15" s="52" customFormat="1" ht="13.2" hidden="1">
      <c r="A143" s="49">
        <v>4525</v>
      </c>
      <c r="B143" s="50" t="s">
        <v>12</v>
      </c>
      <c r="C143" s="51"/>
      <c r="D143" s="50">
        <v>44842</v>
      </c>
      <c r="E143" s="50" t="str">
        <f t="shared" si="3"/>
        <v>Albatros D3</v>
      </c>
      <c r="F143" s="50" t="s">
        <v>131</v>
      </c>
      <c r="G143" s="50" t="s">
        <v>14</v>
      </c>
      <c r="H143" s="50" t="s">
        <v>15</v>
      </c>
      <c r="I143" s="50" t="str">
        <f t="shared" si="0"/>
        <v>ACKC D1 - Albatros D3</v>
      </c>
      <c r="J143" s="51">
        <v>0.39583333333333331</v>
      </c>
      <c r="K143" s="50" t="s">
        <v>37</v>
      </c>
      <c r="L143" s="50" t="s">
        <v>165</v>
      </c>
      <c r="M143" s="50"/>
      <c r="N143" s="50"/>
      <c r="O143" s="50"/>
    </row>
    <row r="144" spans="1:15" s="52" customFormat="1" ht="13.2" hidden="1">
      <c r="A144" s="49">
        <v>4745</v>
      </c>
      <c r="B144" s="50" t="s">
        <v>12</v>
      </c>
      <c r="C144" s="51"/>
      <c r="D144" s="50">
        <v>44842</v>
      </c>
      <c r="E144" s="50" t="str">
        <f t="shared" si="3"/>
        <v>Albatros D4</v>
      </c>
      <c r="F144" s="50" t="s">
        <v>32</v>
      </c>
      <c r="G144" s="50" t="s">
        <v>14</v>
      </c>
      <c r="H144" s="50" t="s">
        <v>144</v>
      </c>
      <c r="I144" s="50" t="str">
        <f t="shared" si="0"/>
        <v>Albatros D4 - DeetosSnel D2</v>
      </c>
      <c r="J144" s="51">
        <v>0.39583333333333331</v>
      </c>
      <c r="K144" s="50" t="s">
        <v>30</v>
      </c>
      <c r="L144" s="50" t="s">
        <v>107</v>
      </c>
      <c r="M144" s="50"/>
      <c r="N144" s="50"/>
      <c r="O144" s="50"/>
    </row>
    <row r="145" spans="1:15" s="52" customFormat="1" ht="13.2" hidden="1">
      <c r="A145" s="49">
        <v>517</v>
      </c>
      <c r="B145" s="50" t="s">
        <v>23</v>
      </c>
      <c r="C145" s="51"/>
      <c r="D145" s="50">
        <v>44842</v>
      </c>
      <c r="E145" s="50" t="str">
        <f t="shared" si="3"/>
        <v>Albatros F2</v>
      </c>
      <c r="F145" s="50" t="s">
        <v>43</v>
      </c>
      <c r="G145" s="50" t="s">
        <v>14</v>
      </c>
      <c r="H145" s="50" t="s">
        <v>128</v>
      </c>
      <c r="I145" s="50" t="str">
        <f t="shared" si="0"/>
        <v>Albatros F2 - DeetosSnel F2</v>
      </c>
      <c r="J145" s="51">
        <v>0.39583333333333331</v>
      </c>
      <c r="K145" s="50" t="s">
        <v>30</v>
      </c>
      <c r="L145" s="50" t="s">
        <v>45</v>
      </c>
      <c r="M145" s="50"/>
      <c r="N145" s="50"/>
      <c r="O145" s="50"/>
    </row>
    <row r="146" spans="1:15" s="52" customFormat="1" ht="13.2" hidden="1">
      <c r="A146" s="49">
        <v>7849</v>
      </c>
      <c r="B146" s="50" t="s">
        <v>49</v>
      </c>
      <c r="C146" s="51"/>
      <c r="D146" s="50">
        <v>44842</v>
      </c>
      <c r="E146" s="50" t="str">
        <f t="shared" si="3"/>
        <v>Albatros C1</v>
      </c>
      <c r="F146" s="50" t="s">
        <v>50</v>
      </c>
      <c r="G146" s="50" t="s">
        <v>14</v>
      </c>
      <c r="H146" s="50" t="s">
        <v>239</v>
      </c>
      <c r="I146" s="50" t="str">
        <f t="shared" si="0"/>
        <v>Albatros C1 - Vitesse (Ba) C1</v>
      </c>
      <c r="J146" s="51">
        <v>0.40625</v>
      </c>
      <c r="K146" s="50" t="s">
        <v>30</v>
      </c>
      <c r="L146" s="50" t="s">
        <v>31</v>
      </c>
      <c r="M146" s="50"/>
      <c r="N146" s="50"/>
      <c r="O146" s="50"/>
    </row>
    <row r="147" spans="1:15" s="52" customFormat="1" ht="13.2" hidden="1">
      <c r="A147" s="49">
        <v>7894</v>
      </c>
      <c r="B147" s="50" t="s">
        <v>93</v>
      </c>
      <c r="C147" s="51"/>
      <c r="D147" s="50">
        <v>44842</v>
      </c>
      <c r="E147" s="50" t="str">
        <f t="shared" si="3"/>
        <v>Albatros A3</v>
      </c>
      <c r="F147" s="50" t="s">
        <v>102</v>
      </c>
      <c r="G147" s="50" t="s">
        <v>14</v>
      </c>
      <c r="H147" s="50" t="s">
        <v>171</v>
      </c>
      <c r="I147" s="50" t="str">
        <f t="shared" si="0"/>
        <v>Albatros A3 - KOAG A2</v>
      </c>
      <c r="J147" s="51">
        <v>0.41666666666666669</v>
      </c>
      <c r="K147" s="50" t="s">
        <v>30</v>
      </c>
      <c r="L147" s="50" t="s">
        <v>34</v>
      </c>
      <c r="M147" s="50"/>
      <c r="N147" s="50"/>
      <c r="O147" s="50"/>
    </row>
    <row r="148" spans="1:15" s="52" customFormat="1" ht="13.2" hidden="1">
      <c r="A148" s="49">
        <v>2719</v>
      </c>
      <c r="B148" s="50" t="s">
        <v>18</v>
      </c>
      <c r="C148" s="51"/>
      <c r="D148" s="50">
        <v>44842</v>
      </c>
      <c r="E148" s="50" t="str">
        <f t="shared" si="3"/>
        <v>Albatros E2</v>
      </c>
      <c r="F148" s="50" t="s">
        <v>132</v>
      </c>
      <c r="G148" s="50" t="s">
        <v>14</v>
      </c>
      <c r="H148" s="50" t="s">
        <v>20</v>
      </c>
      <c r="I148" s="50" t="str">
        <f t="shared" si="0"/>
        <v>PKC/Vertom E2 - Albatros E2</v>
      </c>
      <c r="J148" s="51">
        <v>0.41666666666666669</v>
      </c>
      <c r="K148" s="50" t="s">
        <v>16</v>
      </c>
      <c r="L148" s="50" t="s">
        <v>238</v>
      </c>
      <c r="M148" s="50"/>
      <c r="N148" s="50"/>
      <c r="O148" s="50"/>
    </row>
    <row r="149" spans="1:15" s="52" customFormat="1" ht="13.2" hidden="1">
      <c r="A149" s="49">
        <v>9193</v>
      </c>
      <c r="B149" s="50" t="s">
        <v>60</v>
      </c>
      <c r="C149" s="51"/>
      <c r="D149" s="50">
        <v>44842</v>
      </c>
      <c r="E149" s="50" t="str">
        <f t="shared" si="3"/>
        <v>Albatros B2</v>
      </c>
      <c r="F149" s="50" t="s">
        <v>136</v>
      </c>
      <c r="G149" s="50" t="s">
        <v>14</v>
      </c>
      <c r="H149" s="50" t="s">
        <v>62</v>
      </c>
      <c r="I149" s="50" t="str">
        <f t="shared" si="0"/>
        <v>KCR B2 - Albatros B2</v>
      </c>
      <c r="J149" s="51">
        <v>0.42708333333333331</v>
      </c>
      <c r="K149" s="50" t="s">
        <v>26</v>
      </c>
      <c r="L149" s="50" t="s">
        <v>31</v>
      </c>
      <c r="M149" s="50"/>
      <c r="N149" s="50"/>
      <c r="O149" s="50"/>
    </row>
    <row r="150" spans="1:15" s="52" customFormat="1" ht="13.2" hidden="1">
      <c r="A150" s="49">
        <v>8055</v>
      </c>
      <c r="B150" s="50" t="s">
        <v>55</v>
      </c>
      <c r="C150" s="51"/>
      <c r="D150" s="50">
        <v>44842</v>
      </c>
      <c r="E150" s="50" t="str">
        <f t="shared" si="3"/>
        <v>Albatros C2</v>
      </c>
      <c r="F150" s="50" t="s">
        <v>154</v>
      </c>
      <c r="G150" s="50" t="s">
        <v>14</v>
      </c>
      <c r="H150" s="50" t="s">
        <v>57</v>
      </c>
      <c r="I150" s="50" t="str">
        <f t="shared" si="0"/>
        <v>Fortis C1 - Albatros C2</v>
      </c>
      <c r="J150" s="51">
        <v>0.4375</v>
      </c>
      <c r="K150" s="50" t="s">
        <v>240</v>
      </c>
      <c r="L150" s="50" t="s">
        <v>31</v>
      </c>
      <c r="M150" s="50"/>
      <c r="N150" s="50"/>
      <c r="O150" s="50"/>
    </row>
    <row r="151" spans="1:15" s="52" customFormat="1" ht="13.2" hidden="1">
      <c r="A151" s="49">
        <v>4523</v>
      </c>
      <c r="B151" s="50" t="s">
        <v>12</v>
      </c>
      <c r="C151" s="51"/>
      <c r="D151" s="50">
        <v>44842</v>
      </c>
      <c r="E151" s="50" t="str">
        <f t="shared" si="3"/>
        <v>Albatros D2</v>
      </c>
      <c r="F151" s="50" t="s">
        <v>28</v>
      </c>
      <c r="G151" s="50" t="s">
        <v>14</v>
      </c>
      <c r="H151" s="50" t="s">
        <v>156</v>
      </c>
      <c r="I151" s="50" t="str">
        <f t="shared" si="0"/>
        <v>Albatros D2 - OJC '98 D1</v>
      </c>
      <c r="J151" s="51">
        <v>0.4375</v>
      </c>
      <c r="K151" s="50" t="s">
        <v>30</v>
      </c>
      <c r="L151" s="50" t="s">
        <v>107</v>
      </c>
      <c r="M151" s="50"/>
      <c r="N151" s="50"/>
      <c r="O151" s="50"/>
    </row>
    <row r="152" spans="1:15" s="52" customFormat="1" ht="13.2" hidden="1">
      <c r="A152" s="49">
        <v>3086</v>
      </c>
      <c r="B152" s="50" t="s">
        <v>18</v>
      </c>
      <c r="C152" s="51"/>
      <c r="D152" s="50">
        <v>44842</v>
      </c>
      <c r="E152" s="50" t="str">
        <f t="shared" si="3"/>
        <v>Albatros E5</v>
      </c>
      <c r="F152" s="50" t="s">
        <v>67</v>
      </c>
      <c r="G152" s="50" t="s">
        <v>14</v>
      </c>
      <c r="H152" s="50" t="s">
        <v>159</v>
      </c>
      <c r="I152" s="50" t="str">
        <f t="shared" si="0"/>
        <v>Albatros E5 - Scheldevogels E1</v>
      </c>
      <c r="J152" s="51">
        <v>0.4375</v>
      </c>
      <c r="K152" s="50" t="s">
        <v>30</v>
      </c>
      <c r="L152" s="50" t="s">
        <v>45</v>
      </c>
      <c r="M152" s="50"/>
      <c r="N152" s="50"/>
      <c r="O152" s="50"/>
    </row>
    <row r="153" spans="1:15" s="52" customFormat="1" ht="13.2" hidden="1">
      <c r="A153" s="49">
        <v>7388</v>
      </c>
      <c r="B153" s="50" t="s">
        <v>84</v>
      </c>
      <c r="C153" s="51"/>
      <c r="D153" s="50">
        <v>44842</v>
      </c>
      <c r="E153" s="50" t="str">
        <f t="shared" si="3"/>
        <v>Albatros B1</v>
      </c>
      <c r="F153" s="50" t="s">
        <v>241</v>
      </c>
      <c r="G153" s="50" t="s">
        <v>14</v>
      </c>
      <c r="H153" s="50" t="s">
        <v>85</v>
      </c>
      <c r="I153" s="50" t="str">
        <f t="shared" si="0"/>
        <v>PKC/Vertom B1 - Albatros B1</v>
      </c>
      <c r="J153" s="51">
        <v>0.45833333333333331</v>
      </c>
      <c r="K153" s="50" t="s">
        <v>16</v>
      </c>
      <c r="L153" s="50" t="s">
        <v>31</v>
      </c>
      <c r="M153" s="50"/>
      <c r="N153" s="50"/>
      <c r="O153" s="50"/>
    </row>
    <row r="154" spans="1:15" s="52" customFormat="1" ht="13.2" hidden="1">
      <c r="A154" s="49">
        <v>2736</v>
      </c>
      <c r="B154" s="50" t="s">
        <v>18</v>
      </c>
      <c r="C154" s="51"/>
      <c r="D154" s="50">
        <v>44842</v>
      </c>
      <c r="E154" s="50" t="str">
        <f t="shared" si="3"/>
        <v>Albatros E1</v>
      </c>
      <c r="F154" s="50" t="s">
        <v>64</v>
      </c>
      <c r="G154" s="50" t="s">
        <v>14</v>
      </c>
      <c r="H154" s="50" t="s">
        <v>145</v>
      </c>
      <c r="I154" s="50" t="str">
        <f t="shared" si="0"/>
        <v>Albatros E1 - PKC/Vertom E1</v>
      </c>
      <c r="J154" s="51">
        <v>0.45833333333333331</v>
      </c>
      <c r="K154" s="50" t="s">
        <v>30</v>
      </c>
      <c r="L154" s="50" t="s">
        <v>66</v>
      </c>
      <c r="M154" s="50"/>
      <c r="N154" s="50"/>
      <c r="O154" s="50"/>
    </row>
    <row r="155" spans="1:15" s="52" customFormat="1" ht="13.2" hidden="1">
      <c r="A155" s="49">
        <v>7043</v>
      </c>
      <c r="B155" s="50" t="s">
        <v>46</v>
      </c>
      <c r="C155" s="51"/>
      <c r="D155" s="50">
        <v>44842</v>
      </c>
      <c r="E155" s="50" t="str">
        <f t="shared" si="3"/>
        <v>Albatros B3</v>
      </c>
      <c r="F155" s="50" t="s">
        <v>47</v>
      </c>
      <c r="G155" s="50" t="s">
        <v>14</v>
      </c>
      <c r="H155" s="50" t="s">
        <v>137</v>
      </c>
      <c r="I155" s="50" t="str">
        <f t="shared" si="0"/>
        <v>Albatros B3 - Oranje Wit (D) B3</v>
      </c>
      <c r="J155" s="51">
        <v>0.47916666666666669</v>
      </c>
      <c r="K155" s="50" t="s">
        <v>30</v>
      </c>
      <c r="L155" s="50" t="s">
        <v>34</v>
      </c>
      <c r="M155" s="50"/>
      <c r="N155" s="50"/>
      <c r="O155" s="50"/>
    </row>
    <row r="156" spans="1:15" s="52" customFormat="1" ht="13.2" hidden="1">
      <c r="A156" s="49">
        <v>10180</v>
      </c>
      <c r="B156" s="50" t="s">
        <v>150</v>
      </c>
      <c r="C156" s="51"/>
      <c r="D156" s="50">
        <v>44842</v>
      </c>
      <c r="E156" s="50" t="str">
        <f t="shared" si="3"/>
        <v>Tempo G2</v>
      </c>
      <c r="F156" s="50" t="s">
        <v>242</v>
      </c>
      <c r="G156" s="50" t="s">
        <v>14</v>
      </c>
      <c r="H156" s="50" t="s">
        <v>152</v>
      </c>
      <c r="I156" s="50" t="str">
        <f t="shared" si="0"/>
        <v>Tempo G2 - Albatros G1</v>
      </c>
      <c r="J156" s="51">
        <v>0.47916666666666669</v>
      </c>
      <c r="K156" s="50" t="s">
        <v>30</v>
      </c>
      <c r="L156" s="50" t="s">
        <v>31</v>
      </c>
      <c r="M156" s="50"/>
      <c r="N156" s="50"/>
      <c r="O156" s="50"/>
    </row>
    <row r="157" spans="1:15" s="52" customFormat="1" ht="13.2" hidden="1">
      <c r="A157" s="49">
        <v>6039</v>
      </c>
      <c r="B157" s="50" t="s">
        <v>69</v>
      </c>
      <c r="C157" s="51"/>
      <c r="D157" s="50">
        <v>44842</v>
      </c>
      <c r="E157" s="50" t="str">
        <f t="shared" si="3"/>
        <v>Albatros C3</v>
      </c>
      <c r="F157" s="50" t="s">
        <v>148</v>
      </c>
      <c r="G157" s="50" t="s">
        <v>14</v>
      </c>
      <c r="H157" s="50" t="s">
        <v>71</v>
      </c>
      <c r="I157" s="50" t="str">
        <f t="shared" si="0"/>
        <v>DeetosSnel C2 - Albatros C3</v>
      </c>
      <c r="J157" s="51">
        <v>0.49652777777777779</v>
      </c>
      <c r="K157" s="50" t="s">
        <v>129</v>
      </c>
      <c r="L157" s="50" t="s">
        <v>31</v>
      </c>
      <c r="M157" s="50"/>
      <c r="N157" s="50"/>
      <c r="O157" s="50"/>
    </row>
    <row r="158" spans="1:15" s="52" customFormat="1" ht="13.2" hidden="1">
      <c r="A158" s="49">
        <v>6295</v>
      </c>
      <c r="B158" s="50" t="s">
        <v>90</v>
      </c>
      <c r="C158" s="51"/>
      <c r="D158" s="50">
        <v>44842</v>
      </c>
      <c r="E158" s="50" t="str">
        <f t="shared" si="3"/>
        <v>Albatros A1</v>
      </c>
      <c r="F158" s="50" t="s">
        <v>243</v>
      </c>
      <c r="G158" s="50" t="s">
        <v>14</v>
      </c>
      <c r="H158" s="50" t="s">
        <v>91</v>
      </c>
      <c r="I158" s="50" t="str">
        <f t="shared" si="0"/>
        <v>Die Haghe A1 - Albatros A1</v>
      </c>
      <c r="J158" s="51">
        <v>0.52083333333333337</v>
      </c>
      <c r="K158" s="50" t="s">
        <v>244</v>
      </c>
      <c r="L158" s="50" t="s">
        <v>31</v>
      </c>
      <c r="M158" s="50"/>
      <c r="N158" s="50"/>
      <c r="O158" s="50"/>
    </row>
    <row r="159" spans="1:15" s="52" customFormat="1" ht="13.2" hidden="1">
      <c r="A159" s="49">
        <v>7895</v>
      </c>
      <c r="B159" s="50" t="s">
        <v>93</v>
      </c>
      <c r="C159" s="51"/>
      <c r="D159" s="50">
        <v>44842</v>
      </c>
      <c r="E159" s="50" t="str">
        <f t="shared" si="3"/>
        <v>Albatros A4</v>
      </c>
      <c r="F159" s="50" t="s">
        <v>158</v>
      </c>
      <c r="G159" s="50" t="s">
        <v>14</v>
      </c>
      <c r="H159" s="50" t="s">
        <v>95</v>
      </c>
      <c r="I159" s="50" t="str">
        <f t="shared" si="0"/>
        <v>ACKC A2 - Albatros A4</v>
      </c>
      <c r="J159" s="51">
        <v>0.53125</v>
      </c>
      <c r="K159" s="50" t="s">
        <v>37</v>
      </c>
      <c r="L159" s="50" t="s">
        <v>165</v>
      </c>
      <c r="M159" s="50"/>
      <c r="N159" s="50"/>
      <c r="O159" s="50"/>
    </row>
    <row r="160" spans="1:15" s="52" customFormat="1" ht="13.2">
      <c r="A160" s="49">
        <v>9978</v>
      </c>
      <c r="B160" s="50" t="s">
        <v>104</v>
      </c>
      <c r="C160" s="51"/>
      <c r="D160" s="50">
        <v>44842</v>
      </c>
      <c r="E160" s="50" t="str">
        <f t="shared" si="3"/>
        <v>Albatros 6</v>
      </c>
      <c r="F160" s="50" t="s">
        <v>115</v>
      </c>
      <c r="G160" s="50" t="s">
        <v>14</v>
      </c>
      <c r="H160" s="50" t="s">
        <v>168</v>
      </c>
      <c r="I160" s="50" t="str">
        <f t="shared" si="0"/>
        <v>Albatros 6 - GKV/Enomics 4</v>
      </c>
      <c r="J160" s="51">
        <v>0.54166666666666663</v>
      </c>
      <c r="K160" s="50" t="s">
        <v>30</v>
      </c>
      <c r="L160" s="50" t="s">
        <v>34</v>
      </c>
      <c r="M160" s="50"/>
      <c r="N160" s="50"/>
      <c r="O160" s="50"/>
    </row>
    <row r="161" spans="1:15" s="52" customFormat="1" ht="13.2" hidden="1">
      <c r="A161" s="49">
        <v>7028</v>
      </c>
      <c r="B161" s="50" t="s">
        <v>81</v>
      </c>
      <c r="C161" s="51"/>
      <c r="D161" s="50">
        <v>44842</v>
      </c>
      <c r="E161" s="50" t="str">
        <f t="shared" si="3"/>
        <v>Albatros A2</v>
      </c>
      <c r="F161" s="50" t="s">
        <v>245</v>
      </c>
      <c r="G161" s="50" t="s">
        <v>14</v>
      </c>
      <c r="H161" s="50" t="s">
        <v>82</v>
      </c>
      <c r="I161" s="50" t="str">
        <f t="shared" si="0"/>
        <v>Sporting Delta A2 - Albatros A2</v>
      </c>
      <c r="J161" s="51">
        <v>0.54166666666666663</v>
      </c>
      <c r="K161" s="50" t="s">
        <v>141</v>
      </c>
      <c r="L161" s="50" t="s">
        <v>165</v>
      </c>
      <c r="M161" s="50"/>
      <c r="N161" s="50"/>
      <c r="O161" s="50"/>
    </row>
    <row r="162" spans="1:15" s="52" customFormat="1" ht="13.2" hidden="1">
      <c r="A162" s="49">
        <v>10544</v>
      </c>
      <c r="B162" s="50" t="s">
        <v>69</v>
      </c>
      <c r="C162" s="51"/>
      <c r="D162" s="50">
        <v>44842</v>
      </c>
      <c r="E162" s="50" t="str">
        <f t="shared" si="3"/>
        <v>Albatros C4</v>
      </c>
      <c r="F162" s="50" t="s">
        <v>138</v>
      </c>
      <c r="G162" s="50" t="s">
        <v>14</v>
      </c>
      <c r="H162" s="50" t="s">
        <v>74</v>
      </c>
      <c r="I162" s="50" t="str">
        <f t="shared" si="0"/>
        <v>KCC/CK Kozijnen C2 - Albatros C4</v>
      </c>
      <c r="J162" s="51">
        <v>0.54166666666666663</v>
      </c>
      <c r="K162" s="50" t="s">
        <v>213</v>
      </c>
      <c r="L162" s="50" t="s">
        <v>246</v>
      </c>
      <c r="M162" s="50"/>
      <c r="N162" s="50"/>
      <c r="O162" s="50"/>
    </row>
    <row r="163" spans="1:15" s="52" customFormat="1" ht="13.2" hidden="1">
      <c r="A163" s="49">
        <v>10183</v>
      </c>
      <c r="B163" s="50" t="s">
        <v>150</v>
      </c>
      <c r="C163" s="51"/>
      <c r="D163" s="50">
        <v>44842</v>
      </c>
      <c r="E163" s="50" t="str">
        <f t="shared" si="3"/>
        <v>Albatros G1</v>
      </c>
      <c r="F163" s="50" t="s">
        <v>152</v>
      </c>
      <c r="G163" s="50" t="s">
        <v>14</v>
      </c>
      <c r="H163" s="50" t="s">
        <v>247</v>
      </c>
      <c r="I163" s="50" t="str">
        <f t="shared" si="0"/>
        <v>Albatros G1 - GKV/Enomics G1</v>
      </c>
      <c r="J163" s="51">
        <v>0.54166666666666663</v>
      </c>
      <c r="K163" s="50" t="s">
        <v>30</v>
      </c>
      <c r="L163" s="50" t="s">
        <v>31</v>
      </c>
      <c r="M163" s="50"/>
      <c r="N163" s="50"/>
      <c r="O163" s="50"/>
    </row>
    <row r="164" spans="1:15" s="52" customFormat="1" ht="13.2">
      <c r="A164" s="49">
        <v>3771</v>
      </c>
      <c r="B164" s="50" t="s">
        <v>122</v>
      </c>
      <c r="C164" s="51"/>
      <c r="D164" s="50">
        <v>44842</v>
      </c>
      <c r="E164" s="50" t="str">
        <f t="shared" si="3"/>
        <v>Albatros 3</v>
      </c>
      <c r="F164" s="50" t="s">
        <v>248</v>
      </c>
      <c r="G164" s="50" t="s">
        <v>14</v>
      </c>
      <c r="H164" s="50" t="s">
        <v>123</v>
      </c>
      <c r="I164" s="50" t="str">
        <f t="shared" si="0"/>
        <v>Excelsior 4 - Albatros 3</v>
      </c>
      <c r="J164" s="51">
        <v>0.56944444444444442</v>
      </c>
      <c r="K164" s="50" t="s">
        <v>249</v>
      </c>
      <c r="L164" s="50" t="s">
        <v>31</v>
      </c>
      <c r="M164" s="50"/>
      <c r="N164" s="50"/>
      <c r="O164" s="50"/>
    </row>
    <row r="165" spans="1:15" s="52" customFormat="1" ht="13.2">
      <c r="A165" s="49">
        <v>9709</v>
      </c>
      <c r="B165" s="50" t="s">
        <v>104</v>
      </c>
      <c r="C165" s="51"/>
      <c r="D165" s="50">
        <v>44842</v>
      </c>
      <c r="E165" s="50" t="str">
        <f t="shared" si="3"/>
        <v>Albatros 7</v>
      </c>
      <c r="F165" s="50" t="s">
        <v>105</v>
      </c>
      <c r="G165" s="50" t="s">
        <v>14</v>
      </c>
      <c r="H165" s="50" t="s">
        <v>140</v>
      </c>
      <c r="I165" s="50" t="str">
        <f t="shared" si="0"/>
        <v>Albatros 7 - Sporting Delta 7</v>
      </c>
      <c r="J165" s="51">
        <v>0.57291666666666663</v>
      </c>
      <c r="K165" s="50" t="s">
        <v>30</v>
      </c>
      <c r="L165" s="50" t="s">
        <v>31</v>
      </c>
      <c r="M165" s="50"/>
      <c r="N165" s="50"/>
      <c r="O165" s="50"/>
    </row>
    <row r="166" spans="1:15" s="52" customFormat="1" ht="13.2">
      <c r="A166" s="49">
        <v>5123</v>
      </c>
      <c r="B166" s="50" t="s">
        <v>108</v>
      </c>
      <c r="C166" s="51"/>
      <c r="D166" s="50">
        <v>44842</v>
      </c>
      <c r="E166" s="50" t="str">
        <f t="shared" si="3"/>
        <v>Albatros 2</v>
      </c>
      <c r="F166" s="50" t="s">
        <v>250</v>
      </c>
      <c r="G166" s="50" t="s">
        <v>14</v>
      </c>
      <c r="H166" s="50" t="s">
        <v>109</v>
      </c>
      <c r="I166" s="50" t="str">
        <f t="shared" si="0"/>
        <v>Tjoba 2 - Albatros 2</v>
      </c>
      <c r="J166" s="51">
        <v>0.60416666666666663</v>
      </c>
      <c r="K166" s="50" t="s">
        <v>164</v>
      </c>
      <c r="L166" s="50" t="s">
        <v>165</v>
      </c>
      <c r="M166" s="50"/>
      <c r="N166" s="50"/>
      <c r="O166" s="50"/>
    </row>
    <row r="167" spans="1:15" s="52" customFormat="1" ht="13.2">
      <c r="A167" s="49">
        <v>9707</v>
      </c>
      <c r="B167" s="50" t="s">
        <v>104</v>
      </c>
      <c r="C167" s="51"/>
      <c r="D167" s="50">
        <v>44842</v>
      </c>
      <c r="E167" s="50" t="str">
        <f t="shared" si="3"/>
        <v>Albatros 9</v>
      </c>
      <c r="F167" s="50" t="s">
        <v>120</v>
      </c>
      <c r="G167" s="50" t="s">
        <v>14</v>
      </c>
      <c r="H167" s="50" t="s">
        <v>169</v>
      </c>
      <c r="I167" s="50" t="str">
        <f t="shared" si="0"/>
        <v>Albatros 9 - ADO 5</v>
      </c>
      <c r="J167" s="51">
        <v>0.61458333333333337</v>
      </c>
      <c r="K167" s="50" t="s">
        <v>30</v>
      </c>
      <c r="L167" s="50" t="s">
        <v>34</v>
      </c>
      <c r="M167" s="50"/>
      <c r="N167" s="50"/>
      <c r="O167" s="50"/>
    </row>
    <row r="168" spans="1:15" s="52" customFormat="1" ht="13.2">
      <c r="A168" s="49">
        <v>4436</v>
      </c>
      <c r="B168" s="50" t="s">
        <v>77</v>
      </c>
      <c r="C168" s="51"/>
      <c r="D168" s="50">
        <v>44842</v>
      </c>
      <c r="E168" s="50" t="str">
        <f t="shared" si="3"/>
        <v>Albatros 5</v>
      </c>
      <c r="F168" s="50" t="s">
        <v>79</v>
      </c>
      <c r="G168" s="50" t="s">
        <v>14</v>
      </c>
      <c r="H168" s="50" t="s">
        <v>251</v>
      </c>
      <c r="I168" s="50" t="str">
        <f t="shared" si="0"/>
        <v>Albatros 5 - Nieuwerkerk 4</v>
      </c>
      <c r="J168" s="51">
        <v>0.63541666666666663</v>
      </c>
      <c r="K168" s="50" t="s">
        <v>30</v>
      </c>
      <c r="L168" s="50" t="s">
        <v>31</v>
      </c>
      <c r="M168" s="50"/>
      <c r="N168" s="50"/>
      <c r="O168" s="50"/>
    </row>
    <row r="169" spans="1:15" s="52" customFormat="1" ht="13.2">
      <c r="A169" s="49">
        <v>1836</v>
      </c>
      <c r="B169" s="50" t="s">
        <v>117</v>
      </c>
      <c r="C169" s="51"/>
      <c r="D169" s="50">
        <v>44842</v>
      </c>
      <c r="E169" s="50" t="str">
        <f t="shared" si="3"/>
        <v>Albatros 1</v>
      </c>
      <c r="F169" s="50" t="s">
        <v>252</v>
      </c>
      <c r="G169" s="50" t="s">
        <v>14</v>
      </c>
      <c r="H169" s="50" t="s">
        <v>118</v>
      </c>
      <c r="I169" s="50" t="str">
        <f t="shared" si="0"/>
        <v>Tjoba 1 - Albatros 1</v>
      </c>
      <c r="J169" s="51">
        <v>0.66666666666666663</v>
      </c>
      <c r="K169" s="50" t="s">
        <v>164</v>
      </c>
      <c r="L169" s="50" t="s">
        <v>165</v>
      </c>
      <c r="M169" s="50"/>
      <c r="N169" s="50"/>
      <c r="O169" s="50"/>
    </row>
    <row r="170" spans="1:15" s="52" customFormat="1" ht="13.2">
      <c r="A170" s="49">
        <v>9956</v>
      </c>
      <c r="B170" s="50" t="s">
        <v>104</v>
      </c>
      <c r="C170" s="51"/>
      <c r="D170" s="50">
        <v>44842</v>
      </c>
      <c r="E170" s="50" t="str">
        <f t="shared" si="3"/>
        <v>Albatros 8</v>
      </c>
      <c r="F170" s="50" t="s">
        <v>167</v>
      </c>
      <c r="G170" s="50" t="s">
        <v>14</v>
      </c>
      <c r="H170" s="50" t="s">
        <v>112</v>
      </c>
      <c r="I170" s="50" t="str">
        <f t="shared" si="0"/>
        <v>PKC/Vertom 8 - Albatros 8</v>
      </c>
      <c r="J170" s="51">
        <v>0.70833333333333337</v>
      </c>
      <c r="K170" s="50" t="s">
        <v>16</v>
      </c>
      <c r="L170" s="50" t="s">
        <v>107</v>
      </c>
      <c r="M170" s="50"/>
      <c r="N170" s="50"/>
      <c r="O170" s="50"/>
    </row>
    <row r="171" spans="1:15" s="52" customFormat="1" ht="13.2" hidden="1">
      <c r="A171" s="49">
        <v>8297</v>
      </c>
      <c r="B171" s="50" t="s">
        <v>125</v>
      </c>
      <c r="C171" s="51"/>
      <c r="D171" s="50">
        <v>44846</v>
      </c>
      <c r="E171" s="50" t="str">
        <f t="shared" si="3"/>
        <v>Albatros/Conventus MW1</v>
      </c>
      <c r="F171" s="50" t="s">
        <v>127</v>
      </c>
      <c r="G171" s="50" t="s">
        <v>14</v>
      </c>
      <c r="H171" s="50" t="s">
        <v>126</v>
      </c>
      <c r="I171" s="50" t="str">
        <f t="shared" si="0"/>
        <v>Albatros/Conventus MW1 - HKC (Ha) MW1</v>
      </c>
      <c r="J171" s="51">
        <v>0.85416666666666663</v>
      </c>
      <c r="K171" s="50" t="s">
        <v>30</v>
      </c>
      <c r="L171" s="50" t="s">
        <v>31</v>
      </c>
      <c r="M171" s="50"/>
      <c r="N171" s="50"/>
      <c r="O171" s="50"/>
    </row>
    <row r="172" spans="1:15" s="52" customFormat="1" ht="13.2" hidden="1">
      <c r="A172" s="49">
        <v>3232</v>
      </c>
      <c r="B172" s="50" t="s">
        <v>18</v>
      </c>
      <c r="C172" s="51"/>
      <c r="D172" s="50">
        <v>44849</v>
      </c>
      <c r="E172" s="50" t="str">
        <f t="shared" si="3"/>
        <v>Albatros E2</v>
      </c>
      <c r="F172" s="50" t="s">
        <v>184</v>
      </c>
      <c r="G172" s="50" t="s">
        <v>14</v>
      </c>
      <c r="H172" s="50" t="s">
        <v>20</v>
      </c>
      <c r="I172" s="50" t="str">
        <f t="shared" si="0"/>
        <v>Kinderdijk E1 - Albatros E2</v>
      </c>
      <c r="J172" s="51">
        <v>0.375</v>
      </c>
      <c r="K172" s="50" t="s">
        <v>253</v>
      </c>
      <c r="L172" s="50" t="s">
        <v>38</v>
      </c>
      <c r="M172" s="50"/>
      <c r="N172" s="50"/>
      <c r="O172" s="50"/>
    </row>
    <row r="173" spans="1:15" s="52" customFormat="1" ht="13.2" hidden="1">
      <c r="A173" s="49">
        <v>3255</v>
      </c>
      <c r="B173" s="50" t="s">
        <v>18</v>
      </c>
      <c r="C173" s="51"/>
      <c r="D173" s="50">
        <v>44849</v>
      </c>
      <c r="E173" s="50" t="str">
        <f t="shared" si="3"/>
        <v>Albatros E3</v>
      </c>
      <c r="F173" s="50" t="s">
        <v>40</v>
      </c>
      <c r="G173" s="50" t="s">
        <v>14</v>
      </c>
      <c r="H173" s="50" t="s">
        <v>193</v>
      </c>
      <c r="I173" s="50" t="str">
        <f t="shared" si="0"/>
        <v>Albatros E3 - GKV/Enomics E2</v>
      </c>
      <c r="J173" s="51">
        <v>0.375</v>
      </c>
      <c r="K173" s="50" t="s">
        <v>30</v>
      </c>
      <c r="L173" s="50" t="s">
        <v>66</v>
      </c>
      <c r="M173" s="50"/>
      <c r="N173" s="50"/>
      <c r="O173" s="50"/>
    </row>
    <row r="174" spans="1:15" s="52" customFormat="1" ht="13.2" hidden="1">
      <c r="A174" s="49">
        <v>634</v>
      </c>
      <c r="B174" s="50" t="s">
        <v>23</v>
      </c>
      <c r="C174" s="51"/>
      <c r="D174" s="50">
        <v>44849</v>
      </c>
      <c r="E174" s="50" t="str">
        <f t="shared" si="3"/>
        <v>Albatros F1</v>
      </c>
      <c r="F174" s="50" t="s">
        <v>186</v>
      </c>
      <c r="G174" s="50" t="s">
        <v>14</v>
      </c>
      <c r="H174" s="50" t="s">
        <v>53</v>
      </c>
      <c r="I174" s="50" t="str">
        <f t="shared" si="0"/>
        <v>PKC/Vertom F1 - Albatros F1</v>
      </c>
      <c r="J174" s="51">
        <v>0.375</v>
      </c>
      <c r="K174" s="50" t="s">
        <v>16</v>
      </c>
      <c r="L174" s="50" t="s">
        <v>238</v>
      </c>
      <c r="M174" s="50"/>
      <c r="N174" s="50"/>
      <c r="O174" s="50"/>
    </row>
    <row r="175" spans="1:15" s="52" customFormat="1" ht="13.2" hidden="1">
      <c r="A175" s="49">
        <v>6310</v>
      </c>
      <c r="B175" s="50" t="s">
        <v>46</v>
      </c>
      <c r="C175" s="51"/>
      <c r="D175" s="50">
        <v>44849</v>
      </c>
      <c r="E175" s="50" t="str">
        <f t="shared" si="3"/>
        <v>Albatros B3</v>
      </c>
      <c r="F175" s="50" t="s">
        <v>200</v>
      </c>
      <c r="G175" s="50" t="s">
        <v>14</v>
      </c>
      <c r="H175" s="50" t="s">
        <v>47</v>
      </c>
      <c r="I175" s="50" t="str">
        <f t="shared" si="0"/>
        <v>Merwede/Multiplaat B2 - Albatros B3</v>
      </c>
      <c r="J175" s="51">
        <v>0.39583333333333331</v>
      </c>
      <c r="K175" s="50" t="s">
        <v>180</v>
      </c>
      <c r="L175" s="50" t="s">
        <v>59</v>
      </c>
      <c r="M175" s="50"/>
      <c r="N175" s="50"/>
      <c r="O175" s="50"/>
    </row>
    <row r="176" spans="1:15" s="52" customFormat="1" ht="13.2" hidden="1">
      <c r="A176" s="49">
        <v>10545</v>
      </c>
      <c r="B176" s="50" t="s">
        <v>69</v>
      </c>
      <c r="C176" s="51"/>
      <c r="D176" s="50">
        <v>44849</v>
      </c>
      <c r="E176" s="50" t="str">
        <f t="shared" si="3"/>
        <v>Albatros C4</v>
      </c>
      <c r="F176" s="50" t="s">
        <v>182</v>
      </c>
      <c r="G176" s="50" t="s">
        <v>14</v>
      </c>
      <c r="H176" s="50" t="s">
        <v>74</v>
      </c>
      <c r="I176" s="50" t="str">
        <f t="shared" si="0"/>
        <v>RWA C3 - Albatros C4</v>
      </c>
      <c r="J176" s="51">
        <v>0.39583333333333331</v>
      </c>
      <c r="K176" s="50" t="s">
        <v>80</v>
      </c>
      <c r="L176" s="50" t="s">
        <v>17</v>
      </c>
      <c r="M176" s="50"/>
      <c r="N176" s="50"/>
      <c r="O176" s="50"/>
    </row>
    <row r="177" spans="1:15" s="52" customFormat="1" ht="13.2" hidden="1">
      <c r="A177" s="49">
        <v>4858</v>
      </c>
      <c r="B177" s="50" t="s">
        <v>12</v>
      </c>
      <c r="C177" s="51"/>
      <c r="D177" s="50">
        <v>44849</v>
      </c>
      <c r="E177" s="50" t="str">
        <f t="shared" si="3"/>
        <v>Albatros D3</v>
      </c>
      <c r="F177" s="50" t="s">
        <v>183</v>
      </c>
      <c r="G177" s="50" t="s">
        <v>14</v>
      </c>
      <c r="H177" s="50" t="s">
        <v>15</v>
      </c>
      <c r="I177" s="50" t="str">
        <f t="shared" si="0"/>
        <v>KCR D2 - Albatros D3</v>
      </c>
      <c r="J177" s="51">
        <v>0.39583333333333331</v>
      </c>
      <c r="K177" s="50" t="s">
        <v>26</v>
      </c>
      <c r="L177" s="50" t="s">
        <v>107</v>
      </c>
      <c r="M177" s="50"/>
      <c r="N177" s="50"/>
      <c r="O177" s="50"/>
    </row>
    <row r="178" spans="1:15" s="52" customFormat="1" ht="13.2" hidden="1">
      <c r="A178" s="49">
        <v>9194</v>
      </c>
      <c r="B178" s="50" t="s">
        <v>60</v>
      </c>
      <c r="C178" s="51"/>
      <c r="D178" s="50">
        <v>44849</v>
      </c>
      <c r="E178" s="50" t="str">
        <f t="shared" si="3"/>
        <v>Albatros B2</v>
      </c>
      <c r="F178" s="50" t="s">
        <v>62</v>
      </c>
      <c r="G178" s="50" t="s">
        <v>14</v>
      </c>
      <c r="H178" s="50" t="s">
        <v>195</v>
      </c>
      <c r="I178" s="50" t="str">
        <f t="shared" si="0"/>
        <v>Albatros B2 - Nieuwerkerk B2</v>
      </c>
      <c r="J178" s="51">
        <v>0.41666666666666669</v>
      </c>
      <c r="K178" s="50" t="s">
        <v>30</v>
      </c>
      <c r="L178" s="50" t="s">
        <v>31</v>
      </c>
      <c r="M178" s="50"/>
      <c r="N178" s="50"/>
      <c r="O178" s="50"/>
    </row>
    <row r="179" spans="1:15" s="52" customFormat="1" ht="13.2" hidden="1">
      <c r="A179" s="49">
        <v>1532</v>
      </c>
      <c r="B179" s="50" t="s">
        <v>18</v>
      </c>
      <c r="C179" s="51"/>
      <c r="D179" s="50">
        <v>44849</v>
      </c>
      <c r="E179" s="50" t="str">
        <f t="shared" si="3"/>
        <v>Albatros E1</v>
      </c>
      <c r="F179" s="50" t="s">
        <v>64</v>
      </c>
      <c r="G179" s="50" t="s">
        <v>14</v>
      </c>
      <c r="H179" s="50" t="s">
        <v>196</v>
      </c>
      <c r="I179" s="50" t="str">
        <f t="shared" si="0"/>
        <v>Albatros E1 - Vriendenschaar (H) E1</v>
      </c>
      <c r="J179" s="51">
        <v>0.41666666666666669</v>
      </c>
      <c r="K179" s="50" t="s">
        <v>30</v>
      </c>
      <c r="L179" s="50" t="s">
        <v>66</v>
      </c>
      <c r="M179" s="50"/>
      <c r="N179" s="50"/>
      <c r="O179" s="50"/>
    </row>
    <row r="180" spans="1:15" s="52" customFormat="1" ht="13.2" hidden="1">
      <c r="A180" s="49">
        <v>519</v>
      </c>
      <c r="B180" s="50" t="s">
        <v>23</v>
      </c>
      <c r="C180" s="51"/>
      <c r="D180" s="50">
        <v>44849</v>
      </c>
      <c r="E180" s="50" t="str">
        <f t="shared" si="3"/>
        <v>Albatros F2</v>
      </c>
      <c r="F180" s="50" t="s">
        <v>43</v>
      </c>
      <c r="G180" s="50" t="s">
        <v>14</v>
      </c>
      <c r="H180" s="50" t="s">
        <v>187</v>
      </c>
      <c r="I180" s="50" t="str">
        <f t="shared" si="0"/>
        <v>Albatros F2 - DSO (K) F3</v>
      </c>
      <c r="J180" s="51">
        <v>0.41666666666666669</v>
      </c>
      <c r="K180" s="50" t="s">
        <v>30</v>
      </c>
      <c r="L180" s="50" t="s">
        <v>45</v>
      </c>
      <c r="M180" s="50"/>
      <c r="N180" s="50"/>
      <c r="O180" s="50"/>
    </row>
    <row r="181" spans="1:15" s="52" customFormat="1" ht="13.2" hidden="1">
      <c r="A181" s="49">
        <v>3728</v>
      </c>
      <c r="B181" s="50" t="s">
        <v>12</v>
      </c>
      <c r="C181" s="51"/>
      <c r="D181" s="50">
        <v>44849</v>
      </c>
      <c r="E181" s="50" t="str">
        <f t="shared" si="3"/>
        <v>Albatros D4</v>
      </c>
      <c r="F181" s="50" t="s">
        <v>192</v>
      </c>
      <c r="G181" s="50" t="s">
        <v>14</v>
      </c>
      <c r="H181" s="50" t="s">
        <v>32</v>
      </c>
      <c r="I181" s="50" t="str">
        <f t="shared" si="0"/>
        <v>Korbatjo D1 - Albatros D4</v>
      </c>
      <c r="J181" s="51">
        <v>0.42708333333333331</v>
      </c>
      <c r="K181" s="50" t="s">
        <v>205</v>
      </c>
      <c r="L181" s="50" t="s">
        <v>76</v>
      </c>
      <c r="M181" s="50"/>
      <c r="N181" s="50"/>
      <c r="O181" s="50"/>
    </row>
    <row r="182" spans="1:15" s="52" customFormat="1" ht="13.2" hidden="1">
      <c r="A182" s="49">
        <v>3739</v>
      </c>
      <c r="B182" s="50" t="s">
        <v>12</v>
      </c>
      <c r="C182" s="51"/>
      <c r="D182" s="50">
        <v>44849</v>
      </c>
      <c r="E182" s="50" t="str">
        <f t="shared" si="3"/>
        <v>Albatros D2</v>
      </c>
      <c r="F182" s="50" t="s">
        <v>28</v>
      </c>
      <c r="G182" s="50" t="s">
        <v>14</v>
      </c>
      <c r="H182" s="50" t="s">
        <v>179</v>
      </c>
      <c r="I182" s="50" t="str">
        <f t="shared" si="0"/>
        <v>Albatros D2 - Merwede/Multiplaat D1</v>
      </c>
      <c r="J182" s="51">
        <v>0.4375</v>
      </c>
      <c r="K182" s="50" t="s">
        <v>30</v>
      </c>
      <c r="L182" s="50" t="s">
        <v>34</v>
      </c>
      <c r="M182" s="50"/>
      <c r="N182" s="50"/>
      <c r="O182" s="50"/>
    </row>
    <row r="183" spans="1:15" s="52" customFormat="1" ht="13.2" hidden="1">
      <c r="A183" s="49">
        <v>3163</v>
      </c>
      <c r="B183" s="50" t="s">
        <v>18</v>
      </c>
      <c r="C183" s="51"/>
      <c r="D183" s="50">
        <v>44849</v>
      </c>
      <c r="E183" s="50" t="str">
        <f t="shared" si="3"/>
        <v>Albatros E4</v>
      </c>
      <c r="F183" s="50" t="s">
        <v>198</v>
      </c>
      <c r="G183" s="50" t="s">
        <v>14</v>
      </c>
      <c r="H183" s="50" t="s">
        <v>36</v>
      </c>
      <c r="I183" s="50" t="str">
        <f t="shared" si="0"/>
        <v>HKC (Ha) E5 - Albatros E4</v>
      </c>
      <c r="J183" s="51">
        <v>0.4375</v>
      </c>
      <c r="K183" s="50" t="s">
        <v>21</v>
      </c>
      <c r="L183" s="50" t="s">
        <v>22</v>
      </c>
      <c r="M183" s="50"/>
      <c r="N183" s="50"/>
      <c r="O183" s="50"/>
    </row>
    <row r="184" spans="1:15" s="52" customFormat="1" ht="13.2" hidden="1">
      <c r="A184" s="49">
        <v>1454</v>
      </c>
      <c r="B184" s="50" t="s">
        <v>18</v>
      </c>
      <c r="C184" s="51"/>
      <c r="D184" s="50">
        <v>44849</v>
      </c>
      <c r="E184" s="50" t="str">
        <f t="shared" si="3"/>
        <v>Albatros E5</v>
      </c>
      <c r="F184" s="50" t="s">
        <v>194</v>
      </c>
      <c r="G184" s="50" t="s">
        <v>14</v>
      </c>
      <c r="H184" s="50" t="s">
        <v>67</v>
      </c>
      <c r="I184" s="50" t="str">
        <f t="shared" si="0"/>
        <v>DSO (K) E3 - Albatros E5</v>
      </c>
      <c r="J184" s="51">
        <v>0.4375</v>
      </c>
      <c r="K184" s="50" t="s">
        <v>188</v>
      </c>
      <c r="L184" s="50" t="s">
        <v>254</v>
      </c>
      <c r="M184" s="50"/>
      <c r="N184" s="50"/>
      <c r="O184" s="50"/>
    </row>
    <row r="185" spans="1:15" s="52" customFormat="1" ht="13.2">
      <c r="A185" s="49">
        <v>8898</v>
      </c>
      <c r="B185" s="50" t="s">
        <v>104</v>
      </c>
      <c r="C185" s="51"/>
      <c r="D185" s="50">
        <v>44849</v>
      </c>
      <c r="E185" s="50" t="str">
        <f t="shared" si="3"/>
        <v>Albatros 6</v>
      </c>
      <c r="F185" s="50" t="s">
        <v>214</v>
      </c>
      <c r="G185" s="50" t="s">
        <v>14</v>
      </c>
      <c r="H185" s="50" t="s">
        <v>115</v>
      </c>
      <c r="I185" s="50" t="str">
        <f t="shared" si="0"/>
        <v>Merwede/Multiplaat 5 - Albatros 6</v>
      </c>
      <c r="J185" s="51">
        <v>0.45833333333333331</v>
      </c>
      <c r="K185" s="50" t="s">
        <v>180</v>
      </c>
      <c r="L185" s="50" t="s">
        <v>59</v>
      </c>
      <c r="M185" s="50"/>
      <c r="N185" s="50"/>
      <c r="O185" s="50"/>
    </row>
    <row r="186" spans="1:15" s="52" customFormat="1" ht="13.2" hidden="1">
      <c r="A186" s="49">
        <v>1022</v>
      </c>
      <c r="B186" s="50" t="s">
        <v>23</v>
      </c>
      <c r="C186" s="51"/>
      <c r="D186" s="50">
        <v>44849</v>
      </c>
      <c r="E186" s="50" t="str">
        <f t="shared" si="3"/>
        <v>Albatros F3</v>
      </c>
      <c r="F186" s="50" t="s">
        <v>25</v>
      </c>
      <c r="G186" s="50" t="s">
        <v>14</v>
      </c>
      <c r="H186" s="50" t="s">
        <v>181</v>
      </c>
      <c r="I186" s="50" t="str">
        <f t="shared" si="0"/>
        <v>Albatros F3 - HKC (Ha) F2</v>
      </c>
      <c r="J186" s="51">
        <v>0.45833333333333331</v>
      </c>
      <c r="K186" s="50" t="s">
        <v>30</v>
      </c>
      <c r="L186" s="50" t="s">
        <v>45</v>
      </c>
      <c r="M186" s="50"/>
      <c r="N186" s="50"/>
      <c r="O186" s="50"/>
    </row>
    <row r="187" spans="1:15" s="52" customFormat="1" ht="13.2" hidden="1">
      <c r="A187" s="49">
        <v>6823</v>
      </c>
      <c r="B187" s="50" t="s">
        <v>81</v>
      </c>
      <c r="C187" s="51"/>
      <c r="D187" s="50">
        <v>44849</v>
      </c>
      <c r="E187" s="50" t="str">
        <f t="shared" si="3"/>
        <v>Albatros A2</v>
      </c>
      <c r="F187" s="50" t="s">
        <v>82</v>
      </c>
      <c r="G187" s="50" t="s">
        <v>14</v>
      </c>
      <c r="H187" s="50" t="s">
        <v>255</v>
      </c>
      <c r="I187" s="50" t="str">
        <f t="shared" si="0"/>
        <v>Albatros A2 - Merwede/Multiplaat A1</v>
      </c>
      <c r="J187" s="51">
        <v>0.47916666666666669</v>
      </c>
      <c r="K187" s="50" t="s">
        <v>30</v>
      </c>
      <c r="L187" s="50" t="s">
        <v>31</v>
      </c>
      <c r="M187" s="50"/>
      <c r="N187" s="50"/>
      <c r="O187" s="50"/>
    </row>
    <row r="188" spans="1:15" s="52" customFormat="1" ht="13.2" hidden="1">
      <c r="A188" s="49">
        <v>7326</v>
      </c>
      <c r="B188" s="50" t="s">
        <v>93</v>
      </c>
      <c r="C188" s="51"/>
      <c r="D188" s="50">
        <v>44849</v>
      </c>
      <c r="E188" s="50" t="str">
        <f t="shared" si="3"/>
        <v>Albatros A3</v>
      </c>
      <c r="F188" s="50" t="s">
        <v>207</v>
      </c>
      <c r="G188" s="50" t="s">
        <v>14</v>
      </c>
      <c r="H188" s="50" t="s">
        <v>102</v>
      </c>
      <c r="I188" s="50" t="str">
        <f t="shared" si="0"/>
        <v>Triade A1 - Albatros A3</v>
      </c>
      <c r="J188" s="51">
        <v>0.47916666666666669</v>
      </c>
      <c r="K188" s="50" t="s">
        <v>113</v>
      </c>
      <c r="L188" s="50" t="s">
        <v>114</v>
      </c>
      <c r="M188" s="50"/>
      <c r="N188" s="50"/>
      <c r="O188" s="50"/>
    </row>
    <row r="189" spans="1:15" s="52" customFormat="1" ht="13.2" hidden="1">
      <c r="A189" s="49">
        <v>7721</v>
      </c>
      <c r="B189" s="50" t="s">
        <v>49</v>
      </c>
      <c r="C189" s="51"/>
      <c r="D189" s="50">
        <v>44849</v>
      </c>
      <c r="E189" s="50" t="str">
        <f t="shared" si="3"/>
        <v>Albatros C1</v>
      </c>
      <c r="F189" s="50" t="s">
        <v>256</v>
      </c>
      <c r="G189" s="50" t="s">
        <v>14</v>
      </c>
      <c r="H189" s="50" t="s">
        <v>50</v>
      </c>
      <c r="I189" s="50" t="str">
        <f t="shared" si="0"/>
        <v>ONDO (G) C1 - Albatros C1</v>
      </c>
      <c r="J189" s="51">
        <v>0.47916666666666669</v>
      </c>
      <c r="K189" s="50" t="s">
        <v>257</v>
      </c>
      <c r="L189" s="50" t="s">
        <v>31</v>
      </c>
      <c r="M189" s="50"/>
      <c r="N189" s="50"/>
      <c r="O189" s="50"/>
    </row>
    <row r="190" spans="1:15" s="52" customFormat="1" ht="13.2" hidden="1">
      <c r="A190" s="49">
        <v>6143</v>
      </c>
      <c r="B190" s="50" t="s">
        <v>69</v>
      </c>
      <c r="C190" s="51"/>
      <c r="D190" s="50">
        <v>44849</v>
      </c>
      <c r="E190" s="50" t="str">
        <f t="shared" si="3"/>
        <v>Albatros C3</v>
      </c>
      <c r="F190" s="50" t="s">
        <v>71</v>
      </c>
      <c r="G190" s="50" t="s">
        <v>14</v>
      </c>
      <c r="H190" s="50" t="s">
        <v>191</v>
      </c>
      <c r="I190" s="50" t="str">
        <f t="shared" si="0"/>
        <v>Albatros C3 - GKV/Enomics C2</v>
      </c>
      <c r="J190" s="51">
        <v>0.47916666666666669</v>
      </c>
      <c r="K190" s="50" t="s">
        <v>30</v>
      </c>
      <c r="L190" s="50" t="s">
        <v>34</v>
      </c>
      <c r="M190" s="50"/>
      <c r="N190" s="50"/>
      <c r="O190" s="50"/>
    </row>
    <row r="191" spans="1:15" s="52" customFormat="1" ht="13.2" hidden="1">
      <c r="A191" s="49">
        <v>8183</v>
      </c>
      <c r="B191" s="50" t="s">
        <v>97</v>
      </c>
      <c r="C191" s="51"/>
      <c r="D191" s="50">
        <v>44849</v>
      </c>
      <c r="E191" s="50" t="str">
        <f t="shared" si="3"/>
        <v>Albatros D1</v>
      </c>
      <c r="F191" s="50" t="s">
        <v>99</v>
      </c>
      <c r="G191" s="50" t="s">
        <v>14</v>
      </c>
      <c r="H191" s="50" t="s">
        <v>178</v>
      </c>
      <c r="I191" s="50" t="str">
        <f t="shared" si="0"/>
        <v>Albatros D1 - Nieuwerkerk D1</v>
      </c>
      <c r="J191" s="51">
        <v>0.48958333333333331</v>
      </c>
      <c r="K191" s="50" t="s">
        <v>30</v>
      </c>
      <c r="L191" s="50" t="s">
        <v>107</v>
      </c>
      <c r="M191" s="50"/>
      <c r="N191" s="50"/>
      <c r="O191" s="50"/>
    </row>
    <row r="192" spans="1:15" s="52" customFormat="1" ht="13.2" hidden="1">
      <c r="A192" s="49">
        <v>7423</v>
      </c>
      <c r="B192" s="50" t="s">
        <v>84</v>
      </c>
      <c r="C192" s="51"/>
      <c r="D192" s="50">
        <v>44849</v>
      </c>
      <c r="E192" s="50" t="str">
        <f t="shared" si="3"/>
        <v>Albatros B1</v>
      </c>
      <c r="F192" s="50" t="s">
        <v>258</v>
      </c>
      <c r="G192" s="50" t="s">
        <v>14</v>
      </c>
      <c r="H192" s="50" t="s">
        <v>85</v>
      </c>
      <c r="I192" s="50" t="str">
        <f t="shared" si="0"/>
        <v>KCR B1 - Albatros B1</v>
      </c>
      <c r="J192" s="51">
        <v>0.5</v>
      </c>
      <c r="K192" s="50" t="s">
        <v>26</v>
      </c>
      <c r="L192" s="50" t="s">
        <v>31</v>
      </c>
      <c r="M192" s="50"/>
      <c r="N192" s="50"/>
      <c r="O192" s="50"/>
    </row>
    <row r="193" spans="1:15" s="52" customFormat="1" ht="13.2">
      <c r="A193" s="49">
        <v>8881</v>
      </c>
      <c r="B193" s="50" t="s">
        <v>104</v>
      </c>
      <c r="C193" s="51"/>
      <c r="D193" s="50">
        <v>44849</v>
      </c>
      <c r="E193" s="50" t="str">
        <f t="shared" si="3"/>
        <v>Albatros 9</v>
      </c>
      <c r="F193" s="50" t="s">
        <v>120</v>
      </c>
      <c r="G193" s="50" t="s">
        <v>14</v>
      </c>
      <c r="H193" s="50" t="s">
        <v>209</v>
      </c>
      <c r="I193" s="50" t="str">
        <f t="shared" si="0"/>
        <v>Albatros 9 - DeetosSnel 10</v>
      </c>
      <c r="J193" s="51">
        <v>0.53125</v>
      </c>
      <c r="K193" s="50" t="s">
        <v>30</v>
      </c>
      <c r="L193" s="50" t="s">
        <v>34</v>
      </c>
      <c r="M193" s="50"/>
      <c r="N193" s="50"/>
      <c r="O193" s="50"/>
    </row>
    <row r="194" spans="1:15" s="52" customFormat="1" ht="13.2">
      <c r="A194" s="49">
        <v>4852</v>
      </c>
      <c r="B194" s="50" t="s">
        <v>77</v>
      </c>
      <c r="C194" s="51"/>
      <c r="D194" s="50">
        <v>44849</v>
      </c>
      <c r="E194" s="50" t="str">
        <f t="shared" si="3"/>
        <v>Albatros 4</v>
      </c>
      <c r="F194" s="50" t="s">
        <v>259</v>
      </c>
      <c r="G194" s="50" t="s">
        <v>14</v>
      </c>
      <c r="H194" s="50" t="s">
        <v>88</v>
      </c>
      <c r="I194" s="50" t="str">
        <f t="shared" si="0"/>
        <v>Movado 3 - Albatros 4</v>
      </c>
      <c r="J194" s="51">
        <v>0.54166666666666663</v>
      </c>
      <c r="K194" s="50" t="s">
        <v>72</v>
      </c>
      <c r="L194" s="50" t="s">
        <v>31</v>
      </c>
      <c r="M194" s="50"/>
      <c r="N194" s="50"/>
      <c r="O194" s="50"/>
    </row>
    <row r="195" spans="1:15" s="52" customFormat="1" ht="13.2" hidden="1">
      <c r="A195" s="49">
        <v>6815</v>
      </c>
      <c r="B195" s="50" t="s">
        <v>90</v>
      </c>
      <c r="C195" s="51"/>
      <c r="D195" s="50">
        <v>44849</v>
      </c>
      <c r="E195" s="50" t="str">
        <f t="shared" ref="E195:E222" si="4">IF(K195=K$9,F195,H195)</f>
        <v>Albatros A1</v>
      </c>
      <c r="F195" s="50" t="s">
        <v>91</v>
      </c>
      <c r="G195" s="50" t="s">
        <v>14</v>
      </c>
      <c r="H195" s="50" t="s">
        <v>260</v>
      </c>
      <c r="I195" s="50" t="str">
        <f t="shared" si="0"/>
        <v>Albatros A1 - Fortuna/Delta Logistiek A1</v>
      </c>
      <c r="J195" s="51">
        <v>0.54166666666666663</v>
      </c>
      <c r="K195" s="50" t="s">
        <v>30</v>
      </c>
      <c r="L195" s="50" t="s">
        <v>31</v>
      </c>
      <c r="M195" s="50"/>
      <c r="N195" s="50"/>
      <c r="O195" s="50"/>
    </row>
    <row r="196" spans="1:15" s="52" customFormat="1" ht="13.2" hidden="1">
      <c r="A196" s="49">
        <v>7957</v>
      </c>
      <c r="B196" s="50" t="s">
        <v>93</v>
      </c>
      <c r="C196" s="51"/>
      <c r="D196" s="50">
        <v>44849</v>
      </c>
      <c r="E196" s="50" t="str">
        <f t="shared" si="4"/>
        <v>Albatros A4</v>
      </c>
      <c r="F196" s="50" t="s">
        <v>95</v>
      </c>
      <c r="G196" s="50" t="s">
        <v>14</v>
      </c>
      <c r="H196" s="50" t="s">
        <v>215</v>
      </c>
      <c r="I196" s="50" t="str">
        <f t="shared" si="0"/>
        <v>Albatros A4 - Oranje Wit (D) A3</v>
      </c>
      <c r="J196" s="51">
        <v>0.54166666666666663</v>
      </c>
      <c r="K196" s="50" t="s">
        <v>30</v>
      </c>
      <c r="L196" s="50" t="s">
        <v>107</v>
      </c>
      <c r="M196" s="50"/>
      <c r="N196" s="50"/>
      <c r="O196" s="50"/>
    </row>
    <row r="197" spans="1:15" s="52" customFormat="1" ht="13.2" hidden="1">
      <c r="A197" s="49">
        <v>8091</v>
      </c>
      <c r="B197" s="50" t="s">
        <v>55</v>
      </c>
      <c r="C197" s="51"/>
      <c r="D197" s="50">
        <v>44849</v>
      </c>
      <c r="E197" s="50" t="str">
        <f t="shared" si="4"/>
        <v>Albatros C2</v>
      </c>
      <c r="F197" s="50" t="s">
        <v>190</v>
      </c>
      <c r="G197" s="50" t="s">
        <v>14</v>
      </c>
      <c r="H197" s="50" t="s">
        <v>57</v>
      </c>
      <c r="I197" s="50" t="str">
        <f t="shared" si="0"/>
        <v>Swift (M) C1 - Albatros C2</v>
      </c>
      <c r="J197" s="51">
        <v>0.5625</v>
      </c>
      <c r="K197" s="50" t="s">
        <v>261</v>
      </c>
      <c r="L197" s="50" t="s">
        <v>165</v>
      </c>
      <c r="M197" s="50"/>
      <c r="N197" s="50"/>
      <c r="O197" s="50"/>
    </row>
    <row r="198" spans="1:15" s="52" customFormat="1" ht="13.2">
      <c r="A198" s="49">
        <v>4909</v>
      </c>
      <c r="B198" s="50" t="s">
        <v>108</v>
      </c>
      <c r="C198" s="51"/>
      <c r="D198" s="50">
        <v>44849</v>
      </c>
      <c r="E198" s="50" t="str">
        <f t="shared" si="4"/>
        <v>Albatros 2</v>
      </c>
      <c r="F198" s="50" t="s">
        <v>109</v>
      </c>
      <c r="G198" s="50" t="s">
        <v>14</v>
      </c>
      <c r="H198" s="50" t="s">
        <v>262</v>
      </c>
      <c r="I198" s="50" t="str">
        <f t="shared" si="0"/>
        <v>Albatros 2 - Merwede/Multiplaat 2</v>
      </c>
      <c r="J198" s="51">
        <v>0.60416666666666663</v>
      </c>
      <c r="K198" s="50" t="s">
        <v>30</v>
      </c>
      <c r="L198" s="50" t="s">
        <v>31</v>
      </c>
      <c r="M198" s="50"/>
      <c r="N198" s="50"/>
      <c r="O198" s="50"/>
    </row>
    <row r="199" spans="1:15" s="52" customFormat="1" ht="13.2">
      <c r="A199" s="49">
        <v>4844</v>
      </c>
      <c r="B199" s="50" t="s">
        <v>77</v>
      </c>
      <c r="C199" s="51"/>
      <c r="D199" s="50">
        <v>44849</v>
      </c>
      <c r="E199" s="50" t="str">
        <f t="shared" si="4"/>
        <v>Albatros 5</v>
      </c>
      <c r="F199" s="50" t="s">
        <v>263</v>
      </c>
      <c r="G199" s="50" t="s">
        <v>14</v>
      </c>
      <c r="H199" s="50" t="s">
        <v>79</v>
      </c>
      <c r="I199" s="50" t="str">
        <f t="shared" si="0"/>
        <v>Movado 2 - Albatros 5</v>
      </c>
      <c r="J199" s="51">
        <v>0.60416666666666663</v>
      </c>
      <c r="K199" s="50" t="s">
        <v>72</v>
      </c>
      <c r="L199" s="50" t="s">
        <v>31</v>
      </c>
      <c r="M199" s="50"/>
      <c r="N199" s="50"/>
      <c r="O199" s="50"/>
    </row>
    <row r="200" spans="1:15" s="52" customFormat="1" ht="13.2">
      <c r="A200" s="49">
        <v>8883</v>
      </c>
      <c r="B200" s="50" t="s">
        <v>104</v>
      </c>
      <c r="C200" s="51"/>
      <c r="D200" s="50">
        <v>44849</v>
      </c>
      <c r="E200" s="50" t="str">
        <f t="shared" si="4"/>
        <v>Albatros 7</v>
      </c>
      <c r="F200" s="50" t="s">
        <v>105</v>
      </c>
      <c r="G200" s="50" t="s">
        <v>14</v>
      </c>
      <c r="H200" s="50" t="s">
        <v>202</v>
      </c>
      <c r="I200" s="50" t="str">
        <f t="shared" si="0"/>
        <v>Albatros 7 - Trekvogels 2</v>
      </c>
      <c r="J200" s="51">
        <v>0.60416666666666663</v>
      </c>
      <c r="K200" s="50" t="s">
        <v>30</v>
      </c>
      <c r="L200" s="50" t="s">
        <v>107</v>
      </c>
      <c r="M200" s="50"/>
      <c r="N200" s="50"/>
      <c r="O200" s="50"/>
    </row>
    <row r="201" spans="1:15" s="52" customFormat="1" ht="13.2">
      <c r="A201" s="49">
        <v>1655</v>
      </c>
      <c r="B201" s="50" t="s">
        <v>117</v>
      </c>
      <c r="C201" s="51"/>
      <c r="D201" s="50">
        <v>44849</v>
      </c>
      <c r="E201" s="50" t="str">
        <f t="shared" si="4"/>
        <v>Albatros 1</v>
      </c>
      <c r="F201" s="50" t="s">
        <v>118</v>
      </c>
      <c r="G201" s="50" t="s">
        <v>14</v>
      </c>
      <c r="H201" s="50" t="s">
        <v>264</v>
      </c>
      <c r="I201" s="50" t="str">
        <f t="shared" si="0"/>
        <v>Albatros 1 - Merwede/Multiplaat 1</v>
      </c>
      <c r="J201" s="51">
        <v>0.66666666666666663</v>
      </c>
      <c r="K201" s="50" t="s">
        <v>30</v>
      </c>
      <c r="L201" s="50" t="s">
        <v>31</v>
      </c>
      <c r="M201" s="50"/>
      <c r="N201" s="50"/>
      <c r="O201" s="50"/>
    </row>
    <row r="202" spans="1:15" s="52" customFormat="1" ht="13.2">
      <c r="A202" s="49">
        <v>10049</v>
      </c>
      <c r="B202" s="50" t="s">
        <v>104</v>
      </c>
      <c r="C202" s="51"/>
      <c r="D202" s="50">
        <v>44849</v>
      </c>
      <c r="E202" s="50" t="str">
        <f t="shared" si="4"/>
        <v>Albatros 8</v>
      </c>
      <c r="F202" s="50" t="s">
        <v>112</v>
      </c>
      <c r="G202" s="50" t="s">
        <v>14</v>
      </c>
      <c r="H202" s="50" t="s">
        <v>204</v>
      </c>
      <c r="I202" s="50" t="str">
        <f t="shared" si="0"/>
        <v>Albatros 8 - Korbatjo 3</v>
      </c>
      <c r="J202" s="51">
        <v>0.66666666666666663</v>
      </c>
      <c r="K202" s="50" t="s">
        <v>30</v>
      </c>
      <c r="L202" s="50" t="s">
        <v>107</v>
      </c>
      <c r="M202" s="50"/>
      <c r="N202" s="50"/>
      <c r="O202" s="50"/>
    </row>
    <row r="203" spans="1:15" s="52" customFormat="1" ht="13.2">
      <c r="A203" s="49">
        <v>4427</v>
      </c>
      <c r="B203" s="50" t="s">
        <v>122</v>
      </c>
      <c r="C203" s="51"/>
      <c r="D203" s="50">
        <v>44849</v>
      </c>
      <c r="E203" s="50" t="str">
        <f t="shared" si="4"/>
        <v>Albatros 3</v>
      </c>
      <c r="F203" s="50" t="s">
        <v>123</v>
      </c>
      <c r="G203" s="50" t="s">
        <v>14</v>
      </c>
      <c r="H203" s="50" t="s">
        <v>265</v>
      </c>
      <c r="I203" s="50" t="str">
        <f t="shared" si="0"/>
        <v>Albatros 3 - Sporting Delta 3</v>
      </c>
      <c r="J203" s="51">
        <v>0.72916666666666663</v>
      </c>
      <c r="K203" s="50" t="s">
        <v>30</v>
      </c>
      <c r="L203" s="50" t="s">
        <v>31</v>
      </c>
      <c r="M203" s="50"/>
      <c r="N203" s="50"/>
      <c r="O203" s="50"/>
    </row>
    <row r="204" spans="1:15" s="52" customFormat="1" ht="13.2" hidden="1">
      <c r="A204" s="49">
        <v>8526</v>
      </c>
      <c r="B204" s="50" t="s">
        <v>125</v>
      </c>
      <c r="C204" s="51"/>
      <c r="D204" s="50">
        <v>44853</v>
      </c>
      <c r="E204" s="50" t="str">
        <f t="shared" si="4"/>
        <v>Albatros/Conventus MW1</v>
      </c>
      <c r="F204" s="50" t="s">
        <v>177</v>
      </c>
      <c r="G204" s="50" t="s">
        <v>14</v>
      </c>
      <c r="H204" s="50" t="s">
        <v>127</v>
      </c>
      <c r="I204" s="50" t="str">
        <f t="shared" si="0"/>
        <v>Vriendenschaar (H) MW3 - Albatros/Conventus MW1</v>
      </c>
      <c r="J204" s="51">
        <v>0.83333333333333337</v>
      </c>
      <c r="K204" s="50" t="s">
        <v>89</v>
      </c>
      <c r="L204" s="50" t="s">
        <v>59</v>
      </c>
      <c r="M204" s="50"/>
      <c r="N204" s="50"/>
      <c r="O204" s="50"/>
    </row>
    <row r="205" spans="1:15" s="52" customFormat="1" ht="13.2" hidden="1">
      <c r="A205" s="49">
        <v>7848</v>
      </c>
      <c r="B205" s="50" t="s">
        <v>49</v>
      </c>
      <c r="C205" s="51"/>
      <c r="D205" s="50">
        <v>44856</v>
      </c>
      <c r="E205" s="50" t="str">
        <f t="shared" si="4"/>
        <v>Albatros C1</v>
      </c>
      <c r="F205" s="50" t="s">
        <v>50</v>
      </c>
      <c r="G205" s="50" t="s">
        <v>14</v>
      </c>
      <c r="H205" s="50" t="s">
        <v>266</v>
      </c>
      <c r="I205" s="50" t="str">
        <f t="shared" si="0"/>
        <v>Albatros C1 - KCR C1</v>
      </c>
      <c r="J205" s="51">
        <v>0.41666666666666669</v>
      </c>
      <c r="K205" s="50" t="s">
        <v>30</v>
      </c>
      <c r="L205" s="50" t="s">
        <v>31</v>
      </c>
      <c r="M205" s="50"/>
      <c r="N205" s="50"/>
      <c r="O205" s="50"/>
    </row>
    <row r="206" spans="1:15" s="52" customFormat="1" ht="13.2" hidden="1">
      <c r="A206" s="49">
        <v>7367</v>
      </c>
      <c r="B206" s="50" t="s">
        <v>84</v>
      </c>
      <c r="C206" s="51"/>
      <c r="D206" s="50">
        <v>44856</v>
      </c>
      <c r="E206" s="50" t="str">
        <f t="shared" si="4"/>
        <v>Albatros B1</v>
      </c>
      <c r="F206" s="50" t="s">
        <v>85</v>
      </c>
      <c r="G206" s="50" t="s">
        <v>14</v>
      </c>
      <c r="H206" s="50" t="s">
        <v>267</v>
      </c>
      <c r="I206" s="50" t="str">
        <f t="shared" si="0"/>
        <v>Albatros B1 - Kinderdijk B1</v>
      </c>
      <c r="J206" s="51">
        <v>0.46875</v>
      </c>
      <c r="K206" s="50" t="s">
        <v>30</v>
      </c>
      <c r="L206" s="50" t="s">
        <v>31</v>
      </c>
      <c r="M206" s="50"/>
      <c r="N206" s="50"/>
      <c r="O206" s="50"/>
    </row>
    <row r="207" spans="1:15" s="52" customFormat="1" ht="13.2" hidden="1">
      <c r="A207" s="49">
        <v>7000</v>
      </c>
      <c r="B207" s="50" t="s">
        <v>81</v>
      </c>
      <c r="C207" s="51"/>
      <c r="D207" s="50">
        <v>44856</v>
      </c>
      <c r="E207" s="50" t="str">
        <f t="shared" si="4"/>
        <v>Albatros A2</v>
      </c>
      <c r="F207" s="50" t="s">
        <v>268</v>
      </c>
      <c r="G207" s="50" t="s">
        <v>14</v>
      </c>
      <c r="H207" s="50" t="s">
        <v>82</v>
      </c>
      <c r="I207" s="50" t="str">
        <f t="shared" si="0"/>
        <v>PKC/Vertom A3 - Albatros A2</v>
      </c>
      <c r="J207" s="51">
        <v>0.52083333333333337</v>
      </c>
      <c r="K207" s="50" t="s">
        <v>16</v>
      </c>
      <c r="L207" s="50" t="s">
        <v>31</v>
      </c>
      <c r="M207" s="50"/>
      <c r="N207" s="50"/>
      <c r="O207" s="50"/>
    </row>
    <row r="208" spans="1:15" s="52" customFormat="1" ht="13.2">
      <c r="A208" s="49">
        <v>4437</v>
      </c>
      <c r="B208" s="50" t="s">
        <v>77</v>
      </c>
      <c r="C208" s="51"/>
      <c r="D208" s="50">
        <v>44856</v>
      </c>
      <c r="E208" s="50" t="str">
        <f t="shared" si="4"/>
        <v>Albatros 5</v>
      </c>
      <c r="F208" s="50" t="s">
        <v>79</v>
      </c>
      <c r="G208" s="50" t="s">
        <v>14</v>
      </c>
      <c r="H208" s="50" t="s">
        <v>269</v>
      </c>
      <c r="I208" s="50" t="str">
        <f t="shared" si="0"/>
        <v>Albatros 5 - Twist 4</v>
      </c>
      <c r="J208" s="51">
        <v>0.54166666666666663</v>
      </c>
      <c r="K208" s="50" t="s">
        <v>30</v>
      </c>
      <c r="L208" s="50" t="s">
        <v>31</v>
      </c>
      <c r="M208" s="50"/>
      <c r="N208" s="50"/>
      <c r="O208" s="50"/>
    </row>
    <row r="209" spans="1:29" s="52" customFormat="1" ht="13.2">
      <c r="A209" s="49">
        <v>5062</v>
      </c>
      <c r="B209" s="50" t="s">
        <v>122</v>
      </c>
      <c r="C209" s="51"/>
      <c r="D209" s="50">
        <v>44856</v>
      </c>
      <c r="E209" s="50" t="str">
        <f t="shared" si="4"/>
        <v>Albatros 3</v>
      </c>
      <c r="F209" s="50" t="s">
        <v>270</v>
      </c>
      <c r="G209" s="50" t="s">
        <v>14</v>
      </c>
      <c r="H209" s="50" t="s">
        <v>123</v>
      </c>
      <c r="I209" s="50" t="str">
        <f t="shared" si="0"/>
        <v>PKC/Vertom 4 - Albatros 3</v>
      </c>
      <c r="J209" s="51">
        <v>0.58333333333333337</v>
      </c>
      <c r="K209" s="50" t="s">
        <v>16</v>
      </c>
      <c r="L209" s="50" t="s">
        <v>31</v>
      </c>
      <c r="M209" s="50"/>
      <c r="N209" s="50"/>
      <c r="O209" s="50"/>
    </row>
    <row r="210" spans="1:29" s="52" customFormat="1" ht="13.2">
      <c r="A210" s="49">
        <v>2980</v>
      </c>
      <c r="B210" s="50" t="s">
        <v>108</v>
      </c>
      <c r="C210" s="51"/>
      <c r="D210" s="50">
        <v>44856</v>
      </c>
      <c r="E210" s="50" t="str">
        <f t="shared" si="4"/>
        <v>Albatros 2</v>
      </c>
      <c r="F210" s="50" t="s">
        <v>271</v>
      </c>
      <c r="G210" s="50" t="s">
        <v>14</v>
      </c>
      <c r="H210" s="50" t="s">
        <v>109</v>
      </c>
      <c r="I210" s="50" t="str">
        <f t="shared" si="0"/>
        <v>Rust Roest 2 - Albatros 2</v>
      </c>
      <c r="J210" s="51">
        <v>0.60416666666666663</v>
      </c>
      <c r="K210" s="50" t="s">
        <v>272</v>
      </c>
      <c r="L210" s="50" t="s">
        <v>31</v>
      </c>
      <c r="M210" s="50"/>
      <c r="N210" s="50"/>
      <c r="O210" s="50"/>
    </row>
    <row r="211" spans="1:29" s="52" customFormat="1" ht="13.2">
      <c r="A211" s="49">
        <v>4433</v>
      </c>
      <c r="B211" s="50" t="s">
        <v>77</v>
      </c>
      <c r="C211" s="51"/>
      <c r="D211" s="50">
        <v>44856</v>
      </c>
      <c r="E211" s="50" t="str">
        <f t="shared" si="4"/>
        <v>Albatros 4</v>
      </c>
      <c r="F211" s="50" t="s">
        <v>88</v>
      </c>
      <c r="G211" s="50" t="s">
        <v>14</v>
      </c>
      <c r="H211" s="50" t="s">
        <v>273</v>
      </c>
      <c r="I211" s="50" t="str">
        <f t="shared" si="0"/>
        <v>Albatros 4 - Kinderdijk 3</v>
      </c>
      <c r="J211" s="51">
        <v>0.60416666666666663</v>
      </c>
      <c r="K211" s="50" t="s">
        <v>30</v>
      </c>
      <c r="L211" s="50" t="s">
        <v>31</v>
      </c>
      <c r="M211" s="50"/>
      <c r="N211" s="50"/>
      <c r="O211" s="50"/>
    </row>
    <row r="212" spans="1:29" s="52" customFormat="1" ht="13.2" hidden="1">
      <c r="A212" s="49">
        <v>6550</v>
      </c>
      <c r="B212" s="50" t="s">
        <v>90</v>
      </c>
      <c r="C212" s="51"/>
      <c r="D212" s="50">
        <v>44856</v>
      </c>
      <c r="E212" s="50" t="str">
        <f t="shared" si="4"/>
        <v>Albatros A1</v>
      </c>
      <c r="F212" s="50" t="s">
        <v>274</v>
      </c>
      <c r="G212" s="50" t="s">
        <v>14</v>
      </c>
      <c r="H212" s="50" t="s">
        <v>91</v>
      </c>
      <c r="I212" s="50" t="str">
        <f t="shared" si="0"/>
        <v>TOP/IAA fresh A1 - Albatros A1</v>
      </c>
      <c r="J212" s="51">
        <v>0.64583333333333337</v>
      </c>
      <c r="K212" s="50" t="s">
        <v>275</v>
      </c>
      <c r="L212" s="50" t="s">
        <v>276</v>
      </c>
      <c r="M212" s="50"/>
      <c r="N212" s="50"/>
      <c r="O212" s="50"/>
    </row>
    <row r="213" spans="1:29" s="52" customFormat="1" ht="13.2">
      <c r="A213" s="49">
        <v>1454</v>
      </c>
      <c r="B213" s="50" t="s">
        <v>117</v>
      </c>
      <c r="C213" s="51"/>
      <c r="D213" s="50">
        <v>44856</v>
      </c>
      <c r="E213" s="50" t="str">
        <f t="shared" si="4"/>
        <v>Albatros 1</v>
      </c>
      <c r="F213" s="50" t="s">
        <v>277</v>
      </c>
      <c r="G213" s="50" t="s">
        <v>14</v>
      </c>
      <c r="H213" s="50" t="s">
        <v>118</v>
      </c>
      <c r="I213" s="50" t="str">
        <f t="shared" si="0"/>
        <v>Rust Roest 1 - Albatros 1</v>
      </c>
      <c r="J213" s="51">
        <v>0.66666666666666663</v>
      </c>
      <c r="K213" s="50" t="s">
        <v>272</v>
      </c>
      <c r="L213" s="50" t="s">
        <v>31</v>
      </c>
      <c r="M213" s="50"/>
      <c r="N213" s="50"/>
      <c r="O213" s="50"/>
    </row>
    <row r="214" spans="1:29" s="52" customFormat="1" ht="13.2" hidden="1">
      <c r="A214" s="49">
        <v>7756</v>
      </c>
      <c r="B214" s="50" t="s">
        <v>49</v>
      </c>
      <c r="C214" s="51"/>
      <c r="D214" s="50">
        <v>44863</v>
      </c>
      <c r="E214" s="50" t="str">
        <f t="shared" si="4"/>
        <v>Albatros C1</v>
      </c>
      <c r="F214" s="50" t="s">
        <v>51</v>
      </c>
      <c r="G214" s="50" t="s">
        <v>14</v>
      </c>
      <c r="H214" s="50" t="s">
        <v>50</v>
      </c>
      <c r="I214" s="50" t="str">
        <f t="shared" si="0"/>
        <v>Die Haghe C1 - Albatros C1</v>
      </c>
      <c r="J214" s="51">
        <v>0.41666666666666669</v>
      </c>
      <c r="K214" s="50" t="s">
        <v>244</v>
      </c>
      <c r="L214" s="50" t="s">
        <v>31</v>
      </c>
      <c r="M214" s="50"/>
      <c r="N214" s="50"/>
      <c r="O214" s="50"/>
    </row>
    <row r="215" spans="1:29" s="52" customFormat="1" ht="13.2" hidden="1">
      <c r="A215" s="49">
        <v>7395</v>
      </c>
      <c r="B215" s="50" t="s">
        <v>84</v>
      </c>
      <c r="C215" s="51"/>
      <c r="D215" s="50">
        <v>44863</v>
      </c>
      <c r="E215" s="50" t="str">
        <f t="shared" si="4"/>
        <v>Albatros B1</v>
      </c>
      <c r="F215" s="50" t="s">
        <v>86</v>
      </c>
      <c r="G215" s="50" t="s">
        <v>14</v>
      </c>
      <c r="H215" s="50" t="s">
        <v>85</v>
      </c>
      <c r="I215" s="50" t="str">
        <f t="shared" si="0"/>
        <v>Vriendenschaar (H) B1 - Albatros B1</v>
      </c>
      <c r="J215" s="51">
        <v>0.46875</v>
      </c>
      <c r="K215" s="50" t="s">
        <v>89</v>
      </c>
      <c r="L215" s="50" t="s">
        <v>31</v>
      </c>
      <c r="M215" s="50"/>
      <c r="N215" s="50"/>
      <c r="O215" s="50"/>
    </row>
    <row r="216" spans="1:29" s="52" customFormat="1" ht="13.2">
      <c r="A216" s="49">
        <v>4012</v>
      </c>
      <c r="B216" s="50" t="s">
        <v>122</v>
      </c>
      <c r="C216" s="51"/>
      <c r="D216" s="50">
        <v>44863</v>
      </c>
      <c r="E216" s="50" t="str">
        <f t="shared" si="4"/>
        <v>Albatros 3</v>
      </c>
      <c r="F216" s="50" t="s">
        <v>124</v>
      </c>
      <c r="G216" s="50" t="s">
        <v>14</v>
      </c>
      <c r="H216" s="50" t="s">
        <v>123</v>
      </c>
      <c r="I216" s="50" t="str">
        <f t="shared" si="0"/>
        <v>VEO 4 - Albatros 3</v>
      </c>
      <c r="J216" s="51">
        <v>0.52083333333333337</v>
      </c>
      <c r="K216" s="50" t="s">
        <v>278</v>
      </c>
      <c r="L216" s="50" t="s">
        <v>31</v>
      </c>
      <c r="M216" s="50"/>
      <c r="N216" s="50"/>
      <c r="O216" s="50"/>
    </row>
    <row r="217" spans="1:29" s="52" customFormat="1" ht="13.2" hidden="1">
      <c r="A217" s="49">
        <v>7042</v>
      </c>
      <c r="B217" s="50" t="s">
        <v>81</v>
      </c>
      <c r="C217" s="51"/>
      <c r="D217" s="50">
        <v>44863</v>
      </c>
      <c r="E217" s="50" t="str">
        <f t="shared" si="4"/>
        <v>Albatros A2</v>
      </c>
      <c r="F217" s="50" t="s">
        <v>83</v>
      </c>
      <c r="G217" s="50" t="s">
        <v>14</v>
      </c>
      <c r="H217" s="50" t="s">
        <v>82</v>
      </c>
      <c r="I217" s="50" t="str">
        <f t="shared" si="0"/>
        <v>TOP (A) A1 - Albatros A2</v>
      </c>
      <c r="J217" s="51">
        <v>0.52083333333333337</v>
      </c>
      <c r="K217" s="50" t="s">
        <v>143</v>
      </c>
      <c r="L217" s="50" t="s">
        <v>31</v>
      </c>
      <c r="M217" s="50"/>
      <c r="N217" s="50"/>
      <c r="O217" s="50"/>
    </row>
    <row r="218" spans="1:29" s="52" customFormat="1" ht="13.2">
      <c r="A218" s="49">
        <v>4439</v>
      </c>
      <c r="B218" s="50" t="s">
        <v>77</v>
      </c>
      <c r="C218" s="51"/>
      <c r="D218" s="50">
        <v>44863</v>
      </c>
      <c r="E218" s="50" t="str">
        <f t="shared" si="4"/>
        <v>Albatros 5</v>
      </c>
      <c r="F218" s="50" t="s">
        <v>79</v>
      </c>
      <c r="G218" s="50" t="s">
        <v>14</v>
      </c>
      <c r="H218" s="50" t="s">
        <v>78</v>
      </c>
      <c r="I218" s="50" t="str">
        <f t="shared" si="0"/>
        <v>Albatros 5 - RWA 4</v>
      </c>
      <c r="J218" s="51">
        <v>0.54166666666666663</v>
      </c>
      <c r="K218" s="50" t="s">
        <v>30</v>
      </c>
      <c r="L218" s="50" t="s">
        <v>31</v>
      </c>
      <c r="M218" s="50"/>
      <c r="N218" s="50"/>
      <c r="O218" s="50"/>
    </row>
    <row r="219" spans="1:29" s="52" customFormat="1" ht="13.2" hidden="1">
      <c r="A219" s="49">
        <v>7094</v>
      </c>
      <c r="B219" s="50" t="s">
        <v>90</v>
      </c>
      <c r="C219" s="51"/>
      <c r="D219" s="50">
        <v>44863</v>
      </c>
      <c r="E219" s="50" t="str">
        <f t="shared" si="4"/>
        <v>Albatros A1</v>
      </c>
      <c r="F219" s="50" t="s">
        <v>92</v>
      </c>
      <c r="G219" s="50" t="s">
        <v>14</v>
      </c>
      <c r="H219" s="50" t="s">
        <v>91</v>
      </c>
      <c r="I219" s="50" t="str">
        <f t="shared" si="0"/>
        <v>Nieuwerkerk A1 - Albatros A1</v>
      </c>
      <c r="J219" s="51">
        <v>0.54166666666666663</v>
      </c>
      <c r="K219" s="50" t="s">
        <v>134</v>
      </c>
      <c r="L219" s="50" t="s">
        <v>31</v>
      </c>
      <c r="M219" s="50"/>
      <c r="N219" s="50"/>
      <c r="O219" s="50"/>
    </row>
    <row r="220" spans="1:29" s="52" customFormat="1" ht="13.2">
      <c r="A220" s="49">
        <v>4955</v>
      </c>
      <c r="B220" s="50" t="s">
        <v>108</v>
      </c>
      <c r="C220" s="51"/>
      <c r="D220" s="50">
        <v>44863</v>
      </c>
      <c r="E220" s="50" t="str">
        <f t="shared" si="4"/>
        <v>Albatros 2</v>
      </c>
      <c r="F220" s="50" t="s">
        <v>110</v>
      </c>
      <c r="G220" s="50" t="s">
        <v>14</v>
      </c>
      <c r="H220" s="50" t="s">
        <v>109</v>
      </c>
      <c r="I220" s="50" t="str">
        <f t="shared" si="0"/>
        <v>Kinderdijk 2 - Albatros 2</v>
      </c>
      <c r="J220" s="51">
        <v>0.58333333333333337</v>
      </c>
      <c r="K220" s="50" t="s">
        <v>253</v>
      </c>
      <c r="L220" s="50" t="s">
        <v>165</v>
      </c>
      <c r="M220" s="50"/>
      <c r="N220" s="50"/>
      <c r="O220" s="50"/>
    </row>
    <row r="221" spans="1:29" s="52" customFormat="1" ht="13.2">
      <c r="A221" s="49">
        <v>4434</v>
      </c>
      <c r="B221" s="50" t="s">
        <v>77</v>
      </c>
      <c r="C221" s="51"/>
      <c r="D221" s="50">
        <v>44863</v>
      </c>
      <c r="E221" s="50" t="str">
        <f t="shared" si="4"/>
        <v>Albatros 4</v>
      </c>
      <c r="F221" s="50" t="s">
        <v>88</v>
      </c>
      <c r="G221" s="50" t="s">
        <v>14</v>
      </c>
      <c r="H221" s="50" t="s">
        <v>87</v>
      </c>
      <c r="I221" s="50" t="str">
        <f t="shared" si="0"/>
        <v>Albatros 4 - Vriendenschaar (H) 3</v>
      </c>
      <c r="J221" s="51">
        <v>0.61458333333333337</v>
      </c>
      <c r="K221" s="50" t="s">
        <v>30</v>
      </c>
      <c r="L221" s="50" t="s">
        <v>31</v>
      </c>
      <c r="M221" s="50"/>
      <c r="N221" s="50"/>
      <c r="O221" s="50"/>
    </row>
    <row r="222" spans="1:29" s="52" customFormat="1" ht="13.2">
      <c r="A222" s="49">
        <v>1719</v>
      </c>
      <c r="B222" s="50" t="s">
        <v>117</v>
      </c>
      <c r="C222" s="51"/>
      <c r="D222" s="50">
        <v>44863</v>
      </c>
      <c r="E222" s="50" t="str">
        <f t="shared" si="4"/>
        <v>Albatros 1</v>
      </c>
      <c r="F222" s="50" t="s">
        <v>119</v>
      </c>
      <c r="G222" s="50" t="s">
        <v>14</v>
      </c>
      <c r="H222" s="50" t="s">
        <v>118</v>
      </c>
      <c r="I222" s="50" t="str">
        <f t="shared" si="0"/>
        <v>Kinderdijk 1 - Albatros 1</v>
      </c>
      <c r="J222" s="51">
        <v>0.64583333333333337</v>
      </c>
      <c r="K222" s="50" t="s">
        <v>253</v>
      </c>
      <c r="L222" s="50" t="s">
        <v>165</v>
      </c>
      <c r="M222" s="50"/>
      <c r="N222" s="50"/>
      <c r="O222" s="50"/>
    </row>
    <row r="223" spans="1:29" ht="14.4">
      <c r="A223" s="26"/>
      <c r="B223" s="31"/>
      <c r="C223" s="23"/>
      <c r="D223" s="27"/>
      <c r="E223" s="27"/>
      <c r="F223" s="31"/>
      <c r="G223" s="28"/>
      <c r="H223" s="31"/>
      <c r="I223" s="31"/>
      <c r="J223" s="29"/>
      <c r="K223" s="31"/>
      <c r="L223" s="31"/>
      <c r="M223" s="31"/>
      <c r="N223" s="31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</row>
    <row r="224" spans="1:29" ht="14.4">
      <c r="A224" s="26"/>
      <c r="B224" s="31"/>
      <c r="C224" s="23"/>
      <c r="D224" s="27"/>
      <c r="E224" s="27"/>
      <c r="F224" s="31"/>
      <c r="G224" s="28"/>
      <c r="H224" s="31"/>
      <c r="I224" s="31"/>
      <c r="J224" s="29"/>
      <c r="K224" s="31"/>
      <c r="L224" s="31"/>
      <c r="M224" s="31"/>
      <c r="N224" s="31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</row>
    <row r="225" spans="1:29" ht="14.4">
      <c r="A225" s="26"/>
      <c r="B225" s="31"/>
      <c r="C225" s="23"/>
      <c r="D225" s="27"/>
      <c r="E225" s="27"/>
      <c r="F225" s="31"/>
      <c r="G225" s="28"/>
      <c r="H225" s="31"/>
      <c r="I225" s="31"/>
      <c r="J225" s="29"/>
      <c r="K225" s="31"/>
      <c r="L225" s="31"/>
      <c r="M225" s="31"/>
      <c r="N225" s="31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</row>
    <row r="226" spans="1:29" ht="14.4">
      <c r="A226" s="26"/>
      <c r="B226" s="31"/>
      <c r="C226" s="23"/>
      <c r="D226" s="27"/>
      <c r="E226" s="27"/>
      <c r="F226" s="31"/>
      <c r="G226" s="28"/>
      <c r="H226" s="31"/>
      <c r="I226" s="31"/>
      <c r="J226" s="29"/>
      <c r="K226" s="31"/>
      <c r="L226" s="31"/>
      <c r="M226" s="31"/>
      <c r="N226" s="31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</row>
    <row r="227" spans="1:29" ht="14.4">
      <c r="A227" s="26"/>
      <c r="B227" s="31"/>
      <c r="C227" s="23"/>
      <c r="D227" s="27"/>
      <c r="E227" s="27"/>
      <c r="F227" s="31"/>
      <c r="G227" s="28"/>
      <c r="H227" s="31"/>
      <c r="I227" s="31"/>
      <c r="J227" s="29"/>
      <c r="K227" s="31"/>
      <c r="L227" s="31"/>
      <c r="M227" s="31"/>
      <c r="N227" s="31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</row>
    <row r="228" spans="1:29" ht="14.4">
      <c r="A228" s="26"/>
      <c r="B228" s="31"/>
      <c r="C228" s="23"/>
      <c r="D228" s="27"/>
      <c r="E228" s="27"/>
      <c r="F228" s="31"/>
      <c r="G228" s="28"/>
      <c r="H228" s="31"/>
      <c r="I228" s="31"/>
      <c r="J228" s="29"/>
      <c r="K228" s="31"/>
      <c r="L228" s="31"/>
      <c r="M228" s="31"/>
      <c r="N228" s="31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</row>
    <row r="229" spans="1:29" ht="14.4">
      <c r="A229" s="26"/>
      <c r="B229" s="31"/>
      <c r="C229" s="23"/>
      <c r="D229" s="27"/>
      <c r="E229" s="27"/>
      <c r="F229" s="31"/>
      <c r="G229" s="28"/>
      <c r="H229" s="31"/>
      <c r="I229" s="31"/>
      <c r="J229" s="29"/>
      <c r="K229" s="31"/>
      <c r="L229" s="31"/>
      <c r="M229" s="31"/>
      <c r="N229" s="31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</row>
    <row r="230" spans="1:29" ht="14.4">
      <c r="A230" s="26"/>
      <c r="B230" s="31"/>
      <c r="C230" s="23"/>
      <c r="D230" s="27"/>
      <c r="E230" s="27"/>
      <c r="F230" s="31"/>
      <c r="G230" s="28"/>
      <c r="H230" s="31"/>
      <c r="I230" s="31"/>
      <c r="J230" s="29"/>
      <c r="K230" s="31"/>
      <c r="L230" s="31"/>
      <c r="M230" s="31"/>
      <c r="N230" s="31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</row>
    <row r="231" spans="1:29" ht="14.4">
      <c r="A231" s="26"/>
      <c r="B231" s="31"/>
      <c r="C231" s="23"/>
      <c r="D231" s="27"/>
      <c r="E231" s="27"/>
      <c r="F231" s="31"/>
      <c r="G231" s="28"/>
      <c r="H231" s="31"/>
      <c r="I231" s="31"/>
      <c r="J231" s="29"/>
      <c r="K231" s="31"/>
      <c r="L231" s="31"/>
      <c r="M231" s="31"/>
      <c r="N231" s="31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</row>
    <row r="232" spans="1:29" ht="14.4">
      <c r="A232" s="26"/>
      <c r="B232" s="31"/>
      <c r="C232" s="23"/>
      <c r="D232" s="27"/>
      <c r="E232" s="27"/>
      <c r="F232" s="31"/>
      <c r="G232" s="28"/>
      <c r="H232" s="31"/>
      <c r="I232" s="31"/>
      <c r="J232" s="29"/>
      <c r="K232" s="31"/>
      <c r="L232" s="31"/>
      <c r="M232" s="31"/>
      <c r="N232" s="31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</row>
    <row r="233" spans="1:29" ht="14.4">
      <c r="A233" s="26"/>
      <c r="B233" s="31"/>
      <c r="C233" s="23"/>
      <c r="D233" s="27"/>
      <c r="E233" s="27"/>
      <c r="F233" s="31"/>
      <c r="G233" s="28"/>
      <c r="H233" s="31"/>
      <c r="I233" s="31"/>
      <c r="J233" s="29"/>
      <c r="K233" s="31"/>
      <c r="L233" s="31"/>
      <c r="M233" s="31"/>
      <c r="N233" s="31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</row>
    <row r="234" spans="1:29" ht="14.4">
      <c r="A234" s="26"/>
      <c r="B234" s="31"/>
      <c r="C234" s="23"/>
      <c r="D234" s="27"/>
      <c r="E234" s="27"/>
      <c r="F234" s="31"/>
      <c r="G234" s="28"/>
      <c r="H234" s="31"/>
      <c r="I234" s="31"/>
      <c r="J234" s="29"/>
      <c r="K234" s="31"/>
      <c r="L234" s="31"/>
      <c r="M234" s="31"/>
      <c r="N234" s="31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</row>
    <row r="235" spans="1:29" ht="14.4">
      <c r="A235" s="26"/>
      <c r="B235" s="31"/>
      <c r="C235" s="23"/>
      <c r="D235" s="27"/>
      <c r="E235" s="27"/>
      <c r="F235" s="31"/>
      <c r="G235" s="28"/>
      <c r="H235" s="31"/>
      <c r="I235" s="31"/>
      <c r="J235" s="29"/>
      <c r="K235" s="31"/>
      <c r="L235" s="31"/>
      <c r="M235" s="31"/>
      <c r="N235" s="31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</row>
    <row r="236" spans="1:29" ht="14.4">
      <c r="A236" s="26"/>
      <c r="B236" s="31"/>
      <c r="C236" s="23"/>
      <c r="D236" s="27"/>
      <c r="E236" s="27"/>
      <c r="F236" s="31"/>
      <c r="G236" s="28"/>
      <c r="H236" s="31"/>
      <c r="I236" s="31"/>
      <c r="J236" s="29"/>
      <c r="K236" s="31"/>
      <c r="L236" s="31"/>
      <c r="M236" s="31"/>
      <c r="N236" s="31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</row>
    <row r="237" spans="1:29" ht="14.4">
      <c r="A237" s="26"/>
      <c r="B237" s="31"/>
      <c r="C237" s="23"/>
      <c r="D237" s="27"/>
      <c r="E237" s="27"/>
      <c r="F237" s="31"/>
      <c r="G237" s="28"/>
      <c r="H237" s="31"/>
      <c r="I237" s="31"/>
      <c r="J237" s="29"/>
      <c r="K237" s="31"/>
      <c r="L237" s="31"/>
      <c r="M237" s="31"/>
      <c r="N237" s="31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</row>
    <row r="238" spans="1:29" ht="14.4">
      <c r="A238" s="26"/>
      <c r="B238" s="31"/>
      <c r="C238" s="23"/>
      <c r="D238" s="27"/>
      <c r="E238" s="27"/>
      <c r="F238" s="31"/>
      <c r="G238" s="28"/>
      <c r="H238" s="31"/>
      <c r="I238" s="31"/>
      <c r="J238" s="29"/>
      <c r="K238" s="31"/>
      <c r="L238" s="31"/>
      <c r="M238" s="31"/>
      <c r="N238" s="31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</row>
    <row r="239" spans="1:29" ht="14.4">
      <c r="A239" s="26"/>
      <c r="B239" s="31"/>
      <c r="C239" s="23"/>
      <c r="D239" s="27"/>
      <c r="E239" s="27"/>
      <c r="F239" s="31"/>
      <c r="G239" s="28"/>
      <c r="H239" s="31"/>
      <c r="I239" s="31"/>
      <c r="J239" s="29"/>
      <c r="K239" s="31"/>
      <c r="L239" s="31"/>
      <c r="M239" s="31"/>
      <c r="N239" s="31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</row>
    <row r="240" spans="1:29" ht="14.4">
      <c r="A240" s="26"/>
      <c r="B240" s="31"/>
      <c r="C240" s="23"/>
      <c r="D240" s="27"/>
      <c r="E240" s="27"/>
      <c r="F240" s="31"/>
      <c r="G240" s="28"/>
      <c r="H240" s="31"/>
      <c r="I240" s="31"/>
      <c r="J240" s="29"/>
      <c r="K240" s="31"/>
      <c r="L240" s="31"/>
      <c r="M240" s="31"/>
      <c r="N240" s="31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</row>
    <row r="241" spans="1:29" ht="14.4">
      <c r="A241" s="26"/>
      <c r="B241" s="31"/>
      <c r="C241" s="23"/>
      <c r="D241" s="27"/>
      <c r="E241" s="27"/>
      <c r="F241" s="31"/>
      <c r="G241" s="28"/>
      <c r="H241" s="31"/>
      <c r="I241" s="31"/>
      <c r="J241" s="29"/>
      <c r="K241" s="31"/>
      <c r="L241" s="31"/>
      <c r="M241" s="31"/>
      <c r="N241" s="31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</row>
    <row r="242" spans="1:29" ht="14.4">
      <c r="A242" s="26"/>
      <c r="B242" s="31"/>
      <c r="C242" s="23"/>
      <c r="D242" s="27"/>
      <c r="E242" s="27"/>
      <c r="F242" s="31"/>
      <c r="G242" s="28"/>
      <c r="H242" s="31"/>
      <c r="I242" s="31"/>
      <c r="J242" s="29"/>
      <c r="K242" s="31"/>
      <c r="L242" s="31"/>
      <c r="M242" s="31"/>
      <c r="N242" s="31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</row>
    <row r="243" spans="1:29" ht="14.4">
      <c r="A243" s="26"/>
      <c r="B243" s="31"/>
      <c r="C243" s="23"/>
      <c r="D243" s="27"/>
      <c r="E243" s="27"/>
      <c r="F243" s="31"/>
      <c r="G243" s="28"/>
      <c r="H243" s="31"/>
      <c r="I243" s="31"/>
      <c r="J243" s="29"/>
      <c r="K243" s="31"/>
      <c r="L243" s="31"/>
      <c r="M243" s="31"/>
      <c r="N243" s="31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</row>
    <row r="244" spans="1:29" ht="14.4">
      <c r="A244" s="26"/>
      <c r="B244" s="31"/>
      <c r="C244" s="23"/>
      <c r="D244" s="27"/>
      <c r="E244" s="27"/>
      <c r="F244" s="31"/>
      <c r="G244" s="28"/>
      <c r="H244" s="31"/>
      <c r="I244" s="31"/>
      <c r="J244" s="29"/>
      <c r="K244" s="31"/>
      <c r="L244" s="31"/>
      <c r="M244" s="31"/>
      <c r="N244" s="31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</row>
    <row r="245" spans="1:29" ht="14.4">
      <c r="A245" s="26"/>
      <c r="B245" s="31"/>
      <c r="C245" s="23"/>
      <c r="D245" s="27"/>
      <c r="E245" s="27"/>
      <c r="F245" s="31"/>
      <c r="G245" s="28"/>
      <c r="H245" s="31"/>
      <c r="I245" s="31"/>
      <c r="J245" s="29"/>
      <c r="K245" s="31"/>
      <c r="L245" s="31"/>
      <c r="M245" s="31"/>
      <c r="N245" s="31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</row>
    <row r="246" spans="1:29" ht="14.4">
      <c r="A246" s="26"/>
      <c r="B246" s="31"/>
      <c r="C246" s="23"/>
      <c r="D246" s="27"/>
      <c r="E246" s="27"/>
      <c r="F246" s="31"/>
      <c r="G246" s="28"/>
      <c r="H246" s="31"/>
      <c r="I246" s="31"/>
      <c r="J246" s="29"/>
      <c r="K246" s="31"/>
      <c r="L246" s="31"/>
      <c r="M246" s="31"/>
      <c r="N246" s="31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</row>
    <row r="247" spans="1:29" ht="14.4">
      <c r="A247" s="26"/>
      <c r="B247" s="31"/>
      <c r="C247" s="23"/>
      <c r="D247" s="27"/>
      <c r="E247" s="27"/>
      <c r="F247" s="31"/>
      <c r="G247" s="28"/>
      <c r="H247" s="31"/>
      <c r="I247" s="31"/>
      <c r="J247" s="29"/>
      <c r="K247" s="31"/>
      <c r="L247" s="31"/>
      <c r="M247" s="31"/>
      <c r="N247" s="31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</row>
    <row r="248" spans="1:29" ht="14.4">
      <c r="A248" s="26"/>
      <c r="B248" s="31"/>
      <c r="C248" s="23"/>
      <c r="D248" s="27"/>
      <c r="E248" s="27"/>
      <c r="F248" s="31"/>
      <c r="G248" s="28"/>
      <c r="H248" s="31"/>
      <c r="I248" s="31"/>
      <c r="J248" s="29"/>
      <c r="K248" s="31"/>
      <c r="L248" s="31"/>
      <c r="M248" s="31"/>
      <c r="N248" s="31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</row>
    <row r="249" spans="1:29" ht="14.4">
      <c r="A249" s="26"/>
      <c r="B249" s="31"/>
      <c r="C249" s="23"/>
      <c r="D249" s="27"/>
      <c r="E249" s="27"/>
      <c r="F249" s="31"/>
      <c r="G249" s="28"/>
      <c r="H249" s="31"/>
      <c r="I249" s="31"/>
      <c r="J249" s="29"/>
      <c r="K249" s="31"/>
      <c r="L249" s="31"/>
      <c r="M249" s="31"/>
      <c r="N249" s="31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</row>
    <row r="250" spans="1:29" ht="14.4">
      <c r="A250" s="26"/>
      <c r="B250" s="31"/>
      <c r="C250" s="23"/>
      <c r="D250" s="27"/>
      <c r="E250" s="27"/>
      <c r="F250" s="31"/>
      <c r="G250" s="28"/>
      <c r="H250" s="31"/>
      <c r="I250" s="31"/>
      <c r="J250" s="29"/>
      <c r="K250" s="31"/>
      <c r="L250" s="31"/>
      <c r="M250" s="31"/>
      <c r="N250" s="31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</row>
    <row r="251" spans="1:29" ht="14.4">
      <c r="A251" s="26"/>
      <c r="B251" s="31"/>
      <c r="C251" s="23"/>
      <c r="D251" s="27"/>
      <c r="E251" s="27"/>
      <c r="F251" s="31"/>
      <c r="G251" s="28"/>
      <c r="H251" s="31"/>
      <c r="I251" s="31"/>
      <c r="J251" s="29"/>
      <c r="K251" s="31"/>
      <c r="L251" s="31"/>
      <c r="M251" s="31"/>
      <c r="N251" s="31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</row>
    <row r="252" spans="1:29" ht="14.4">
      <c r="A252" s="26"/>
      <c r="B252" s="31"/>
      <c r="C252" s="23"/>
      <c r="D252" s="27"/>
      <c r="E252" s="27"/>
      <c r="F252" s="31"/>
      <c r="G252" s="28"/>
      <c r="H252" s="31"/>
      <c r="I252" s="31"/>
      <c r="J252" s="29"/>
      <c r="K252" s="31"/>
      <c r="L252" s="31"/>
      <c r="M252" s="31"/>
      <c r="N252" s="31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</row>
    <row r="253" spans="1:29" ht="14.4">
      <c r="A253" s="26"/>
      <c r="B253" s="31"/>
      <c r="C253" s="23"/>
      <c r="D253" s="27"/>
      <c r="E253" s="27"/>
      <c r="F253" s="31"/>
      <c r="G253" s="28"/>
      <c r="H253" s="31"/>
      <c r="I253" s="31"/>
      <c r="J253" s="29"/>
      <c r="K253" s="31"/>
      <c r="L253" s="31"/>
      <c r="M253" s="31"/>
      <c r="N253" s="31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</row>
    <row r="254" spans="1:29" ht="14.4">
      <c r="A254" s="26"/>
      <c r="B254" s="31"/>
      <c r="C254" s="23"/>
      <c r="D254" s="27"/>
      <c r="E254" s="27"/>
      <c r="F254" s="31"/>
      <c r="G254" s="28"/>
      <c r="H254" s="31"/>
      <c r="I254" s="31"/>
      <c r="J254" s="29"/>
      <c r="K254" s="31"/>
      <c r="L254" s="30"/>
      <c r="M254" s="31"/>
      <c r="N254" s="31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</row>
    <row r="255" spans="1:29" ht="14.4">
      <c r="A255" s="26"/>
      <c r="B255" s="31"/>
      <c r="C255" s="23"/>
      <c r="D255" s="27"/>
      <c r="E255" s="27"/>
      <c r="F255" s="31"/>
      <c r="G255" s="28"/>
      <c r="H255" s="31"/>
      <c r="I255" s="31"/>
      <c r="J255" s="29"/>
      <c r="K255" s="31"/>
      <c r="L255" s="31"/>
      <c r="M255" s="31"/>
      <c r="N255" s="31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</row>
    <row r="256" spans="1:29" ht="14.4">
      <c r="A256" s="26"/>
      <c r="B256" s="31"/>
      <c r="C256" s="23"/>
      <c r="D256" s="27"/>
      <c r="E256" s="27"/>
      <c r="F256" s="31"/>
      <c r="G256" s="28"/>
      <c r="H256" s="31"/>
      <c r="I256" s="31"/>
      <c r="J256" s="29"/>
      <c r="K256" s="31"/>
      <c r="L256" s="31"/>
      <c r="M256" s="31"/>
      <c r="N256" s="31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</row>
    <row r="257" spans="1:29" ht="14.4">
      <c r="A257" s="26"/>
      <c r="B257" s="31"/>
      <c r="C257" s="23"/>
      <c r="D257" s="27"/>
      <c r="E257" s="27"/>
      <c r="F257" s="31"/>
      <c r="G257" s="28"/>
      <c r="H257" s="31"/>
      <c r="I257" s="31"/>
      <c r="J257" s="29"/>
      <c r="K257" s="31"/>
      <c r="L257" s="31"/>
      <c r="M257" s="31"/>
      <c r="N257" s="31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</row>
    <row r="258" spans="1:29" ht="14.4">
      <c r="A258" s="26"/>
      <c r="B258" s="31"/>
      <c r="C258" s="23"/>
      <c r="D258" s="27"/>
      <c r="E258" s="27"/>
      <c r="F258" s="31"/>
      <c r="G258" s="28"/>
      <c r="H258" s="31"/>
      <c r="I258" s="31"/>
      <c r="J258" s="29"/>
      <c r="K258" s="31"/>
      <c r="L258" s="31"/>
      <c r="M258" s="31"/>
      <c r="N258" s="31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</row>
    <row r="259" spans="1:29" ht="14.4">
      <c r="A259" s="26"/>
      <c r="B259" s="31"/>
      <c r="C259" s="23"/>
      <c r="D259" s="27"/>
      <c r="E259" s="27"/>
      <c r="F259" s="31"/>
      <c r="G259" s="28"/>
      <c r="H259" s="31"/>
      <c r="I259" s="31"/>
      <c r="J259" s="29"/>
      <c r="K259" s="31"/>
      <c r="L259" s="31"/>
      <c r="M259" s="31"/>
      <c r="N259" s="31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</row>
    <row r="260" spans="1:29" ht="14.4">
      <c r="A260" s="26"/>
      <c r="B260" s="31"/>
      <c r="C260" s="23"/>
      <c r="D260" s="27"/>
      <c r="E260" s="27"/>
      <c r="F260" s="31"/>
      <c r="G260" s="28"/>
      <c r="H260" s="31"/>
      <c r="I260" s="31"/>
      <c r="J260" s="29"/>
      <c r="K260" s="31"/>
      <c r="L260" s="31"/>
      <c r="M260" s="31"/>
      <c r="N260" s="31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</row>
    <row r="261" spans="1:29" ht="14.4">
      <c r="A261" s="26"/>
      <c r="B261" s="31"/>
      <c r="C261" s="23"/>
      <c r="D261" s="27"/>
      <c r="E261" s="27"/>
      <c r="F261" s="31"/>
      <c r="G261" s="28"/>
      <c r="H261" s="31"/>
      <c r="I261" s="31"/>
      <c r="J261" s="29"/>
      <c r="K261" s="31"/>
      <c r="L261" s="31"/>
      <c r="M261" s="31"/>
      <c r="N261" s="31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</row>
    <row r="262" spans="1:29" ht="14.4">
      <c r="A262" s="26"/>
      <c r="B262" s="31"/>
      <c r="C262" s="23"/>
      <c r="D262" s="27"/>
      <c r="E262" s="27"/>
      <c r="F262" s="31"/>
      <c r="G262" s="28"/>
      <c r="H262" s="31"/>
      <c r="I262" s="31"/>
      <c r="J262" s="29"/>
      <c r="K262" s="31"/>
      <c r="L262" s="31"/>
      <c r="M262" s="31"/>
      <c r="N262" s="31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</row>
    <row r="263" spans="1:29" ht="14.4">
      <c r="A263" s="26"/>
      <c r="B263" s="31"/>
      <c r="C263" s="23"/>
      <c r="D263" s="27"/>
      <c r="E263" s="27"/>
      <c r="F263" s="31"/>
      <c r="G263" s="28"/>
      <c r="H263" s="31"/>
      <c r="I263" s="31"/>
      <c r="J263" s="29"/>
      <c r="K263" s="31"/>
      <c r="L263" s="31"/>
      <c r="M263" s="31"/>
      <c r="N263" s="31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</row>
    <row r="264" spans="1:29" ht="14.4">
      <c r="A264" s="26"/>
      <c r="B264" s="31"/>
      <c r="C264" s="23"/>
      <c r="D264" s="27"/>
      <c r="E264" s="27"/>
      <c r="F264" s="31"/>
      <c r="G264" s="28"/>
      <c r="H264" s="31"/>
      <c r="I264" s="31"/>
      <c r="J264" s="29"/>
      <c r="K264" s="31"/>
      <c r="L264" s="31"/>
      <c r="M264" s="31"/>
      <c r="N264" s="31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</row>
    <row r="265" spans="1:29" ht="14.4">
      <c r="A265" s="26"/>
      <c r="B265" s="31"/>
      <c r="C265" s="23"/>
      <c r="D265" s="27"/>
      <c r="E265" s="27"/>
      <c r="F265" s="31"/>
      <c r="G265" s="28"/>
      <c r="H265" s="31"/>
      <c r="I265" s="31"/>
      <c r="J265" s="29"/>
      <c r="K265" s="31"/>
      <c r="L265" s="31"/>
      <c r="M265" s="31"/>
      <c r="N265" s="31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</row>
    <row r="266" spans="1:29" ht="14.4">
      <c r="A266" s="26"/>
      <c r="B266" s="31"/>
      <c r="C266" s="23"/>
      <c r="D266" s="27"/>
      <c r="E266" s="27"/>
      <c r="F266" s="31"/>
      <c r="G266" s="28"/>
      <c r="H266" s="31"/>
      <c r="I266" s="31"/>
      <c r="J266" s="29"/>
      <c r="K266" s="31"/>
      <c r="L266" s="31"/>
      <c r="M266" s="31"/>
      <c r="N266" s="31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</row>
    <row r="267" spans="1:29" ht="14.4">
      <c r="A267" s="26"/>
      <c r="B267" s="31"/>
      <c r="C267" s="23"/>
      <c r="D267" s="27"/>
      <c r="E267" s="27"/>
      <c r="F267" s="31"/>
      <c r="G267" s="28"/>
      <c r="H267" s="31"/>
      <c r="I267" s="31"/>
      <c r="J267" s="29"/>
      <c r="K267" s="31"/>
      <c r="L267" s="31"/>
      <c r="M267" s="31"/>
      <c r="N267" s="31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</row>
    <row r="268" spans="1:29" ht="14.4">
      <c r="A268" s="26"/>
      <c r="B268" s="31"/>
      <c r="C268" s="23"/>
      <c r="D268" s="27"/>
      <c r="E268" s="27"/>
      <c r="F268" s="31"/>
      <c r="G268" s="28"/>
      <c r="H268" s="31"/>
      <c r="I268" s="31"/>
      <c r="J268" s="29"/>
      <c r="K268" s="31"/>
      <c r="L268" s="31"/>
      <c r="M268" s="31"/>
      <c r="N268" s="31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</row>
    <row r="269" spans="1:29" ht="14.4">
      <c r="A269" s="26"/>
      <c r="B269" s="31"/>
      <c r="C269" s="23"/>
      <c r="D269" s="27"/>
      <c r="E269" s="27"/>
      <c r="F269" s="31"/>
      <c r="G269" s="28"/>
      <c r="H269" s="31"/>
      <c r="I269" s="31"/>
      <c r="J269" s="29"/>
      <c r="K269" s="31"/>
      <c r="L269" s="31"/>
      <c r="M269" s="31"/>
      <c r="N269" s="31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</row>
    <row r="270" spans="1:29" ht="14.4">
      <c r="A270" s="26"/>
      <c r="B270" s="31"/>
      <c r="C270" s="23"/>
      <c r="D270" s="27"/>
      <c r="E270" s="27"/>
      <c r="F270" s="31"/>
      <c r="G270" s="28"/>
      <c r="H270" s="31"/>
      <c r="I270" s="31"/>
      <c r="J270" s="29"/>
      <c r="K270" s="31"/>
      <c r="L270" s="31"/>
      <c r="M270" s="31"/>
      <c r="N270" s="31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</row>
    <row r="271" spans="1:29" ht="14.4">
      <c r="A271" s="26"/>
      <c r="B271" s="31"/>
      <c r="C271" s="23"/>
      <c r="D271" s="27"/>
      <c r="E271" s="27"/>
      <c r="F271" s="31"/>
      <c r="G271" s="28"/>
      <c r="H271" s="31"/>
      <c r="I271" s="31"/>
      <c r="J271" s="29"/>
      <c r="K271" s="31"/>
      <c r="L271" s="31"/>
      <c r="M271" s="31"/>
      <c r="N271" s="31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</row>
    <row r="272" spans="1:29" ht="14.4">
      <c r="A272" s="26"/>
      <c r="B272" s="31"/>
      <c r="C272" s="23"/>
      <c r="D272" s="27"/>
      <c r="E272" s="27"/>
      <c r="F272" s="31"/>
      <c r="G272" s="28"/>
      <c r="H272" s="31"/>
      <c r="I272" s="31" t="str">
        <f t="shared" ref="I272:I281" si="5">CONCATENATE(F272," - ",H272)</f>
        <v xml:space="preserve"> - </v>
      </c>
      <c r="J272" s="29"/>
      <c r="K272" s="31"/>
      <c r="L272" s="31"/>
      <c r="M272" s="31"/>
      <c r="N272" s="31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</row>
    <row r="273" spans="1:29" ht="14.4">
      <c r="A273" s="26"/>
      <c r="B273" s="31"/>
      <c r="C273" s="23"/>
      <c r="D273" s="27"/>
      <c r="E273" s="27"/>
      <c r="F273" s="31"/>
      <c r="G273" s="28"/>
      <c r="H273" s="31"/>
      <c r="I273" s="31" t="str">
        <f t="shared" si="5"/>
        <v xml:space="preserve"> - </v>
      </c>
      <c r="J273" s="29"/>
      <c r="K273" s="31"/>
      <c r="L273" s="31"/>
      <c r="M273" s="31"/>
      <c r="N273" s="31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</row>
    <row r="274" spans="1:29" ht="14.4">
      <c r="A274" s="26"/>
      <c r="B274" s="31"/>
      <c r="C274" s="23"/>
      <c r="D274" s="27"/>
      <c r="E274" s="27"/>
      <c r="F274" s="31"/>
      <c r="G274" s="28"/>
      <c r="H274" s="31"/>
      <c r="I274" s="31" t="str">
        <f t="shared" si="5"/>
        <v xml:space="preserve"> - </v>
      </c>
      <c r="J274" s="29"/>
      <c r="K274" s="31"/>
      <c r="L274" s="31"/>
      <c r="M274" s="31"/>
      <c r="N274" s="31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</row>
    <row r="275" spans="1:29" ht="14.4">
      <c r="A275" s="26"/>
      <c r="B275" s="31"/>
      <c r="C275" s="23"/>
      <c r="D275" s="27"/>
      <c r="E275" s="27"/>
      <c r="F275" s="31"/>
      <c r="G275" s="28"/>
      <c r="H275" s="31"/>
      <c r="I275" s="31" t="str">
        <f t="shared" si="5"/>
        <v xml:space="preserve"> - </v>
      </c>
      <c r="J275" s="29"/>
      <c r="K275" s="31"/>
      <c r="L275" s="31"/>
      <c r="M275" s="31"/>
      <c r="N275" s="31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</row>
    <row r="276" spans="1:29" ht="14.4">
      <c r="A276" s="26"/>
      <c r="B276" s="31"/>
      <c r="C276" s="23"/>
      <c r="D276" s="27"/>
      <c r="E276" s="27"/>
      <c r="F276" s="31"/>
      <c r="G276" s="28"/>
      <c r="H276" s="31"/>
      <c r="I276" s="31" t="str">
        <f t="shared" si="5"/>
        <v xml:space="preserve"> - </v>
      </c>
      <c r="J276" s="29"/>
      <c r="K276" s="31"/>
      <c r="L276" s="31"/>
      <c r="M276" s="31"/>
      <c r="N276" s="31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</row>
    <row r="277" spans="1:29" ht="14.4">
      <c r="A277" s="26"/>
      <c r="B277" s="31"/>
      <c r="C277" s="23"/>
      <c r="D277" s="27"/>
      <c r="E277" s="27"/>
      <c r="F277" s="31"/>
      <c r="G277" s="28"/>
      <c r="H277" s="31"/>
      <c r="I277" s="31" t="str">
        <f t="shared" si="5"/>
        <v xml:space="preserve"> - </v>
      </c>
      <c r="J277" s="29"/>
      <c r="K277" s="31"/>
      <c r="L277" s="31"/>
      <c r="M277" s="31"/>
      <c r="N277" s="31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</row>
    <row r="278" spans="1:29" ht="14.4">
      <c r="A278" s="26"/>
      <c r="B278" s="31"/>
      <c r="C278" s="23"/>
      <c r="D278" s="27"/>
      <c r="E278" s="27"/>
      <c r="F278" s="31"/>
      <c r="G278" s="28"/>
      <c r="H278" s="31"/>
      <c r="I278" s="31" t="str">
        <f t="shared" si="5"/>
        <v xml:space="preserve"> - </v>
      </c>
      <c r="J278" s="29"/>
      <c r="K278" s="31"/>
      <c r="L278" s="31"/>
      <c r="M278" s="31"/>
      <c r="N278" s="31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</row>
    <row r="279" spans="1:29" ht="14.4">
      <c r="A279" s="26"/>
      <c r="B279" s="31"/>
      <c r="C279" s="23"/>
      <c r="D279" s="27"/>
      <c r="E279" s="27"/>
      <c r="F279" s="31"/>
      <c r="G279" s="28"/>
      <c r="H279" s="31"/>
      <c r="I279" s="31" t="str">
        <f t="shared" si="5"/>
        <v xml:space="preserve"> - </v>
      </c>
      <c r="J279" s="29"/>
      <c r="K279" s="31"/>
      <c r="L279" s="31"/>
      <c r="M279" s="31"/>
      <c r="N279" s="31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</row>
    <row r="280" spans="1:29" ht="14.4">
      <c r="A280" s="26"/>
      <c r="B280" s="31"/>
      <c r="C280" s="23"/>
      <c r="D280" s="27"/>
      <c r="E280" s="27"/>
      <c r="F280" s="31"/>
      <c r="G280" s="28"/>
      <c r="H280" s="31"/>
      <c r="I280" s="31" t="str">
        <f t="shared" si="5"/>
        <v xml:space="preserve"> - </v>
      </c>
      <c r="J280" s="29"/>
      <c r="K280" s="31"/>
      <c r="L280" s="31"/>
      <c r="M280" s="31"/>
      <c r="N280" s="31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</row>
    <row r="281" spans="1:29" ht="14.4">
      <c r="A281" s="26"/>
      <c r="B281" s="31"/>
      <c r="C281" s="23"/>
      <c r="D281" s="27"/>
      <c r="E281" s="27"/>
      <c r="F281" s="31"/>
      <c r="G281" s="28"/>
      <c r="H281" s="31"/>
      <c r="I281" s="31" t="str">
        <f t="shared" si="5"/>
        <v xml:space="preserve"> - </v>
      </c>
      <c r="J281" s="29"/>
      <c r="K281" s="31"/>
      <c r="L281" s="31"/>
      <c r="M281" s="31"/>
      <c r="N281" s="31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</row>
  </sheetData>
  <autoFilter ref="A1:N222" xr:uid="{00000000-0009-0000-0000-000005000000}">
    <filterColumn colId="4">
      <filters>
        <filter val="Albatros 1"/>
        <filter val="Albatros 2"/>
        <filter val="Albatros 3"/>
        <filter val="Albatros 4"/>
        <filter val="Albatros 5"/>
        <filter val="Albatros 6"/>
        <filter val="Albatros 7"/>
        <filter val="Albatros 8"/>
        <filter val="Albatros 9"/>
      </filters>
    </filterColumn>
  </autoFilter>
  <conditionalFormatting sqref="A2:D2 F2:XFD2 E2:E222">
    <cfRule type="expression" dxfId="9" priority="4">
      <formula>ISNUMBER(SEARCH("Albatros", $H2))</formula>
    </cfRule>
  </conditionalFormatting>
  <conditionalFormatting sqref="A3:D14 F3:XFD14">
    <cfRule type="expression" dxfId="8" priority="3">
      <formula>ISNUMBER(SEARCH("Albatros", $H3))</formula>
    </cfRule>
  </conditionalFormatting>
  <conditionalFormatting sqref="A15:D222 F15:XFD222">
    <cfRule type="expression" dxfId="7" priority="2">
      <formula>ISNUMBER(SEARCH("Albatros", $H15))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281"/>
  <sheetViews>
    <sheetView zoomScaleNormal="100" workbookViewId="0">
      <selection activeCell="F88" sqref="F88"/>
    </sheetView>
  </sheetViews>
  <sheetFormatPr defaultColWidth="12.6640625" defaultRowHeight="15.75" customHeight="1"/>
  <cols>
    <col min="2" max="2" width="12.6640625" hidden="1"/>
    <col min="3" max="3" width="8.21875" hidden="1" customWidth="1"/>
    <col min="6" max="6" width="22.77734375" customWidth="1"/>
    <col min="7" max="7" width="2.77734375" customWidth="1"/>
    <col min="8" max="8" width="21.109375" customWidth="1"/>
    <col min="9" max="9" width="39.21875" customWidth="1"/>
    <col min="10" max="10" width="7.44140625" customWidth="1"/>
    <col min="11" max="11" width="35.77734375" customWidth="1"/>
    <col min="13" max="13" width="0" hidden="1" customWidth="1"/>
    <col min="14" max="14" width="19.33203125" customWidth="1"/>
  </cols>
  <sheetData>
    <row r="1" spans="1:29" ht="15" customHeight="1">
      <c r="A1" s="10" t="s">
        <v>0</v>
      </c>
      <c r="B1" s="10" t="s">
        <v>1</v>
      </c>
      <c r="C1" s="11" t="s">
        <v>2</v>
      </c>
      <c r="D1" s="12" t="s">
        <v>3</v>
      </c>
      <c r="E1" s="12" t="s">
        <v>2133</v>
      </c>
      <c r="F1" s="13" t="s">
        <v>4</v>
      </c>
      <c r="G1" s="14"/>
      <c r="H1" s="15" t="s">
        <v>5</v>
      </c>
      <c r="I1" s="15" t="s">
        <v>6</v>
      </c>
      <c r="J1" s="16" t="s">
        <v>7</v>
      </c>
      <c r="K1" s="13" t="s">
        <v>8</v>
      </c>
      <c r="L1" s="13" t="s">
        <v>9</v>
      </c>
      <c r="M1" s="17" t="s">
        <v>10</v>
      </c>
      <c r="N1" s="13" t="s">
        <v>11</v>
      </c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9"/>
      <c r="AB1" s="19"/>
      <c r="AC1" s="19"/>
    </row>
    <row r="2" spans="1:29" s="52" customFormat="1" ht="13.2">
      <c r="A2" s="49">
        <v>3834</v>
      </c>
      <c r="B2" s="50" t="s">
        <v>12</v>
      </c>
      <c r="C2" s="51"/>
      <c r="D2" s="50">
        <v>44814</v>
      </c>
      <c r="E2" s="50" t="str">
        <f>IF(K2=K$9,F2,H2)</f>
        <v>Albatros D3</v>
      </c>
      <c r="F2" s="50" t="s">
        <v>13</v>
      </c>
      <c r="G2" s="50" t="s">
        <v>14</v>
      </c>
      <c r="H2" s="50" t="s">
        <v>15</v>
      </c>
      <c r="I2" s="50" t="str">
        <f t="shared" ref="I2:I222" si="0">F2&amp;" "&amp;G2&amp;" "&amp;H2</f>
        <v>PKC/Vertom D2 - Albatros D3</v>
      </c>
      <c r="J2" s="51">
        <v>0.375</v>
      </c>
      <c r="K2" s="50" t="s">
        <v>16</v>
      </c>
      <c r="L2" s="50" t="s">
        <v>17</v>
      </c>
      <c r="M2" s="50"/>
      <c r="N2" s="50"/>
      <c r="O2" s="50"/>
    </row>
    <row r="3" spans="1:29" s="52" customFormat="1" ht="13.2">
      <c r="A3" s="49">
        <v>1707</v>
      </c>
      <c r="B3" s="50" t="s">
        <v>18</v>
      </c>
      <c r="C3" s="51"/>
      <c r="D3" s="50">
        <v>44814</v>
      </c>
      <c r="E3" s="50" t="str">
        <f t="shared" ref="E3:E66" si="1">IF(K3=K$9,F3,H3)</f>
        <v>Albatros E2</v>
      </c>
      <c r="F3" s="50" t="s">
        <v>19</v>
      </c>
      <c r="G3" s="50" t="s">
        <v>14</v>
      </c>
      <c r="H3" s="50" t="s">
        <v>20</v>
      </c>
      <c r="I3" s="50" t="str">
        <f t="shared" si="0"/>
        <v>HKC (Ha) E1 - Albatros E2</v>
      </c>
      <c r="J3" s="51">
        <v>0.375</v>
      </c>
      <c r="K3" s="50" t="s">
        <v>21</v>
      </c>
      <c r="L3" s="50" t="s">
        <v>22</v>
      </c>
      <c r="M3" s="50"/>
      <c r="N3" s="50"/>
      <c r="O3" s="50"/>
    </row>
    <row r="4" spans="1:29" s="52" customFormat="1" ht="13.2">
      <c r="A4" s="49">
        <v>527</v>
      </c>
      <c r="B4" s="50" t="s">
        <v>23</v>
      </c>
      <c r="C4" s="51"/>
      <c r="D4" s="50">
        <v>44814</v>
      </c>
      <c r="E4" s="50" t="str">
        <f t="shared" si="1"/>
        <v>Albatros F3</v>
      </c>
      <c r="F4" s="50" t="s">
        <v>24</v>
      </c>
      <c r="G4" s="50" t="s">
        <v>14</v>
      </c>
      <c r="H4" s="50" t="s">
        <v>25</v>
      </c>
      <c r="I4" s="50" t="str">
        <f t="shared" si="0"/>
        <v>KCR F2 - Albatros F3</v>
      </c>
      <c r="J4" s="51">
        <v>0.375</v>
      </c>
      <c r="K4" s="50" t="s">
        <v>26</v>
      </c>
      <c r="L4" s="50" t="s">
        <v>27</v>
      </c>
      <c r="M4" s="50"/>
      <c r="N4" s="50"/>
      <c r="O4" s="50"/>
    </row>
    <row r="5" spans="1:29" s="52" customFormat="1" ht="13.2">
      <c r="A5" s="49">
        <v>4411</v>
      </c>
      <c r="B5" s="50" t="s">
        <v>12</v>
      </c>
      <c r="C5" s="51"/>
      <c r="D5" s="50">
        <v>44814</v>
      </c>
      <c r="E5" s="50" t="str">
        <f t="shared" si="1"/>
        <v>Albatros D2</v>
      </c>
      <c r="F5" s="50" t="s">
        <v>28</v>
      </c>
      <c r="G5" s="50" t="s">
        <v>14</v>
      </c>
      <c r="H5" s="50" t="s">
        <v>29</v>
      </c>
      <c r="I5" s="50" t="str">
        <f t="shared" si="0"/>
        <v>Albatros D2 - DeetosSnel D1</v>
      </c>
      <c r="J5" s="51">
        <v>0.39583333333333331</v>
      </c>
      <c r="K5" s="50" t="s">
        <v>30</v>
      </c>
      <c r="L5" s="50" t="s">
        <v>31</v>
      </c>
      <c r="M5" s="50"/>
      <c r="N5" s="50" t="s">
        <v>1964</v>
      </c>
      <c r="O5" s="50"/>
    </row>
    <row r="6" spans="1:29" s="52" customFormat="1" ht="13.2">
      <c r="A6" s="49">
        <v>3849</v>
      </c>
      <c r="B6" s="50" t="s">
        <v>12</v>
      </c>
      <c r="C6" s="51"/>
      <c r="D6" s="50">
        <v>44814</v>
      </c>
      <c r="E6" s="50" t="str">
        <f t="shared" si="1"/>
        <v>Albatros D4</v>
      </c>
      <c r="F6" s="50" t="s">
        <v>32</v>
      </c>
      <c r="G6" s="50" t="s">
        <v>14</v>
      </c>
      <c r="H6" s="50" t="s">
        <v>33</v>
      </c>
      <c r="I6" s="50" t="str">
        <f t="shared" si="0"/>
        <v>Albatros D4 - Oranje Wit (D) D3</v>
      </c>
      <c r="J6" s="51">
        <v>0.39583333333333331</v>
      </c>
      <c r="K6" s="50" t="s">
        <v>30</v>
      </c>
      <c r="L6" s="50" t="s">
        <v>34</v>
      </c>
      <c r="M6" s="50"/>
      <c r="N6" s="50" t="s">
        <v>584</v>
      </c>
      <c r="O6" s="50"/>
    </row>
    <row r="7" spans="1:29" s="52" customFormat="1" ht="13.2">
      <c r="A7" s="49">
        <v>1625</v>
      </c>
      <c r="B7" s="50" t="s">
        <v>18</v>
      </c>
      <c r="C7" s="51"/>
      <c r="D7" s="50">
        <v>44814</v>
      </c>
      <c r="E7" s="50" t="str">
        <f t="shared" si="1"/>
        <v>Albatros E4</v>
      </c>
      <c r="F7" s="50" t="s">
        <v>35</v>
      </c>
      <c r="G7" s="50" t="s">
        <v>14</v>
      </c>
      <c r="H7" s="50" t="s">
        <v>36</v>
      </c>
      <c r="I7" s="50" t="str">
        <f t="shared" si="0"/>
        <v>ACKC E2 - Albatros E4</v>
      </c>
      <c r="J7" s="51">
        <v>0.39583333333333331</v>
      </c>
      <c r="K7" s="50" t="s">
        <v>37</v>
      </c>
      <c r="L7" s="50" t="s">
        <v>38</v>
      </c>
      <c r="M7" s="50"/>
      <c r="N7" s="50"/>
      <c r="O7" s="50"/>
    </row>
    <row r="8" spans="1:29" s="52" customFormat="1" ht="13.2">
      <c r="A8" s="49">
        <v>2551</v>
      </c>
      <c r="B8" s="50" t="s">
        <v>18</v>
      </c>
      <c r="C8" s="51"/>
      <c r="D8" s="50">
        <v>44814</v>
      </c>
      <c r="E8" s="50" t="str">
        <f t="shared" si="1"/>
        <v>Albatros E3</v>
      </c>
      <c r="F8" s="50" t="s">
        <v>39</v>
      </c>
      <c r="G8" s="50" t="s">
        <v>14</v>
      </c>
      <c r="H8" s="50" t="s">
        <v>40</v>
      </c>
      <c r="I8" s="50" t="str">
        <f t="shared" si="0"/>
        <v>Oranje Wit (D) E2 - Albatros E3</v>
      </c>
      <c r="J8" s="51">
        <v>0.41666666666666669</v>
      </c>
      <c r="K8" s="50" t="s">
        <v>41</v>
      </c>
      <c r="L8" s="50" t="s">
        <v>42</v>
      </c>
      <c r="M8" s="50"/>
      <c r="N8" s="50"/>
      <c r="O8" s="50"/>
    </row>
    <row r="9" spans="1:29" s="52" customFormat="1" ht="13.2">
      <c r="A9" s="49">
        <v>518</v>
      </c>
      <c r="B9" s="50" t="s">
        <v>23</v>
      </c>
      <c r="C9" s="51"/>
      <c r="D9" s="50">
        <v>44814</v>
      </c>
      <c r="E9" s="50" t="str">
        <f t="shared" si="1"/>
        <v>Albatros F2</v>
      </c>
      <c r="F9" s="50" t="s">
        <v>43</v>
      </c>
      <c r="G9" s="50" t="s">
        <v>14</v>
      </c>
      <c r="H9" s="50" t="s">
        <v>44</v>
      </c>
      <c r="I9" s="50" t="str">
        <f t="shared" si="0"/>
        <v>Albatros F2 - Springfield F1</v>
      </c>
      <c r="J9" s="51">
        <v>0.41666666666666669</v>
      </c>
      <c r="K9" s="50" t="s">
        <v>30</v>
      </c>
      <c r="L9" s="50" t="s">
        <v>45</v>
      </c>
      <c r="M9" s="50"/>
      <c r="N9" s="50" t="s">
        <v>2131</v>
      </c>
      <c r="O9" s="50"/>
    </row>
    <row r="10" spans="1:29" s="52" customFormat="1" ht="13.2">
      <c r="A10" s="49">
        <v>6395</v>
      </c>
      <c r="B10" s="50" t="s">
        <v>46</v>
      </c>
      <c r="C10" s="51"/>
      <c r="D10" s="50">
        <v>44814</v>
      </c>
      <c r="E10" s="50" t="str">
        <f t="shared" si="1"/>
        <v>Albatros B3</v>
      </c>
      <c r="F10" s="50" t="s">
        <v>47</v>
      </c>
      <c r="G10" s="50" t="s">
        <v>14</v>
      </c>
      <c r="H10" s="50" t="s">
        <v>48</v>
      </c>
      <c r="I10" s="50" t="str">
        <f t="shared" si="0"/>
        <v>Albatros B3 - Sporting Delta B3</v>
      </c>
      <c r="J10" s="51">
        <v>0.4375</v>
      </c>
      <c r="K10" s="50" t="s">
        <v>30</v>
      </c>
      <c r="L10" s="50" t="s">
        <v>34</v>
      </c>
      <c r="M10" s="50"/>
      <c r="N10" s="50" t="s">
        <v>1480</v>
      </c>
      <c r="O10" s="50"/>
    </row>
    <row r="11" spans="1:29" s="52" customFormat="1" ht="13.2">
      <c r="A11" s="49">
        <v>7846</v>
      </c>
      <c r="B11" s="50" t="s">
        <v>49</v>
      </c>
      <c r="C11" s="51"/>
      <c r="D11" s="50">
        <v>44814</v>
      </c>
      <c r="E11" s="50" t="str">
        <f t="shared" si="1"/>
        <v>Albatros C1</v>
      </c>
      <c r="F11" s="50" t="s">
        <v>50</v>
      </c>
      <c r="G11" s="50" t="s">
        <v>14</v>
      </c>
      <c r="H11" s="50" t="s">
        <v>51</v>
      </c>
      <c r="I11" s="50" t="str">
        <f t="shared" si="0"/>
        <v>Albatros C1 - Die Haghe C1</v>
      </c>
      <c r="J11" s="51">
        <v>0.4375</v>
      </c>
      <c r="K11" s="50" t="s">
        <v>30</v>
      </c>
      <c r="L11" s="50" t="s">
        <v>31</v>
      </c>
      <c r="M11" s="50"/>
      <c r="N11" s="50" t="s">
        <v>289</v>
      </c>
      <c r="O11" s="50"/>
    </row>
    <row r="12" spans="1:29" s="52" customFormat="1" ht="13.2">
      <c r="A12" s="49">
        <v>541</v>
      </c>
      <c r="B12" s="50" t="s">
        <v>23</v>
      </c>
      <c r="C12" s="51"/>
      <c r="D12" s="50">
        <v>44814</v>
      </c>
      <c r="E12" s="50" t="str">
        <f t="shared" si="1"/>
        <v>Albatros F1</v>
      </c>
      <c r="F12" s="50" t="s">
        <v>52</v>
      </c>
      <c r="G12" s="50" t="s">
        <v>14</v>
      </c>
      <c r="H12" s="50" t="s">
        <v>53</v>
      </c>
      <c r="I12" s="50" t="str">
        <f t="shared" si="0"/>
        <v>GKV/Enomics F1 - Albatros F1</v>
      </c>
      <c r="J12" s="51">
        <v>0.4375</v>
      </c>
      <c r="K12" s="50" t="s">
        <v>54</v>
      </c>
      <c r="L12" s="50" t="s">
        <v>45</v>
      </c>
      <c r="M12" s="50"/>
      <c r="N12" s="50"/>
      <c r="O12" s="50"/>
    </row>
    <row r="13" spans="1:29" s="52" customFormat="1" ht="13.2">
      <c r="A13" s="49">
        <v>8082</v>
      </c>
      <c r="B13" s="50" t="s">
        <v>55</v>
      </c>
      <c r="C13" s="51"/>
      <c r="D13" s="50">
        <v>44814</v>
      </c>
      <c r="E13" s="50" t="str">
        <f t="shared" si="1"/>
        <v>Albatros C2</v>
      </c>
      <c r="F13" s="50" t="s">
        <v>56</v>
      </c>
      <c r="G13" s="50" t="s">
        <v>14</v>
      </c>
      <c r="H13" s="50" t="s">
        <v>57</v>
      </c>
      <c r="I13" s="50" t="str">
        <f t="shared" si="0"/>
        <v>ONDO (M) C1 - Albatros C2</v>
      </c>
      <c r="J13" s="51">
        <v>0.44791666666666669</v>
      </c>
      <c r="K13" s="50" t="s">
        <v>58</v>
      </c>
      <c r="L13" s="50" t="s">
        <v>59</v>
      </c>
      <c r="M13" s="50"/>
      <c r="N13" s="50"/>
      <c r="O13" s="50"/>
    </row>
    <row r="14" spans="1:29" s="52" customFormat="1" ht="13.2">
      <c r="A14" s="49">
        <v>9190</v>
      </c>
      <c r="B14" s="50" t="s">
        <v>60</v>
      </c>
      <c r="C14" s="51"/>
      <c r="D14" s="50">
        <v>44814</v>
      </c>
      <c r="E14" s="50" t="str">
        <f t="shared" si="1"/>
        <v>Albatros B2</v>
      </c>
      <c r="F14" s="50" t="s">
        <v>61</v>
      </c>
      <c r="G14" s="50" t="s">
        <v>14</v>
      </c>
      <c r="H14" s="50" t="s">
        <v>62</v>
      </c>
      <c r="I14" s="50" t="str">
        <f t="shared" si="0"/>
        <v>KOAG B1 - Albatros B2</v>
      </c>
      <c r="J14" s="51">
        <v>0.45833333333333331</v>
      </c>
      <c r="K14" s="50" t="s">
        <v>63</v>
      </c>
      <c r="L14" s="50" t="s">
        <v>31</v>
      </c>
      <c r="M14" s="50"/>
      <c r="N14" s="50"/>
      <c r="O14" s="50"/>
    </row>
    <row r="15" spans="1:29" s="52" customFormat="1" ht="13.2">
      <c r="A15" s="49">
        <v>2564</v>
      </c>
      <c r="B15" s="50" t="s">
        <v>18</v>
      </c>
      <c r="C15" s="51"/>
      <c r="D15" s="50">
        <v>44814</v>
      </c>
      <c r="E15" s="50" t="str">
        <f t="shared" si="1"/>
        <v>Albatros E1</v>
      </c>
      <c r="F15" s="50" t="s">
        <v>64</v>
      </c>
      <c r="G15" s="50" t="s">
        <v>14</v>
      </c>
      <c r="H15" s="50" t="s">
        <v>65</v>
      </c>
      <c r="I15" s="50" t="str">
        <f t="shared" si="0"/>
        <v>Albatros E1 - GKV/Enomics E1</v>
      </c>
      <c r="J15" s="51">
        <v>0.45833333333333331</v>
      </c>
      <c r="K15" s="50" t="s">
        <v>30</v>
      </c>
      <c r="L15" s="50" t="s">
        <v>66</v>
      </c>
      <c r="M15" s="50"/>
      <c r="N15" s="50" t="s">
        <v>550</v>
      </c>
      <c r="O15" s="50"/>
    </row>
    <row r="16" spans="1:29" s="52" customFormat="1" ht="13.2">
      <c r="A16" s="49">
        <v>1710</v>
      </c>
      <c r="B16" s="50" t="s">
        <v>18</v>
      </c>
      <c r="C16" s="51"/>
      <c r="D16" s="50">
        <v>44814</v>
      </c>
      <c r="E16" s="50" t="str">
        <f t="shared" si="1"/>
        <v>Albatros E5</v>
      </c>
      <c r="F16" s="50" t="s">
        <v>67</v>
      </c>
      <c r="G16" s="50" t="s">
        <v>14</v>
      </c>
      <c r="H16" s="50" t="s">
        <v>68</v>
      </c>
      <c r="I16" s="50" t="str">
        <f t="shared" si="0"/>
        <v>Albatros E5 - ADO E1</v>
      </c>
      <c r="J16" s="51">
        <v>0.45833333333333331</v>
      </c>
      <c r="K16" s="50" t="s">
        <v>30</v>
      </c>
      <c r="L16" s="50" t="s">
        <v>45</v>
      </c>
      <c r="M16" s="50"/>
      <c r="N16" s="50" t="s">
        <v>399</v>
      </c>
      <c r="O16" s="50"/>
    </row>
    <row r="17" spans="1:15" s="52" customFormat="1" ht="13.2">
      <c r="A17" s="49">
        <v>5733</v>
      </c>
      <c r="B17" s="50" t="s">
        <v>69</v>
      </c>
      <c r="C17" s="51"/>
      <c r="D17" s="50">
        <v>44814</v>
      </c>
      <c r="E17" s="50" t="str">
        <f t="shared" si="1"/>
        <v>Albatros C3</v>
      </c>
      <c r="F17" s="50" t="s">
        <v>70</v>
      </c>
      <c r="G17" s="50" t="s">
        <v>14</v>
      </c>
      <c r="H17" s="50" t="s">
        <v>71</v>
      </c>
      <c r="I17" s="50" t="str">
        <f t="shared" si="0"/>
        <v>Movado C1 - Albatros C3</v>
      </c>
      <c r="J17" s="51">
        <v>0.47916666666666669</v>
      </c>
      <c r="K17" s="50" t="s">
        <v>72</v>
      </c>
      <c r="L17" s="50" t="s">
        <v>31</v>
      </c>
      <c r="M17" s="50"/>
      <c r="N17" s="50"/>
      <c r="O17" s="50"/>
    </row>
    <row r="18" spans="1:15" s="52" customFormat="1" ht="13.2">
      <c r="A18" s="49">
        <v>10540</v>
      </c>
      <c r="B18" s="50" t="s">
        <v>69</v>
      </c>
      <c r="C18" s="51"/>
      <c r="D18" s="50">
        <v>44814</v>
      </c>
      <c r="E18" s="50" t="str">
        <f t="shared" si="1"/>
        <v>Albatros C4</v>
      </c>
      <c r="F18" s="50" t="s">
        <v>73</v>
      </c>
      <c r="G18" s="50" t="s">
        <v>14</v>
      </c>
      <c r="H18" s="50" t="s">
        <v>74</v>
      </c>
      <c r="I18" s="50" t="str">
        <f t="shared" si="0"/>
        <v>t Capproen C1 - Albatros C4</v>
      </c>
      <c r="J18" s="51">
        <v>0.47916666666666669</v>
      </c>
      <c r="K18" s="50" t="s">
        <v>75</v>
      </c>
      <c r="L18" s="50" t="s">
        <v>76</v>
      </c>
      <c r="M18" s="50"/>
      <c r="N18" s="50"/>
      <c r="O18" s="50"/>
    </row>
    <row r="19" spans="1:15" s="52" customFormat="1" ht="13.2">
      <c r="A19" s="49">
        <v>4767</v>
      </c>
      <c r="B19" s="50" t="s">
        <v>77</v>
      </c>
      <c r="C19" s="51"/>
      <c r="D19" s="50">
        <v>44814</v>
      </c>
      <c r="E19" s="50" t="str">
        <f t="shared" si="1"/>
        <v>Albatros 5</v>
      </c>
      <c r="F19" s="50" t="s">
        <v>78</v>
      </c>
      <c r="G19" s="50" t="s">
        <v>14</v>
      </c>
      <c r="H19" s="50" t="s">
        <v>79</v>
      </c>
      <c r="I19" s="50" t="str">
        <f t="shared" si="0"/>
        <v>RWA 4 - Albatros 5</v>
      </c>
      <c r="J19" s="51">
        <v>0.48958333333333331</v>
      </c>
      <c r="K19" s="50" t="s">
        <v>80</v>
      </c>
      <c r="L19" s="50" t="s">
        <v>59</v>
      </c>
      <c r="M19" s="50"/>
      <c r="N19" s="50"/>
      <c r="O19" s="50"/>
    </row>
    <row r="20" spans="1:15" s="52" customFormat="1" ht="13.2">
      <c r="A20" s="49">
        <v>6827</v>
      </c>
      <c r="B20" s="50" t="s">
        <v>81</v>
      </c>
      <c r="C20" s="51"/>
      <c r="D20" s="50">
        <v>44814</v>
      </c>
      <c r="E20" s="50" t="str">
        <f t="shared" si="1"/>
        <v>Albatros A2</v>
      </c>
      <c r="F20" s="50" t="s">
        <v>82</v>
      </c>
      <c r="G20" s="50" t="s">
        <v>14</v>
      </c>
      <c r="H20" s="50" t="s">
        <v>83</v>
      </c>
      <c r="I20" s="50" t="str">
        <f t="shared" si="0"/>
        <v>Albatros A2 - TOP (A) A1</v>
      </c>
      <c r="J20" s="51">
        <v>0.48958333333333331</v>
      </c>
      <c r="K20" s="50" t="s">
        <v>30</v>
      </c>
      <c r="L20" s="50" t="s">
        <v>34</v>
      </c>
      <c r="M20" s="50"/>
      <c r="N20" s="50" t="s">
        <v>289</v>
      </c>
      <c r="O20" s="50"/>
    </row>
    <row r="21" spans="1:15" s="52" customFormat="1" ht="13.2">
      <c r="A21" s="49">
        <v>7370</v>
      </c>
      <c r="B21" s="50" t="s">
        <v>84</v>
      </c>
      <c r="C21" s="51"/>
      <c r="D21" s="50">
        <v>44814</v>
      </c>
      <c r="E21" s="50" t="str">
        <f t="shared" si="1"/>
        <v>Albatros B1</v>
      </c>
      <c r="F21" s="50" t="s">
        <v>85</v>
      </c>
      <c r="G21" s="50" t="s">
        <v>14</v>
      </c>
      <c r="H21" s="50" t="s">
        <v>86</v>
      </c>
      <c r="I21" s="50" t="str">
        <f t="shared" si="0"/>
        <v>Albatros B1 - Vriendenschaar (H) B1</v>
      </c>
      <c r="J21" s="51">
        <v>0.48958333333333331</v>
      </c>
      <c r="K21" s="50" t="s">
        <v>30</v>
      </c>
      <c r="L21" s="50" t="s">
        <v>31</v>
      </c>
      <c r="M21" s="50"/>
      <c r="N21" s="50" t="s">
        <v>289</v>
      </c>
      <c r="O21" s="50"/>
    </row>
    <row r="22" spans="1:15" s="52" customFormat="1" ht="13.2">
      <c r="A22" s="49">
        <v>5197</v>
      </c>
      <c r="B22" s="50" t="s">
        <v>77</v>
      </c>
      <c r="C22" s="51"/>
      <c r="D22" s="50">
        <v>44814</v>
      </c>
      <c r="E22" s="50" t="str">
        <f t="shared" si="1"/>
        <v>Albatros 4</v>
      </c>
      <c r="F22" s="50" t="s">
        <v>87</v>
      </c>
      <c r="G22" s="50" t="s">
        <v>14</v>
      </c>
      <c r="H22" s="50" t="s">
        <v>88</v>
      </c>
      <c r="I22" s="50" t="str">
        <f t="shared" si="0"/>
        <v>Vriendenschaar (H) 3 - Albatros 4</v>
      </c>
      <c r="J22" s="51">
        <v>0.54166666666666663</v>
      </c>
      <c r="K22" s="50" t="s">
        <v>89</v>
      </c>
      <c r="L22" s="50" t="s">
        <v>31</v>
      </c>
      <c r="M22" s="50"/>
      <c r="N22" s="50"/>
      <c r="O22" s="50"/>
    </row>
    <row r="23" spans="1:15" s="52" customFormat="1" ht="13.2">
      <c r="A23" s="49">
        <v>6820</v>
      </c>
      <c r="B23" s="50" t="s">
        <v>90</v>
      </c>
      <c r="C23" s="51"/>
      <c r="D23" s="50">
        <v>44814</v>
      </c>
      <c r="E23" s="50" t="str">
        <f t="shared" si="1"/>
        <v>Albatros A1</v>
      </c>
      <c r="F23" s="50" t="s">
        <v>91</v>
      </c>
      <c r="G23" s="50" t="s">
        <v>14</v>
      </c>
      <c r="H23" s="50" t="s">
        <v>92</v>
      </c>
      <c r="I23" s="50" t="str">
        <f t="shared" si="0"/>
        <v>Albatros A1 - Nieuwerkerk A1</v>
      </c>
      <c r="J23" s="51">
        <v>0.54166666666666663</v>
      </c>
      <c r="K23" s="50" t="s">
        <v>30</v>
      </c>
      <c r="L23" s="50" t="s">
        <v>31</v>
      </c>
      <c r="M23" s="50"/>
      <c r="N23" s="50" t="s">
        <v>289</v>
      </c>
      <c r="O23" s="50"/>
    </row>
    <row r="24" spans="1:15" s="52" customFormat="1" ht="13.2">
      <c r="A24" s="49">
        <v>7710</v>
      </c>
      <c r="B24" s="50" t="s">
        <v>93</v>
      </c>
      <c r="C24" s="51"/>
      <c r="D24" s="50">
        <v>44814</v>
      </c>
      <c r="E24" s="50" t="str">
        <f t="shared" si="1"/>
        <v>Albatros A4</v>
      </c>
      <c r="F24" s="50" t="s">
        <v>94</v>
      </c>
      <c r="G24" s="50" t="s">
        <v>14</v>
      </c>
      <c r="H24" s="50" t="s">
        <v>95</v>
      </c>
      <c r="I24" s="50" t="str">
        <f t="shared" si="0"/>
        <v>PKC/Vertom A5 - Albatros A4</v>
      </c>
      <c r="J24" s="51">
        <v>0.54166666666666663</v>
      </c>
      <c r="K24" s="50" t="s">
        <v>16</v>
      </c>
      <c r="L24" s="50" t="s">
        <v>96</v>
      </c>
      <c r="M24" s="50"/>
      <c r="N24" s="50"/>
      <c r="O24" s="50"/>
    </row>
    <row r="25" spans="1:15" s="52" customFormat="1" ht="13.2">
      <c r="A25" s="49">
        <v>8125</v>
      </c>
      <c r="B25" s="50" t="s">
        <v>97</v>
      </c>
      <c r="C25" s="51"/>
      <c r="D25" s="50">
        <v>44814</v>
      </c>
      <c r="E25" s="50" t="str">
        <f t="shared" si="1"/>
        <v>Albatros D1</v>
      </c>
      <c r="F25" s="50" t="s">
        <v>98</v>
      </c>
      <c r="G25" s="50" t="s">
        <v>14</v>
      </c>
      <c r="H25" s="50" t="s">
        <v>99</v>
      </c>
      <c r="I25" s="50" t="str">
        <f t="shared" si="0"/>
        <v>Refleks D1 - Albatros D1</v>
      </c>
      <c r="J25" s="51">
        <v>0.54166666666666663</v>
      </c>
      <c r="K25" s="50" t="s">
        <v>100</v>
      </c>
      <c r="L25" s="50" t="s">
        <v>101</v>
      </c>
      <c r="M25" s="50"/>
      <c r="N25" s="50"/>
      <c r="O25" s="50"/>
    </row>
    <row r="26" spans="1:15" s="52" customFormat="1" ht="13.2">
      <c r="A26" s="49">
        <v>7406</v>
      </c>
      <c r="B26" s="50" t="s">
        <v>93</v>
      </c>
      <c r="C26" s="51"/>
      <c r="D26" s="50">
        <v>44814</v>
      </c>
      <c r="E26" s="50" t="str">
        <f t="shared" si="1"/>
        <v>Albatros A3</v>
      </c>
      <c r="F26" s="50" t="s">
        <v>102</v>
      </c>
      <c r="G26" s="50" t="s">
        <v>14</v>
      </c>
      <c r="H26" s="50" t="s">
        <v>103</v>
      </c>
      <c r="I26" s="50" t="str">
        <f t="shared" si="0"/>
        <v>Albatros A3 - SKV A1</v>
      </c>
      <c r="J26" s="51">
        <v>0.55208333333333337</v>
      </c>
      <c r="K26" s="50" t="s">
        <v>30</v>
      </c>
      <c r="L26" s="50" t="s">
        <v>34</v>
      </c>
      <c r="M26" s="50"/>
      <c r="N26" s="50" t="s">
        <v>2082</v>
      </c>
      <c r="O26" s="50"/>
    </row>
    <row r="27" spans="1:15" s="52" customFormat="1" ht="13.2">
      <c r="A27" s="49">
        <v>9591</v>
      </c>
      <c r="B27" s="50" t="s">
        <v>104</v>
      </c>
      <c r="C27" s="51"/>
      <c r="D27" s="50">
        <v>44814</v>
      </c>
      <c r="E27" s="50" t="str">
        <f t="shared" si="1"/>
        <v>Albatros 7</v>
      </c>
      <c r="F27" s="50" t="s">
        <v>105</v>
      </c>
      <c r="G27" s="50" t="s">
        <v>14</v>
      </c>
      <c r="H27" s="50" t="s">
        <v>106</v>
      </c>
      <c r="I27" s="50" t="str">
        <f t="shared" si="0"/>
        <v>Albatros 7 - DeetosSnel 6</v>
      </c>
      <c r="J27" s="51">
        <v>0.5625</v>
      </c>
      <c r="K27" s="50" t="s">
        <v>30</v>
      </c>
      <c r="L27" s="50" t="s">
        <v>107</v>
      </c>
      <c r="M27" s="50"/>
      <c r="N27" s="50" t="s">
        <v>566</v>
      </c>
      <c r="O27" s="50"/>
    </row>
    <row r="28" spans="1:15" s="52" customFormat="1" ht="13.2">
      <c r="A28" s="49">
        <v>4908</v>
      </c>
      <c r="B28" s="50" t="s">
        <v>108</v>
      </c>
      <c r="C28" s="51"/>
      <c r="D28" s="50">
        <v>44814</v>
      </c>
      <c r="E28" s="50" t="str">
        <f t="shared" si="1"/>
        <v>Albatros 2</v>
      </c>
      <c r="F28" s="50" t="s">
        <v>109</v>
      </c>
      <c r="G28" s="50" t="s">
        <v>14</v>
      </c>
      <c r="H28" s="50" t="s">
        <v>110</v>
      </c>
      <c r="I28" s="50" t="str">
        <f t="shared" si="0"/>
        <v>Albatros 2 - Kinderdijk 2</v>
      </c>
      <c r="J28" s="51">
        <v>0.60416666666666663</v>
      </c>
      <c r="K28" s="50" t="s">
        <v>30</v>
      </c>
      <c r="L28" s="50" t="s">
        <v>31</v>
      </c>
      <c r="M28" s="50"/>
      <c r="N28" s="50" t="s">
        <v>289</v>
      </c>
      <c r="O28" s="50"/>
    </row>
    <row r="29" spans="1:15" s="52" customFormat="1" ht="13.2">
      <c r="A29" s="49">
        <v>9577</v>
      </c>
      <c r="B29" s="50" t="s">
        <v>104</v>
      </c>
      <c r="C29" s="51"/>
      <c r="D29" s="50">
        <v>44814</v>
      </c>
      <c r="E29" s="50" t="str">
        <f t="shared" si="1"/>
        <v>Albatros 8</v>
      </c>
      <c r="F29" s="50" t="s">
        <v>111</v>
      </c>
      <c r="G29" s="50" t="s">
        <v>14</v>
      </c>
      <c r="H29" s="50" t="s">
        <v>112</v>
      </c>
      <c r="I29" s="50" t="str">
        <f t="shared" si="0"/>
        <v>Triade 3 - Albatros 8</v>
      </c>
      <c r="J29" s="51">
        <v>0.625</v>
      </c>
      <c r="K29" s="50" t="s">
        <v>113</v>
      </c>
      <c r="L29" s="50" t="s">
        <v>114</v>
      </c>
      <c r="M29" s="50"/>
      <c r="N29" s="50"/>
      <c r="O29" s="50"/>
    </row>
    <row r="30" spans="1:15" s="52" customFormat="1" ht="13.2">
      <c r="A30" s="49">
        <v>9034</v>
      </c>
      <c r="B30" s="50" t="s">
        <v>104</v>
      </c>
      <c r="C30" s="51"/>
      <c r="D30" s="50">
        <v>44814</v>
      </c>
      <c r="E30" s="50" t="str">
        <f t="shared" si="1"/>
        <v>Albatros 6</v>
      </c>
      <c r="F30" s="50" t="s">
        <v>115</v>
      </c>
      <c r="G30" s="50" t="s">
        <v>14</v>
      </c>
      <c r="H30" s="50" t="s">
        <v>116</v>
      </c>
      <c r="I30" s="50" t="str">
        <f t="shared" si="0"/>
        <v>Albatros 6 - PKC/Vertom 7</v>
      </c>
      <c r="J30" s="51">
        <v>0.63541666666666663</v>
      </c>
      <c r="K30" s="50" t="s">
        <v>30</v>
      </c>
      <c r="L30" s="50" t="s">
        <v>107</v>
      </c>
      <c r="M30" s="50"/>
      <c r="N30" s="50" t="s">
        <v>338</v>
      </c>
      <c r="O30" s="50"/>
    </row>
    <row r="31" spans="1:15" s="52" customFormat="1" ht="13.2">
      <c r="A31" s="49">
        <v>1651</v>
      </c>
      <c r="B31" s="50" t="s">
        <v>117</v>
      </c>
      <c r="C31" s="51"/>
      <c r="D31" s="50">
        <v>44814</v>
      </c>
      <c r="E31" s="50" t="str">
        <f t="shared" si="1"/>
        <v>Albatros 1</v>
      </c>
      <c r="F31" s="50" t="s">
        <v>118</v>
      </c>
      <c r="G31" s="50" t="s">
        <v>14</v>
      </c>
      <c r="H31" s="50" t="s">
        <v>119</v>
      </c>
      <c r="I31" s="50" t="str">
        <f t="shared" si="0"/>
        <v>Albatros 1 - Kinderdijk 1</v>
      </c>
      <c r="J31" s="51">
        <v>0.66666666666666663</v>
      </c>
      <c r="K31" s="50" t="s">
        <v>30</v>
      </c>
      <c r="L31" s="50" t="s">
        <v>31</v>
      </c>
      <c r="M31" s="50"/>
      <c r="N31" s="50" t="s">
        <v>289</v>
      </c>
      <c r="O31" s="50"/>
    </row>
    <row r="32" spans="1:15" s="52" customFormat="1" ht="13.2">
      <c r="A32" s="49">
        <v>9589</v>
      </c>
      <c r="B32" s="50" t="s">
        <v>104</v>
      </c>
      <c r="C32" s="51"/>
      <c r="D32" s="50">
        <v>44814</v>
      </c>
      <c r="E32" s="50" t="str">
        <f t="shared" si="1"/>
        <v>Albatros 9</v>
      </c>
      <c r="F32" s="50" t="s">
        <v>120</v>
      </c>
      <c r="G32" s="50" t="s">
        <v>14</v>
      </c>
      <c r="H32" s="50" t="s">
        <v>121</v>
      </c>
      <c r="I32" s="50" t="str">
        <f t="shared" si="0"/>
        <v>Albatros 9 - Merwede/Multiplaat 6</v>
      </c>
      <c r="J32" s="51">
        <v>0.70833333333333337</v>
      </c>
      <c r="K32" s="50" t="s">
        <v>30</v>
      </c>
      <c r="L32" s="50" t="s">
        <v>107</v>
      </c>
      <c r="M32" s="50"/>
      <c r="N32" s="50" t="s">
        <v>328</v>
      </c>
      <c r="O32" s="50"/>
    </row>
    <row r="33" spans="1:15" s="52" customFormat="1" ht="13.2">
      <c r="A33" s="49">
        <v>4424</v>
      </c>
      <c r="B33" s="50" t="s">
        <v>122</v>
      </c>
      <c r="C33" s="51"/>
      <c r="D33" s="50">
        <v>44814</v>
      </c>
      <c r="E33" s="50" t="str">
        <f t="shared" si="1"/>
        <v>Albatros 3</v>
      </c>
      <c r="F33" s="50" t="s">
        <v>123</v>
      </c>
      <c r="G33" s="50" t="s">
        <v>14</v>
      </c>
      <c r="H33" s="50" t="s">
        <v>124</v>
      </c>
      <c r="I33" s="50" t="str">
        <f t="shared" si="0"/>
        <v>Albatros 3 - VEO 4</v>
      </c>
      <c r="J33" s="51">
        <v>0.72916666666666663</v>
      </c>
      <c r="K33" s="50" t="s">
        <v>30</v>
      </c>
      <c r="L33" s="50" t="s">
        <v>31</v>
      </c>
      <c r="M33" s="50"/>
      <c r="N33" s="50" t="s">
        <v>289</v>
      </c>
      <c r="O33" s="50"/>
    </row>
    <row r="34" spans="1:15" s="52" customFormat="1" ht="13.2">
      <c r="A34" s="49">
        <v>8366</v>
      </c>
      <c r="B34" s="50" t="s">
        <v>125</v>
      </c>
      <c r="C34" s="51"/>
      <c r="D34" s="50">
        <v>44818</v>
      </c>
      <c r="E34" s="50" t="str">
        <f t="shared" si="1"/>
        <v>Albatros/Conventus MW1</v>
      </c>
      <c r="F34" s="50" t="s">
        <v>126</v>
      </c>
      <c r="G34" s="50" t="s">
        <v>14</v>
      </c>
      <c r="H34" s="50" t="s">
        <v>127</v>
      </c>
      <c r="I34" s="50" t="str">
        <f t="shared" si="0"/>
        <v>HKC (Ha) MW1 - Albatros/Conventus MW1</v>
      </c>
      <c r="J34" s="51">
        <v>0.85416666666666663</v>
      </c>
      <c r="K34" s="50" t="s">
        <v>21</v>
      </c>
      <c r="L34" s="50" t="s">
        <v>31</v>
      </c>
      <c r="M34" s="50"/>
      <c r="N34" s="50"/>
      <c r="O34" s="50"/>
    </row>
    <row r="35" spans="1:15" s="52" customFormat="1" ht="13.2">
      <c r="A35" s="49">
        <v>532</v>
      </c>
      <c r="B35" s="50" t="s">
        <v>23</v>
      </c>
      <c r="C35" s="51"/>
      <c r="D35" s="50">
        <v>44821</v>
      </c>
      <c r="E35" s="50" t="str">
        <f t="shared" si="1"/>
        <v>Albatros F2</v>
      </c>
      <c r="F35" s="50" t="s">
        <v>128</v>
      </c>
      <c r="G35" s="50" t="s">
        <v>14</v>
      </c>
      <c r="H35" s="50" t="s">
        <v>43</v>
      </c>
      <c r="I35" s="50" t="str">
        <f t="shared" si="0"/>
        <v>DeetosSnel F2 - Albatros F2</v>
      </c>
      <c r="J35" s="51">
        <v>0.375</v>
      </c>
      <c r="K35" s="50" t="s">
        <v>129</v>
      </c>
      <c r="L35" s="50" t="s">
        <v>45</v>
      </c>
      <c r="M35" s="50"/>
      <c r="N35" s="50"/>
      <c r="O35" s="50"/>
    </row>
    <row r="36" spans="1:15" s="52" customFormat="1" ht="13.2">
      <c r="A36" s="49">
        <v>9196</v>
      </c>
      <c r="B36" s="50" t="s">
        <v>97</v>
      </c>
      <c r="C36" s="51"/>
      <c r="D36" s="50">
        <v>44821</v>
      </c>
      <c r="E36" s="50" t="str">
        <f t="shared" si="1"/>
        <v>Albatros D1</v>
      </c>
      <c r="F36" s="50" t="s">
        <v>99</v>
      </c>
      <c r="G36" s="50" t="s">
        <v>14</v>
      </c>
      <c r="H36" s="50" t="s">
        <v>130</v>
      </c>
      <c r="I36" s="50" t="str">
        <f t="shared" si="0"/>
        <v>Albatros D1 - Oranje Wit (D) D1</v>
      </c>
      <c r="J36" s="51">
        <v>0.39583333333333331</v>
      </c>
      <c r="K36" s="50" t="s">
        <v>30</v>
      </c>
      <c r="L36" s="50" t="s">
        <v>31</v>
      </c>
      <c r="M36" s="50"/>
      <c r="N36" s="50" t="s">
        <v>289</v>
      </c>
      <c r="O36" s="50"/>
    </row>
    <row r="37" spans="1:15" s="52" customFormat="1" ht="13.2">
      <c r="A37" s="49">
        <v>4186</v>
      </c>
      <c r="B37" s="50" t="s">
        <v>12</v>
      </c>
      <c r="C37" s="51"/>
      <c r="D37" s="50">
        <v>44821</v>
      </c>
      <c r="E37" s="50" t="str">
        <f t="shared" si="1"/>
        <v>Albatros D3</v>
      </c>
      <c r="F37" s="50" t="s">
        <v>15</v>
      </c>
      <c r="G37" s="50" t="s">
        <v>14</v>
      </c>
      <c r="H37" s="50" t="s">
        <v>131</v>
      </c>
      <c r="I37" s="50" t="str">
        <f t="shared" si="0"/>
        <v>Albatros D3 - ACKC D1</v>
      </c>
      <c r="J37" s="51">
        <v>0.39583333333333331</v>
      </c>
      <c r="K37" s="50" t="s">
        <v>30</v>
      </c>
      <c r="L37" s="50" t="s">
        <v>107</v>
      </c>
      <c r="M37" s="50"/>
      <c r="N37" s="50" t="s">
        <v>1964</v>
      </c>
      <c r="O37" s="50"/>
    </row>
    <row r="38" spans="1:15" s="52" customFormat="1" ht="13.2">
      <c r="A38" s="49">
        <v>2220</v>
      </c>
      <c r="B38" s="50" t="s">
        <v>18</v>
      </c>
      <c r="C38" s="51"/>
      <c r="D38" s="50">
        <v>44821</v>
      </c>
      <c r="E38" s="50" t="str">
        <f t="shared" si="1"/>
        <v>Albatros E2</v>
      </c>
      <c r="F38" s="50" t="s">
        <v>20</v>
      </c>
      <c r="G38" s="50" t="s">
        <v>14</v>
      </c>
      <c r="H38" s="50" t="s">
        <v>132</v>
      </c>
      <c r="I38" s="50" t="str">
        <f t="shared" si="0"/>
        <v>Albatros E2 - PKC/Vertom E2</v>
      </c>
      <c r="J38" s="51">
        <v>0.39583333333333331</v>
      </c>
      <c r="K38" s="50" t="s">
        <v>30</v>
      </c>
      <c r="L38" s="50" t="s">
        <v>66</v>
      </c>
      <c r="M38" s="50"/>
      <c r="N38" s="50" t="s">
        <v>1955</v>
      </c>
      <c r="O38" s="50"/>
    </row>
    <row r="39" spans="1:15" s="52" customFormat="1" ht="13.2">
      <c r="A39" s="49">
        <v>7890</v>
      </c>
      <c r="B39" s="50" t="s">
        <v>49</v>
      </c>
      <c r="C39" s="51"/>
      <c r="D39" s="50">
        <v>44821</v>
      </c>
      <c r="E39" s="50" t="str">
        <f t="shared" si="1"/>
        <v>Albatros C1</v>
      </c>
      <c r="F39" s="50" t="s">
        <v>133</v>
      </c>
      <c r="G39" s="50" t="s">
        <v>14</v>
      </c>
      <c r="H39" s="50" t="s">
        <v>50</v>
      </c>
      <c r="I39" s="50" t="str">
        <f t="shared" si="0"/>
        <v>Nieuwerkerk C1 - Albatros C1</v>
      </c>
      <c r="J39" s="51">
        <v>0.41666666666666669</v>
      </c>
      <c r="K39" s="50" t="s">
        <v>134</v>
      </c>
      <c r="L39" s="50" t="s">
        <v>31</v>
      </c>
      <c r="M39" s="50"/>
      <c r="N39" s="50"/>
      <c r="O39" s="50"/>
    </row>
    <row r="40" spans="1:15" s="52" customFormat="1" ht="13.2">
      <c r="A40" s="49">
        <v>515</v>
      </c>
      <c r="B40" s="50" t="s">
        <v>23</v>
      </c>
      <c r="C40" s="51"/>
      <c r="D40" s="50">
        <v>44821</v>
      </c>
      <c r="E40" s="50" t="str">
        <f t="shared" si="1"/>
        <v>Albatros F1</v>
      </c>
      <c r="F40" s="50" t="s">
        <v>53</v>
      </c>
      <c r="G40" s="50" t="s">
        <v>14</v>
      </c>
      <c r="H40" s="50" t="s">
        <v>135</v>
      </c>
      <c r="I40" s="50" t="str">
        <f t="shared" si="0"/>
        <v>Albatros F1 - Merwede/Multiplaat F1</v>
      </c>
      <c r="J40" s="51">
        <v>0.41666666666666669</v>
      </c>
      <c r="K40" s="50" t="s">
        <v>30</v>
      </c>
      <c r="L40" s="50" t="s">
        <v>45</v>
      </c>
      <c r="M40" s="50"/>
      <c r="N40" s="50" t="s">
        <v>2080</v>
      </c>
      <c r="O40" s="50"/>
    </row>
    <row r="41" spans="1:15" s="52" customFormat="1" ht="13.2">
      <c r="A41" s="49">
        <v>9183</v>
      </c>
      <c r="B41" s="50" t="s">
        <v>60</v>
      </c>
      <c r="C41" s="51"/>
      <c r="D41" s="50">
        <v>44821</v>
      </c>
      <c r="E41" s="50" t="str">
        <f t="shared" si="1"/>
        <v>Albatros B2</v>
      </c>
      <c r="F41" s="50" t="s">
        <v>62</v>
      </c>
      <c r="G41" s="50" t="s">
        <v>14</v>
      </c>
      <c r="H41" s="50" t="s">
        <v>136</v>
      </c>
      <c r="I41" s="50" t="str">
        <f t="shared" si="0"/>
        <v>Albatros B2 - KCR B2</v>
      </c>
      <c r="J41" s="51">
        <v>0.4375</v>
      </c>
      <c r="K41" s="50" t="s">
        <v>30</v>
      </c>
      <c r="L41" s="50" t="s">
        <v>31</v>
      </c>
      <c r="M41" s="50"/>
      <c r="N41" s="50" t="s">
        <v>289</v>
      </c>
      <c r="O41" s="50"/>
    </row>
    <row r="42" spans="1:15" s="52" customFormat="1" ht="13.2">
      <c r="A42" s="49">
        <v>6228</v>
      </c>
      <c r="B42" s="50" t="s">
        <v>46</v>
      </c>
      <c r="C42" s="51"/>
      <c r="D42" s="50">
        <v>44821</v>
      </c>
      <c r="E42" s="50" t="str">
        <f t="shared" si="1"/>
        <v>Albatros B3</v>
      </c>
      <c r="F42" s="50" t="s">
        <v>137</v>
      </c>
      <c r="G42" s="50" t="s">
        <v>14</v>
      </c>
      <c r="H42" s="50" t="s">
        <v>47</v>
      </c>
      <c r="I42" s="50" t="str">
        <f t="shared" si="0"/>
        <v>Oranje Wit (D) B3 - Albatros B3</v>
      </c>
      <c r="J42" s="51">
        <v>0.4375</v>
      </c>
      <c r="K42" s="50" t="s">
        <v>41</v>
      </c>
      <c r="L42" s="50" t="s">
        <v>107</v>
      </c>
      <c r="M42" s="50"/>
      <c r="N42" s="50"/>
      <c r="O42" s="50"/>
    </row>
    <row r="43" spans="1:15" s="52" customFormat="1" ht="13.2">
      <c r="A43" s="49">
        <v>10541</v>
      </c>
      <c r="B43" s="50" t="s">
        <v>69</v>
      </c>
      <c r="C43" s="51"/>
      <c r="D43" s="50">
        <v>44821</v>
      </c>
      <c r="E43" s="50" t="str">
        <f t="shared" si="1"/>
        <v>Albatros C4</v>
      </c>
      <c r="F43" s="50" t="s">
        <v>74</v>
      </c>
      <c r="G43" s="50" t="s">
        <v>14</v>
      </c>
      <c r="H43" s="50" t="s">
        <v>138</v>
      </c>
      <c r="I43" s="50" t="str">
        <f t="shared" si="0"/>
        <v>Albatros C4 - KCC/CK Kozijnen C2</v>
      </c>
      <c r="J43" s="51">
        <v>0.4375</v>
      </c>
      <c r="K43" s="50" t="s">
        <v>30</v>
      </c>
      <c r="L43" s="50" t="s">
        <v>107</v>
      </c>
      <c r="M43" s="50"/>
      <c r="N43" s="50" t="s">
        <v>298</v>
      </c>
      <c r="O43" s="50"/>
    </row>
    <row r="44" spans="1:15" s="52" customFormat="1" ht="13.2">
      <c r="A44" s="49">
        <v>1363</v>
      </c>
      <c r="B44" s="50" t="s">
        <v>18</v>
      </c>
      <c r="C44" s="51"/>
      <c r="D44" s="50">
        <v>44821</v>
      </c>
      <c r="E44" s="50" t="str">
        <f t="shared" si="1"/>
        <v>Albatros E3</v>
      </c>
      <c r="F44" s="50" t="s">
        <v>40</v>
      </c>
      <c r="G44" s="50" t="s">
        <v>14</v>
      </c>
      <c r="H44" s="50" t="s">
        <v>139</v>
      </c>
      <c r="I44" s="50" t="str">
        <f t="shared" si="0"/>
        <v>Albatros E3 - DVS '69 E1</v>
      </c>
      <c r="J44" s="51">
        <v>0.4375</v>
      </c>
      <c r="K44" s="50" t="s">
        <v>30</v>
      </c>
      <c r="L44" s="50" t="s">
        <v>66</v>
      </c>
      <c r="M44" s="50"/>
      <c r="N44" s="50" t="s">
        <v>399</v>
      </c>
      <c r="O44" s="50"/>
    </row>
    <row r="45" spans="1:15" s="52" customFormat="1" ht="13.2">
      <c r="A45" s="49">
        <v>9376</v>
      </c>
      <c r="B45" s="50" t="s">
        <v>104</v>
      </c>
      <c r="C45" s="51"/>
      <c r="D45" s="50">
        <v>44821</v>
      </c>
      <c r="E45" s="50" t="str">
        <f t="shared" si="1"/>
        <v>Albatros 7</v>
      </c>
      <c r="F45" s="50" t="s">
        <v>140</v>
      </c>
      <c r="G45" s="50" t="s">
        <v>14</v>
      </c>
      <c r="H45" s="50" t="s">
        <v>105</v>
      </c>
      <c r="I45" s="50" t="str">
        <f t="shared" si="0"/>
        <v>Sporting Delta 7 - Albatros 7</v>
      </c>
      <c r="J45" s="51">
        <v>0.44791666666666669</v>
      </c>
      <c r="K45" s="50" t="s">
        <v>141</v>
      </c>
      <c r="L45" s="50" t="s">
        <v>59</v>
      </c>
      <c r="M45" s="50"/>
      <c r="N45" s="50"/>
      <c r="O45" s="50"/>
    </row>
    <row r="46" spans="1:15" s="52" customFormat="1" ht="13.2">
      <c r="A46" s="49">
        <v>7416</v>
      </c>
      <c r="B46" s="50" t="s">
        <v>84</v>
      </c>
      <c r="C46" s="51"/>
      <c r="D46" s="50">
        <v>44821</v>
      </c>
      <c r="E46" s="50" t="str">
        <f t="shared" si="1"/>
        <v>Albatros B1</v>
      </c>
      <c r="F46" s="50" t="s">
        <v>142</v>
      </c>
      <c r="G46" s="50" t="s">
        <v>14</v>
      </c>
      <c r="H46" s="50" t="s">
        <v>85</v>
      </c>
      <c r="I46" s="50" t="str">
        <f t="shared" si="0"/>
        <v>TOP (A) B1 - Albatros B1</v>
      </c>
      <c r="J46" s="51">
        <v>0.45833333333333331</v>
      </c>
      <c r="K46" s="50" t="s">
        <v>143</v>
      </c>
      <c r="L46" s="50" t="s">
        <v>31</v>
      </c>
      <c r="M46" s="50"/>
      <c r="N46" s="50"/>
      <c r="O46" s="50"/>
    </row>
    <row r="47" spans="1:15" s="52" customFormat="1" ht="13.2">
      <c r="A47" s="49">
        <v>3624</v>
      </c>
      <c r="B47" s="50" t="s">
        <v>12</v>
      </c>
      <c r="C47" s="51"/>
      <c r="D47" s="50">
        <v>44821</v>
      </c>
      <c r="E47" s="50" t="str">
        <f t="shared" si="1"/>
        <v>Albatros D4</v>
      </c>
      <c r="F47" s="50" t="s">
        <v>144</v>
      </c>
      <c r="G47" s="50" t="s">
        <v>14</v>
      </c>
      <c r="H47" s="50" t="s">
        <v>32</v>
      </c>
      <c r="I47" s="50" t="str">
        <f t="shared" si="0"/>
        <v>DeetosSnel D2 - Albatros D4</v>
      </c>
      <c r="J47" s="51">
        <v>0.45833333333333331</v>
      </c>
      <c r="K47" s="50" t="s">
        <v>129</v>
      </c>
      <c r="L47" s="50" t="s">
        <v>96</v>
      </c>
      <c r="M47" s="50"/>
      <c r="N47" s="50"/>
      <c r="O47" s="50"/>
    </row>
    <row r="48" spans="1:15" s="52" customFormat="1" ht="13.2">
      <c r="A48" s="49">
        <v>2202</v>
      </c>
      <c r="B48" s="50" t="s">
        <v>18</v>
      </c>
      <c r="C48" s="51"/>
      <c r="D48" s="50">
        <v>44821</v>
      </c>
      <c r="E48" s="50" t="str">
        <f t="shared" si="1"/>
        <v>Albatros E1</v>
      </c>
      <c r="F48" s="50" t="s">
        <v>145</v>
      </c>
      <c r="G48" s="50" t="s">
        <v>14</v>
      </c>
      <c r="H48" s="50" t="s">
        <v>64</v>
      </c>
      <c r="I48" s="50" t="str">
        <f t="shared" si="0"/>
        <v>PKC/Vertom E1 - Albatros E1</v>
      </c>
      <c r="J48" s="51">
        <v>0.45833333333333331</v>
      </c>
      <c r="K48" s="50" t="s">
        <v>16</v>
      </c>
      <c r="L48" s="50" t="s">
        <v>146</v>
      </c>
      <c r="M48" s="50"/>
      <c r="N48" s="50"/>
      <c r="O48" s="50"/>
    </row>
    <row r="49" spans="1:15" s="52" customFormat="1" ht="13.2">
      <c r="A49" s="49">
        <v>11358</v>
      </c>
      <c r="B49" s="50" t="s">
        <v>23</v>
      </c>
      <c r="C49" s="51"/>
      <c r="D49" s="50">
        <v>44821</v>
      </c>
      <c r="E49" s="50" t="str">
        <f t="shared" si="1"/>
        <v>Albatros F3</v>
      </c>
      <c r="F49" s="50" t="s">
        <v>25</v>
      </c>
      <c r="G49" s="50" t="s">
        <v>14</v>
      </c>
      <c r="H49" s="50" t="s">
        <v>147</v>
      </c>
      <c r="I49" s="50" t="str">
        <f t="shared" si="0"/>
        <v>Albatros F3 - GKV/Enomics F2</v>
      </c>
      <c r="J49" s="51">
        <v>0.45833333333333331</v>
      </c>
      <c r="K49" s="50" t="s">
        <v>30</v>
      </c>
      <c r="L49" s="50" t="s">
        <v>45</v>
      </c>
      <c r="M49" s="50"/>
      <c r="N49" s="50" t="s">
        <v>788</v>
      </c>
      <c r="O49" s="50"/>
    </row>
    <row r="50" spans="1:15" s="52" customFormat="1" ht="13.2">
      <c r="A50" s="49">
        <v>5054</v>
      </c>
      <c r="B50" s="50" t="s">
        <v>69</v>
      </c>
      <c r="C50" s="51"/>
      <c r="D50" s="50">
        <v>44821</v>
      </c>
      <c r="E50" s="50" t="str">
        <f t="shared" si="1"/>
        <v>Albatros C3</v>
      </c>
      <c r="F50" s="50" t="s">
        <v>71</v>
      </c>
      <c r="G50" s="50" t="s">
        <v>14</v>
      </c>
      <c r="H50" s="50" t="s">
        <v>148</v>
      </c>
      <c r="I50" s="50" t="str">
        <f t="shared" si="0"/>
        <v>Albatros C3 - DeetosSnel C2</v>
      </c>
      <c r="J50" s="51">
        <v>0.47916666666666669</v>
      </c>
      <c r="K50" s="50" t="s">
        <v>30</v>
      </c>
      <c r="L50" s="50" t="s">
        <v>107</v>
      </c>
      <c r="M50" s="50"/>
      <c r="N50" s="50" t="s">
        <v>456</v>
      </c>
      <c r="O50" s="50"/>
    </row>
    <row r="51" spans="1:15" s="52" customFormat="1" ht="13.2">
      <c r="A51" s="49">
        <v>2219</v>
      </c>
      <c r="B51" s="50" t="s">
        <v>18</v>
      </c>
      <c r="C51" s="51"/>
      <c r="D51" s="50">
        <v>44821</v>
      </c>
      <c r="E51" s="50" t="str">
        <f t="shared" si="1"/>
        <v>Albatros E4</v>
      </c>
      <c r="F51" s="50" t="s">
        <v>36</v>
      </c>
      <c r="G51" s="50" t="s">
        <v>14</v>
      </c>
      <c r="H51" s="50" t="s">
        <v>149</v>
      </c>
      <c r="I51" s="50" t="str">
        <f t="shared" si="0"/>
        <v>Albatros E4 - Movado E1</v>
      </c>
      <c r="J51" s="51">
        <v>0.47916666666666669</v>
      </c>
      <c r="K51" s="50" t="s">
        <v>30</v>
      </c>
      <c r="L51" s="50" t="s">
        <v>66</v>
      </c>
      <c r="M51" s="50"/>
      <c r="N51" s="50" t="s">
        <v>288</v>
      </c>
      <c r="O51" s="50"/>
    </row>
    <row r="52" spans="1:15" s="52" customFormat="1" ht="13.2">
      <c r="A52" s="49">
        <v>10160</v>
      </c>
      <c r="B52" s="50" t="s">
        <v>150</v>
      </c>
      <c r="C52" s="51"/>
      <c r="D52" s="50">
        <v>44821</v>
      </c>
      <c r="E52" s="50" t="str">
        <f t="shared" si="1"/>
        <v>Albatros G1</v>
      </c>
      <c r="F52" s="50" t="s">
        <v>151</v>
      </c>
      <c r="G52" s="50" t="s">
        <v>14</v>
      </c>
      <c r="H52" s="50" t="s">
        <v>152</v>
      </c>
      <c r="I52" s="50" t="str">
        <f t="shared" si="0"/>
        <v>IJsselvogels G1 - Albatros G1</v>
      </c>
      <c r="J52" s="51">
        <v>0.47916666666666669</v>
      </c>
      <c r="K52" s="50" t="s">
        <v>153</v>
      </c>
      <c r="L52" s="50" t="s">
        <v>59</v>
      </c>
      <c r="M52" s="50"/>
      <c r="N52" s="50"/>
      <c r="O52" s="50"/>
    </row>
    <row r="53" spans="1:15" s="52" customFormat="1" ht="13.2">
      <c r="A53" s="49">
        <v>8052</v>
      </c>
      <c r="B53" s="50" t="s">
        <v>55</v>
      </c>
      <c r="C53" s="51"/>
      <c r="D53" s="50">
        <v>44821</v>
      </c>
      <c r="E53" s="50" t="str">
        <f t="shared" si="1"/>
        <v>Albatros C2</v>
      </c>
      <c r="F53" s="50" t="s">
        <v>57</v>
      </c>
      <c r="G53" s="50" t="s">
        <v>14</v>
      </c>
      <c r="H53" s="50" t="s">
        <v>154</v>
      </c>
      <c r="I53" s="50" t="str">
        <f t="shared" si="0"/>
        <v>Albatros C2 - Fortis C1</v>
      </c>
      <c r="J53" s="51">
        <v>0.5</v>
      </c>
      <c r="K53" s="50" t="s">
        <v>30</v>
      </c>
      <c r="L53" s="50" t="s">
        <v>31</v>
      </c>
      <c r="M53" s="50"/>
      <c r="N53" s="50" t="s">
        <v>289</v>
      </c>
      <c r="O53" s="50"/>
    </row>
    <row r="54" spans="1:15" s="52" customFormat="1" ht="13.2">
      <c r="A54" s="49">
        <v>6990</v>
      </c>
      <c r="B54" s="50" t="s">
        <v>90</v>
      </c>
      <c r="C54" s="51"/>
      <c r="D54" s="50">
        <v>44821</v>
      </c>
      <c r="E54" s="50" t="str">
        <f t="shared" si="1"/>
        <v>Albatros A1</v>
      </c>
      <c r="F54" s="50" t="s">
        <v>155</v>
      </c>
      <c r="G54" s="50" t="s">
        <v>14</v>
      </c>
      <c r="H54" s="50" t="s">
        <v>91</v>
      </c>
      <c r="I54" s="50" t="str">
        <f t="shared" si="0"/>
        <v>PKC/Vertom A1 - Albatros A1</v>
      </c>
      <c r="J54" s="51">
        <v>0.52083333333333337</v>
      </c>
      <c r="K54" s="50" t="s">
        <v>16</v>
      </c>
      <c r="L54" s="50" t="s">
        <v>31</v>
      </c>
      <c r="M54" s="50"/>
      <c r="N54" s="50"/>
      <c r="O54" s="50"/>
    </row>
    <row r="55" spans="1:15" s="52" customFormat="1" ht="13.2">
      <c r="A55" s="49">
        <v>4244</v>
      </c>
      <c r="B55" s="50" t="s">
        <v>12</v>
      </c>
      <c r="C55" s="51"/>
      <c r="D55" s="50">
        <v>44821</v>
      </c>
      <c r="E55" s="50" t="str">
        <f t="shared" si="1"/>
        <v>Albatros D2</v>
      </c>
      <c r="F55" s="50" t="s">
        <v>156</v>
      </c>
      <c r="G55" s="50" t="s">
        <v>14</v>
      </c>
      <c r="H55" s="50" t="s">
        <v>28</v>
      </c>
      <c r="I55" s="50" t="str">
        <f t="shared" si="0"/>
        <v>OJC '98 D1 - Albatros D2</v>
      </c>
      <c r="J55" s="51">
        <v>0.52777777777777779</v>
      </c>
      <c r="K55" s="50" t="s">
        <v>157</v>
      </c>
      <c r="L55" s="50" t="s">
        <v>59</v>
      </c>
      <c r="M55" s="50"/>
      <c r="N55" s="50"/>
      <c r="O55" s="50"/>
    </row>
    <row r="56" spans="1:15" s="52" customFormat="1" ht="13.2">
      <c r="A56" s="49">
        <v>7286</v>
      </c>
      <c r="B56" s="50" t="s">
        <v>93</v>
      </c>
      <c r="C56" s="51"/>
      <c r="D56" s="50">
        <v>44821</v>
      </c>
      <c r="E56" s="50" t="str">
        <f t="shared" si="1"/>
        <v>Albatros A4</v>
      </c>
      <c r="F56" s="50" t="s">
        <v>95</v>
      </c>
      <c r="G56" s="50" t="s">
        <v>14</v>
      </c>
      <c r="H56" s="50" t="s">
        <v>158</v>
      </c>
      <c r="I56" s="50" t="str">
        <f t="shared" si="0"/>
        <v>Albatros A4 - ACKC A2</v>
      </c>
      <c r="J56" s="51">
        <v>0.53125</v>
      </c>
      <c r="K56" s="50" t="s">
        <v>30</v>
      </c>
      <c r="L56" s="50" t="s">
        <v>107</v>
      </c>
      <c r="M56" s="50"/>
      <c r="N56" s="50" t="s">
        <v>567</v>
      </c>
      <c r="O56" s="50"/>
    </row>
    <row r="57" spans="1:15" s="52" customFormat="1" ht="13.2">
      <c r="A57" s="49">
        <v>1313</v>
      </c>
      <c r="B57" s="50" t="s">
        <v>18</v>
      </c>
      <c r="C57" s="51"/>
      <c r="D57" s="50">
        <v>44821</v>
      </c>
      <c r="E57" s="50" t="str">
        <f t="shared" si="1"/>
        <v>Albatros E5</v>
      </c>
      <c r="F57" s="50" t="s">
        <v>159</v>
      </c>
      <c r="G57" s="50" t="s">
        <v>14</v>
      </c>
      <c r="H57" s="50" t="s">
        <v>67</v>
      </c>
      <c r="I57" s="50" t="str">
        <f t="shared" si="0"/>
        <v>Scheldevogels E1 - Albatros E5</v>
      </c>
      <c r="J57" s="51">
        <v>0.53819444444444442</v>
      </c>
      <c r="K57" s="50" t="s">
        <v>160</v>
      </c>
      <c r="L57" s="50" t="s">
        <v>66</v>
      </c>
      <c r="M57" s="50"/>
      <c r="N57" s="50"/>
      <c r="O57" s="50"/>
    </row>
    <row r="58" spans="1:15" s="52" customFormat="1" ht="13.2">
      <c r="A58" s="49">
        <v>3910</v>
      </c>
      <c r="B58" s="50" t="s">
        <v>122</v>
      </c>
      <c r="C58" s="51"/>
      <c r="D58" s="50">
        <v>44821</v>
      </c>
      <c r="E58" s="50" t="str">
        <f t="shared" si="1"/>
        <v>Albatros 3</v>
      </c>
      <c r="F58" s="50" t="s">
        <v>161</v>
      </c>
      <c r="G58" s="50" t="s">
        <v>14</v>
      </c>
      <c r="H58" s="50" t="s">
        <v>123</v>
      </c>
      <c r="I58" s="50" t="str">
        <f t="shared" si="0"/>
        <v>Fortuna/Delta Logistiek 4 - Albatros 3</v>
      </c>
      <c r="J58" s="51">
        <v>0.54166666666666663</v>
      </c>
      <c r="K58" s="50" t="s">
        <v>162</v>
      </c>
      <c r="L58" s="50" t="s">
        <v>31</v>
      </c>
      <c r="M58" s="50"/>
      <c r="N58" s="50"/>
      <c r="O58" s="50"/>
    </row>
    <row r="59" spans="1:15" s="52" customFormat="1" ht="13.2">
      <c r="A59" s="49">
        <v>7035</v>
      </c>
      <c r="B59" s="50" t="s">
        <v>81</v>
      </c>
      <c r="C59" s="51"/>
      <c r="D59" s="50">
        <v>44821</v>
      </c>
      <c r="E59" s="50" t="str">
        <f t="shared" si="1"/>
        <v>Albatros A2</v>
      </c>
      <c r="F59" s="50" t="s">
        <v>163</v>
      </c>
      <c r="G59" s="50" t="s">
        <v>14</v>
      </c>
      <c r="H59" s="50" t="s">
        <v>82</v>
      </c>
      <c r="I59" s="50" t="str">
        <f t="shared" si="0"/>
        <v>Tjoba A1 - Albatros A2</v>
      </c>
      <c r="J59" s="51">
        <v>0.54166666666666663</v>
      </c>
      <c r="K59" s="50" t="s">
        <v>164</v>
      </c>
      <c r="L59" s="50" t="s">
        <v>165</v>
      </c>
      <c r="M59" s="50"/>
      <c r="N59" s="50"/>
      <c r="O59" s="50"/>
    </row>
    <row r="60" spans="1:15" s="52" customFormat="1" ht="13.2">
      <c r="A60" s="49">
        <v>10198</v>
      </c>
      <c r="B60" s="50" t="s">
        <v>150</v>
      </c>
      <c r="C60" s="51"/>
      <c r="D60" s="50">
        <v>44821</v>
      </c>
      <c r="E60" s="50" t="s">
        <v>152</v>
      </c>
      <c r="F60" s="50" t="s">
        <v>152</v>
      </c>
      <c r="G60" s="50" t="s">
        <v>14</v>
      </c>
      <c r="H60" s="50" t="s">
        <v>166</v>
      </c>
      <c r="I60" s="50" t="str">
        <f t="shared" si="0"/>
        <v>Albatros G1 - KCR G1</v>
      </c>
      <c r="J60" s="51">
        <v>0.54166666666666663</v>
      </c>
      <c r="K60" s="50" t="s">
        <v>153</v>
      </c>
      <c r="L60" s="50" t="s">
        <v>59</v>
      </c>
      <c r="M60" s="50"/>
      <c r="N60" s="50" t="s">
        <v>2135</v>
      </c>
      <c r="O60" s="50"/>
    </row>
    <row r="61" spans="1:15" s="52" customFormat="1" ht="13.2">
      <c r="A61" s="49">
        <v>8751</v>
      </c>
      <c r="B61" s="50" t="s">
        <v>104</v>
      </c>
      <c r="C61" s="51"/>
      <c r="D61" s="50">
        <v>44821</v>
      </c>
      <c r="E61" s="50" t="str">
        <f t="shared" si="1"/>
        <v>Albatros 8</v>
      </c>
      <c r="F61" s="50" t="s">
        <v>112</v>
      </c>
      <c r="G61" s="50" t="s">
        <v>14</v>
      </c>
      <c r="H61" s="50" t="s">
        <v>167</v>
      </c>
      <c r="I61" s="50" t="str">
        <f t="shared" si="0"/>
        <v>Albatros 8 - PKC/Vertom 8</v>
      </c>
      <c r="J61" s="51">
        <v>0.55208333333333337</v>
      </c>
      <c r="K61" s="50" t="s">
        <v>30</v>
      </c>
      <c r="L61" s="50" t="s">
        <v>31</v>
      </c>
      <c r="M61" s="50"/>
      <c r="N61" s="50" t="s">
        <v>606</v>
      </c>
      <c r="O61" s="50"/>
    </row>
    <row r="62" spans="1:15" s="52" customFormat="1" ht="13.2">
      <c r="A62" s="49">
        <v>8793</v>
      </c>
      <c r="B62" s="50" t="s">
        <v>104</v>
      </c>
      <c r="C62" s="51"/>
      <c r="D62" s="50">
        <v>44821</v>
      </c>
      <c r="E62" s="50" t="str">
        <f t="shared" si="1"/>
        <v>Albatros 6</v>
      </c>
      <c r="F62" s="50" t="s">
        <v>168</v>
      </c>
      <c r="G62" s="50" t="s">
        <v>14</v>
      </c>
      <c r="H62" s="50" t="s">
        <v>115</v>
      </c>
      <c r="I62" s="50" t="str">
        <f t="shared" si="0"/>
        <v>GKV/Enomics 4 - Albatros 6</v>
      </c>
      <c r="J62" s="51">
        <v>0.58333333333333337</v>
      </c>
      <c r="K62" s="50" t="s">
        <v>54</v>
      </c>
      <c r="L62" s="50" t="s">
        <v>31</v>
      </c>
      <c r="M62" s="50"/>
      <c r="N62" s="50"/>
      <c r="O62" s="50"/>
    </row>
    <row r="63" spans="1:15" s="52" customFormat="1" ht="13.2">
      <c r="A63" s="49">
        <v>9389</v>
      </c>
      <c r="B63" s="50" t="s">
        <v>104</v>
      </c>
      <c r="C63" s="51"/>
      <c r="D63" s="50">
        <v>44821</v>
      </c>
      <c r="E63" s="50" t="str">
        <f t="shared" si="1"/>
        <v>Albatros 9</v>
      </c>
      <c r="F63" s="50" t="s">
        <v>169</v>
      </c>
      <c r="G63" s="50" t="s">
        <v>14</v>
      </c>
      <c r="H63" s="50" t="s">
        <v>120</v>
      </c>
      <c r="I63" s="50" t="str">
        <f t="shared" si="0"/>
        <v>ADO 5 - Albatros 9</v>
      </c>
      <c r="J63" s="51">
        <v>0.58333333333333337</v>
      </c>
      <c r="K63" s="50" t="s">
        <v>170</v>
      </c>
      <c r="L63" s="50" t="s">
        <v>31</v>
      </c>
      <c r="M63" s="50"/>
      <c r="N63" s="50"/>
      <c r="O63" s="50"/>
    </row>
    <row r="64" spans="1:15" s="52" customFormat="1" ht="13.2">
      <c r="A64" s="49">
        <v>7284</v>
      </c>
      <c r="B64" s="50" t="s">
        <v>93</v>
      </c>
      <c r="C64" s="51"/>
      <c r="D64" s="50">
        <v>44821</v>
      </c>
      <c r="E64" s="50" t="str">
        <f t="shared" si="1"/>
        <v>Albatros A3</v>
      </c>
      <c r="F64" s="50" t="s">
        <v>171</v>
      </c>
      <c r="G64" s="50" t="s">
        <v>14</v>
      </c>
      <c r="H64" s="50" t="s">
        <v>102</v>
      </c>
      <c r="I64" s="50" t="str">
        <f t="shared" si="0"/>
        <v>KOAG A2 - Albatros A3</v>
      </c>
      <c r="J64" s="51">
        <v>0.60416666666666663</v>
      </c>
      <c r="K64" s="50" t="s">
        <v>63</v>
      </c>
      <c r="L64" s="50" t="s">
        <v>59</v>
      </c>
      <c r="M64" s="50"/>
      <c r="N64" s="50"/>
      <c r="O64" s="50"/>
    </row>
    <row r="65" spans="1:15" s="52" customFormat="1" ht="13.2">
      <c r="A65" s="49">
        <v>4438</v>
      </c>
      <c r="B65" s="50" t="s">
        <v>77</v>
      </c>
      <c r="C65" s="51"/>
      <c r="D65" s="50">
        <v>44821</v>
      </c>
      <c r="E65" s="50" t="str">
        <f t="shared" si="1"/>
        <v>Albatros 5</v>
      </c>
      <c r="F65" s="50" t="s">
        <v>79</v>
      </c>
      <c r="G65" s="50" t="s">
        <v>14</v>
      </c>
      <c r="H65" s="50" t="s">
        <v>172</v>
      </c>
      <c r="I65" s="50" t="str">
        <f t="shared" si="0"/>
        <v>Albatros 5 - Vitesse (Ba) 3</v>
      </c>
      <c r="J65" s="51">
        <v>0.61458333333333337</v>
      </c>
      <c r="K65" s="50" t="s">
        <v>30</v>
      </c>
      <c r="L65" s="50" t="s">
        <v>31</v>
      </c>
      <c r="M65" s="50"/>
      <c r="N65" s="50" t="s">
        <v>289</v>
      </c>
      <c r="O65" s="50"/>
    </row>
    <row r="66" spans="1:15" s="52" customFormat="1" ht="13.2">
      <c r="A66" s="49">
        <v>5184</v>
      </c>
      <c r="B66" s="50" t="s">
        <v>108</v>
      </c>
      <c r="C66" s="51"/>
      <c r="D66" s="50">
        <v>44821</v>
      </c>
      <c r="E66" s="50" t="str">
        <f t="shared" si="1"/>
        <v>Albatros 2</v>
      </c>
      <c r="F66" s="50" t="s">
        <v>173</v>
      </c>
      <c r="G66" s="50" t="s">
        <v>14</v>
      </c>
      <c r="H66" s="50" t="s">
        <v>109</v>
      </c>
      <c r="I66" s="50" t="str">
        <f t="shared" si="0"/>
        <v>Vitesse (Ba) 2 - Albatros 2</v>
      </c>
      <c r="J66" s="51">
        <v>0.63888888888888884</v>
      </c>
      <c r="K66" s="50" t="s">
        <v>174</v>
      </c>
      <c r="L66" s="50" t="s">
        <v>31</v>
      </c>
      <c r="M66" s="50"/>
      <c r="N66" s="50"/>
      <c r="O66" s="50"/>
    </row>
    <row r="67" spans="1:15" s="52" customFormat="1" ht="13.2">
      <c r="A67" s="49">
        <v>4429</v>
      </c>
      <c r="B67" s="50" t="s">
        <v>77</v>
      </c>
      <c r="C67" s="51"/>
      <c r="D67" s="50">
        <v>44821</v>
      </c>
      <c r="E67" s="50" t="str">
        <f t="shared" ref="E67:E130" si="2">IF(K67=K$9,F67,H67)</f>
        <v>Albatros 4</v>
      </c>
      <c r="F67" s="50" t="s">
        <v>88</v>
      </c>
      <c r="G67" s="50" t="s">
        <v>14</v>
      </c>
      <c r="H67" s="50" t="s">
        <v>175</v>
      </c>
      <c r="I67" s="50" t="str">
        <f t="shared" si="0"/>
        <v>Albatros 4 - Vitesse (Ba) 4</v>
      </c>
      <c r="J67" s="51">
        <v>0.67708333333333337</v>
      </c>
      <c r="K67" s="50" t="s">
        <v>30</v>
      </c>
      <c r="L67" s="50" t="s">
        <v>31</v>
      </c>
      <c r="M67" s="50"/>
      <c r="N67" s="50" t="s">
        <v>289</v>
      </c>
      <c r="O67" s="50"/>
    </row>
    <row r="68" spans="1:15" s="52" customFormat="1" ht="13.2">
      <c r="A68" s="49">
        <v>1864</v>
      </c>
      <c r="B68" s="50" t="s">
        <v>117</v>
      </c>
      <c r="C68" s="51"/>
      <c r="D68" s="50">
        <v>44821</v>
      </c>
      <c r="E68" s="50" t="str">
        <f t="shared" si="2"/>
        <v>Albatros 1</v>
      </c>
      <c r="F68" s="50" t="s">
        <v>176</v>
      </c>
      <c r="G68" s="50" t="s">
        <v>14</v>
      </c>
      <c r="H68" s="50" t="s">
        <v>118</v>
      </c>
      <c r="I68" s="50" t="str">
        <f t="shared" si="0"/>
        <v>Vitesse (Ba) 1 - Albatros 1</v>
      </c>
      <c r="J68" s="51">
        <v>0.70138888888888884</v>
      </c>
      <c r="K68" s="50" t="s">
        <v>174</v>
      </c>
      <c r="L68" s="50" t="s">
        <v>31</v>
      </c>
      <c r="M68" s="50"/>
      <c r="N68" s="50"/>
      <c r="O68" s="50"/>
    </row>
    <row r="69" spans="1:15" s="52" customFormat="1" ht="13.2">
      <c r="A69" s="49">
        <v>8387</v>
      </c>
      <c r="B69" s="50" t="s">
        <v>125</v>
      </c>
      <c r="C69" s="51"/>
      <c r="D69" s="50">
        <v>44825</v>
      </c>
      <c r="E69" s="50" t="str">
        <f t="shared" si="2"/>
        <v>Albatros/Conventus MW1</v>
      </c>
      <c r="F69" s="50" t="s">
        <v>127</v>
      </c>
      <c r="G69" s="50" t="s">
        <v>14</v>
      </c>
      <c r="H69" s="50" t="s">
        <v>177</v>
      </c>
      <c r="I69" s="50" t="str">
        <f t="shared" si="0"/>
        <v>Albatros/Conventus MW1 - Vriendenschaar (H) MW3</v>
      </c>
      <c r="J69" s="51">
        <v>0.85416666666666663</v>
      </c>
      <c r="K69" s="50" t="s">
        <v>30</v>
      </c>
      <c r="L69" s="50" t="s">
        <v>31</v>
      </c>
      <c r="M69" s="50"/>
      <c r="N69" s="50" t="s">
        <v>2136</v>
      </c>
      <c r="O69" s="50"/>
    </row>
    <row r="70" spans="1:15" s="52" customFormat="1" ht="13.2">
      <c r="A70" s="49">
        <v>8189</v>
      </c>
      <c r="B70" s="50" t="s">
        <v>97</v>
      </c>
      <c r="C70" s="51"/>
      <c r="D70" s="50">
        <v>44828</v>
      </c>
      <c r="E70" s="50" t="str">
        <f t="shared" si="2"/>
        <v>Albatros D1</v>
      </c>
      <c r="F70" s="50" t="s">
        <v>178</v>
      </c>
      <c r="G70" s="50" t="s">
        <v>14</v>
      </c>
      <c r="H70" s="50" t="s">
        <v>99</v>
      </c>
      <c r="I70" s="50" t="str">
        <f t="shared" si="0"/>
        <v>Nieuwerkerk D1 - Albatros D1</v>
      </c>
      <c r="J70" s="51">
        <v>0.375</v>
      </c>
      <c r="K70" s="50" t="s">
        <v>134</v>
      </c>
      <c r="L70" s="50" t="s">
        <v>31</v>
      </c>
      <c r="M70" s="50"/>
      <c r="N70" s="50"/>
      <c r="O70" s="50"/>
    </row>
    <row r="71" spans="1:15" s="52" customFormat="1" ht="13.2">
      <c r="A71" s="49">
        <v>4619</v>
      </c>
      <c r="B71" s="50" t="s">
        <v>12</v>
      </c>
      <c r="C71" s="51"/>
      <c r="D71" s="50">
        <v>44828</v>
      </c>
      <c r="E71" s="50" t="str">
        <f t="shared" si="2"/>
        <v>Albatros D2</v>
      </c>
      <c r="F71" s="50" t="s">
        <v>179</v>
      </c>
      <c r="G71" s="50" t="s">
        <v>14</v>
      </c>
      <c r="H71" s="50" t="s">
        <v>28</v>
      </c>
      <c r="I71" s="50" t="str">
        <f t="shared" si="0"/>
        <v>Merwede/Multiplaat D1 - Albatros D2</v>
      </c>
      <c r="J71" s="51">
        <v>0.375</v>
      </c>
      <c r="K71" s="50" t="s">
        <v>180</v>
      </c>
      <c r="L71" s="50" t="s">
        <v>31</v>
      </c>
      <c r="M71" s="50"/>
      <c r="N71" s="50"/>
      <c r="O71" s="50"/>
    </row>
    <row r="72" spans="1:15" s="52" customFormat="1" ht="13.2">
      <c r="A72" s="49">
        <v>551</v>
      </c>
      <c r="B72" s="50" t="s">
        <v>23</v>
      </c>
      <c r="C72" s="51"/>
      <c r="D72" s="50">
        <v>44828</v>
      </c>
      <c r="E72" s="50" t="str">
        <f t="shared" si="2"/>
        <v>Albatros F3</v>
      </c>
      <c r="F72" s="50" t="s">
        <v>181</v>
      </c>
      <c r="G72" s="50" t="s">
        <v>14</v>
      </c>
      <c r="H72" s="50" t="s">
        <v>25</v>
      </c>
      <c r="I72" s="50" t="str">
        <f t="shared" si="0"/>
        <v>HKC (Ha) F2 - Albatros F3</v>
      </c>
      <c r="J72" s="51">
        <v>0.375</v>
      </c>
      <c r="K72" s="50" t="s">
        <v>21</v>
      </c>
      <c r="L72" s="50" t="s">
        <v>22</v>
      </c>
      <c r="M72" s="50"/>
      <c r="N72" s="50"/>
      <c r="O72" s="50"/>
    </row>
    <row r="73" spans="1:15" s="52" customFormat="1" ht="13.2">
      <c r="A73" s="49">
        <v>10542</v>
      </c>
      <c r="B73" s="50" t="s">
        <v>69</v>
      </c>
      <c r="C73" s="51"/>
      <c r="D73" s="50">
        <v>44828</v>
      </c>
      <c r="E73" s="50" t="str">
        <f t="shared" si="2"/>
        <v>Albatros C4</v>
      </c>
      <c r="F73" s="50" t="s">
        <v>74</v>
      </c>
      <c r="G73" s="50" t="s">
        <v>14</v>
      </c>
      <c r="H73" s="50" t="s">
        <v>182</v>
      </c>
      <c r="I73" s="50" t="str">
        <f t="shared" si="0"/>
        <v>Albatros C4 - RWA C3</v>
      </c>
      <c r="J73" s="51">
        <v>0.39583333333333331</v>
      </c>
      <c r="K73" s="50" t="s">
        <v>30</v>
      </c>
      <c r="L73" s="50" t="s">
        <v>107</v>
      </c>
      <c r="M73" s="50"/>
      <c r="N73" s="50" t="s">
        <v>1480</v>
      </c>
      <c r="O73" s="50"/>
    </row>
    <row r="74" spans="1:15" s="52" customFormat="1" ht="13.2">
      <c r="A74" s="49">
        <v>3962</v>
      </c>
      <c r="B74" s="50" t="s">
        <v>12</v>
      </c>
      <c r="C74" s="51"/>
      <c r="D74" s="50">
        <v>44828</v>
      </c>
      <c r="E74" s="50" t="str">
        <f t="shared" si="2"/>
        <v>Albatros D3</v>
      </c>
      <c r="F74" s="50" t="s">
        <v>15</v>
      </c>
      <c r="G74" s="50" t="s">
        <v>14</v>
      </c>
      <c r="H74" s="50" t="s">
        <v>183</v>
      </c>
      <c r="I74" s="50" t="str">
        <f t="shared" si="0"/>
        <v>Albatros D3 - KCR D2</v>
      </c>
      <c r="J74" s="51">
        <v>0.39583333333333331</v>
      </c>
      <c r="K74" s="50" t="s">
        <v>30</v>
      </c>
      <c r="L74" s="50" t="s">
        <v>34</v>
      </c>
      <c r="M74" s="50"/>
      <c r="N74" s="50" t="s">
        <v>338</v>
      </c>
      <c r="O74" s="50"/>
    </row>
    <row r="75" spans="1:15" s="52" customFormat="1" ht="13.2">
      <c r="A75" s="49">
        <v>1876</v>
      </c>
      <c r="B75" s="50" t="s">
        <v>18</v>
      </c>
      <c r="C75" s="51"/>
      <c r="D75" s="50">
        <v>44828</v>
      </c>
      <c r="E75" s="50" t="str">
        <f t="shared" si="2"/>
        <v>Albatros E2</v>
      </c>
      <c r="F75" s="50" t="s">
        <v>20</v>
      </c>
      <c r="G75" s="50" t="s">
        <v>14</v>
      </c>
      <c r="H75" s="50" t="s">
        <v>184</v>
      </c>
      <c r="I75" s="50" t="str">
        <f t="shared" si="0"/>
        <v>Albatros E2 - Kinderdijk E1</v>
      </c>
      <c r="J75" s="51">
        <v>0.39583333333333331</v>
      </c>
      <c r="K75" s="50" t="s">
        <v>30</v>
      </c>
      <c r="L75" s="50" t="s">
        <v>66</v>
      </c>
      <c r="M75" s="50"/>
      <c r="N75" s="50" t="s">
        <v>2080</v>
      </c>
      <c r="O75" s="50"/>
    </row>
    <row r="76" spans="1:15" s="52" customFormat="1" ht="13.2">
      <c r="A76" s="49">
        <v>7366</v>
      </c>
      <c r="B76" s="50" t="s">
        <v>84</v>
      </c>
      <c r="C76" s="51"/>
      <c r="D76" s="50">
        <v>44828</v>
      </c>
      <c r="E76" s="50" t="str">
        <f t="shared" si="2"/>
        <v>Albatros B1</v>
      </c>
      <c r="F76" s="50" t="s">
        <v>85</v>
      </c>
      <c r="G76" s="50" t="s">
        <v>14</v>
      </c>
      <c r="H76" s="50" t="s">
        <v>185</v>
      </c>
      <c r="I76" s="50" t="str">
        <f t="shared" si="0"/>
        <v>Albatros B1 - DeetosSnel B1</v>
      </c>
      <c r="J76" s="51">
        <v>0.41666666666666669</v>
      </c>
      <c r="K76" s="50" t="s">
        <v>30</v>
      </c>
      <c r="L76" s="50" t="s">
        <v>31</v>
      </c>
      <c r="M76" s="50"/>
      <c r="N76" s="50" t="s">
        <v>289</v>
      </c>
      <c r="O76" s="50"/>
    </row>
    <row r="77" spans="1:15" s="52" customFormat="1" ht="13.2">
      <c r="A77" s="49">
        <v>516</v>
      </c>
      <c r="B77" s="50" t="s">
        <v>23</v>
      </c>
      <c r="C77" s="51"/>
      <c r="D77" s="50">
        <v>44828</v>
      </c>
      <c r="E77" s="50" t="str">
        <f t="shared" si="2"/>
        <v>Albatros F1</v>
      </c>
      <c r="F77" s="50" t="s">
        <v>53</v>
      </c>
      <c r="G77" s="50" t="s">
        <v>14</v>
      </c>
      <c r="H77" s="50" t="s">
        <v>186</v>
      </c>
      <c r="I77" s="50" t="str">
        <f t="shared" si="0"/>
        <v>Albatros F1 - PKC/Vertom F1</v>
      </c>
      <c r="J77" s="51">
        <v>0.41666666666666669</v>
      </c>
      <c r="K77" s="50" t="s">
        <v>30</v>
      </c>
      <c r="L77" s="50" t="s">
        <v>45</v>
      </c>
      <c r="M77" s="50"/>
      <c r="N77" s="50" t="s">
        <v>2134</v>
      </c>
      <c r="O77" s="50"/>
    </row>
    <row r="78" spans="1:15" s="52" customFormat="1" ht="13.2">
      <c r="A78" s="49">
        <v>1090</v>
      </c>
      <c r="B78" s="50" t="s">
        <v>23</v>
      </c>
      <c r="C78" s="51"/>
      <c r="D78" s="50">
        <v>44828</v>
      </c>
      <c r="E78" s="50" t="str">
        <f t="shared" si="2"/>
        <v>Albatros F2</v>
      </c>
      <c r="F78" s="50" t="s">
        <v>187</v>
      </c>
      <c r="G78" s="50" t="s">
        <v>14</v>
      </c>
      <c r="H78" s="50" t="s">
        <v>43</v>
      </c>
      <c r="I78" s="50" t="str">
        <f t="shared" si="0"/>
        <v>DSO (K) F3 - Albatros F2</v>
      </c>
      <c r="J78" s="51">
        <v>0.41666666666666669</v>
      </c>
      <c r="K78" s="50" t="s">
        <v>188</v>
      </c>
      <c r="L78" s="50" t="s">
        <v>189</v>
      </c>
      <c r="M78" s="50"/>
      <c r="N78" s="50"/>
      <c r="O78" s="50"/>
    </row>
    <row r="79" spans="1:15" s="52" customFormat="1" ht="13.2">
      <c r="A79" s="49">
        <v>8054</v>
      </c>
      <c r="B79" s="50" t="s">
        <v>55</v>
      </c>
      <c r="C79" s="51"/>
      <c r="D79" s="50">
        <v>44828</v>
      </c>
      <c r="E79" s="50" t="str">
        <f t="shared" si="2"/>
        <v>Albatros C2</v>
      </c>
      <c r="F79" s="50" t="s">
        <v>57</v>
      </c>
      <c r="G79" s="50" t="s">
        <v>14</v>
      </c>
      <c r="H79" s="50" t="s">
        <v>190</v>
      </c>
      <c r="I79" s="50" t="str">
        <f t="shared" si="0"/>
        <v>Albatros C2 - Swift (M) C1</v>
      </c>
      <c r="J79" s="51">
        <v>0.4375</v>
      </c>
      <c r="K79" s="50" t="s">
        <v>30</v>
      </c>
      <c r="L79" s="50" t="s">
        <v>107</v>
      </c>
      <c r="M79" s="50"/>
      <c r="N79" s="50" t="s">
        <v>289</v>
      </c>
      <c r="O79" s="50"/>
    </row>
    <row r="80" spans="1:15" s="52" customFormat="1" ht="13.2">
      <c r="A80" s="49">
        <v>5348</v>
      </c>
      <c r="B80" s="50" t="s">
        <v>69</v>
      </c>
      <c r="C80" s="51"/>
      <c r="D80" s="50">
        <v>44828</v>
      </c>
      <c r="E80" s="50" t="str">
        <f t="shared" si="2"/>
        <v>Albatros C3</v>
      </c>
      <c r="F80" s="50" t="s">
        <v>191</v>
      </c>
      <c r="G80" s="50" t="s">
        <v>14</v>
      </c>
      <c r="H80" s="50" t="s">
        <v>71</v>
      </c>
      <c r="I80" s="50" t="str">
        <f t="shared" si="0"/>
        <v>GKV/Enomics C2 - Albatros C3</v>
      </c>
      <c r="J80" s="51">
        <v>0.4375</v>
      </c>
      <c r="K80" s="50" t="s">
        <v>54</v>
      </c>
      <c r="L80" s="50" t="s">
        <v>31</v>
      </c>
      <c r="M80" s="50"/>
      <c r="N80" s="50"/>
      <c r="O80" s="50"/>
    </row>
    <row r="81" spans="1:15" s="52" customFormat="1" ht="13.2">
      <c r="A81" s="49">
        <v>4633</v>
      </c>
      <c r="B81" s="50" t="s">
        <v>12</v>
      </c>
      <c r="C81" s="51"/>
      <c r="D81" s="50">
        <v>44828</v>
      </c>
      <c r="E81" s="50" t="str">
        <f t="shared" si="2"/>
        <v>Albatros D4</v>
      </c>
      <c r="F81" s="50" t="s">
        <v>32</v>
      </c>
      <c r="G81" s="50" t="s">
        <v>14</v>
      </c>
      <c r="H81" s="50" t="s">
        <v>192</v>
      </c>
      <c r="I81" s="50" t="str">
        <f t="shared" si="0"/>
        <v>Albatros D4 - Korbatjo D1</v>
      </c>
      <c r="J81" s="51">
        <v>0.4375</v>
      </c>
      <c r="K81" s="50" t="s">
        <v>30</v>
      </c>
      <c r="L81" s="50" t="s">
        <v>34</v>
      </c>
      <c r="M81" s="50"/>
      <c r="N81" s="50" t="s">
        <v>606</v>
      </c>
      <c r="O81" s="50"/>
    </row>
    <row r="82" spans="1:15" s="52" customFormat="1" ht="13.2">
      <c r="A82" s="49">
        <v>1870</v>
      </c>
      <c r="B82" s="50" t="s">
        <v>18</v>
      </c>
      <c r="C82" s="51"/>
      <c r="D82" s="50">
        <v>44828</v>
      </c>
      <c r="E82" s="50" t="str">
        <f t="shared" si="2"/>
        <v>Albatros E3</v>
      </c>
      <c r="F82" s="50" t="s">
        <v>193</v>
      </c>
      <c r="G82" s="50" t="s">
        <v>14</v>
      </c>
      <c r="H82" s="50" t="s">
        <v>40</v>
      </c>
      <c r="I82" s="50" t="str">
        <f t="shared" si="0"/>
        <v>GKV/Enomics E2 - Albatros E3</v>
      </c>
      <c r="J82" s="51">
        <v>0.4375</v>
      </c>
      <c r="K82" s="50" t="s">
        <v>54</v>
      </c>
      <c r="L82" s="50" t="s">
        <v>45</v>
      </c>
      <c r="M82" s="50"/>
      <c r="N82" s="50"/>
      <c r="O82" s="50"/>
    </row>
    <row r="83" spans="1:15" s="52" customFormat="1" ht="13.2">
      <c r="A83" s="49">
        <v>2914</v>
      </c>
      <c r="B83" s="50" t="s">
        <v>18</v>
      </c>
      <c r="C83" s="51"/>
      <c r="D83" s="50">
        <v>44828</v>
      </c>
      <c r="E83" s="50" t="str">
        <f t="shared" si="2"/>
        <v>Albatros E5</v>
      </c>
      <c r="F83" s="50" t="s">
        <v>67</v>
      </c>
      <c r="G83" s="50" t="s">
        <v>14</v>
      </c>
      <c r="H83" s="50" t="s">
        <v>194</v>
      </c>
      <c r="I83" s="50" t="str">
        <f t="shared" si="0"/>
        <v>Albatros E5 - DSO (K) E3</v>
      </c>
      <c r="J83" s="51">
        <v>0.4375</v>
      </c>
      <c r="K83" s="50" t="s">
        <v>30</v>
      </c>
      <c r="L83" s="50" t="s">
        <v>66</v>
      </c>
      <c r="M83" s="50"/>
      <c r="N83" s="50" t="s">
        <v>785</v>
      </c>
      <c r="O83" s="50"/>
    </row>
    <row r="84" spans="1:15" s="52" customFormat="1" ht="13.2">
      <c r="A84" s="49">
        <v>9186</v>
      </c>
      <c r="B84" s="50" t="s">
        <v>60</v>
      </c>
      <c r="C84" s="51"/>
      <c r="D84" s="50">
        <v>44828</v>
      </c>
      <c r="E84" s="50" t="str">
        <f t="shared" si="2"/>
        <v>Albatros B2</v>
      </c>
      <c r="F84" s="50" t="s">
        <v>195</v>
      </c>
      <c r="G84" s="50" t="s">
        <v>14</v>
      </c>
      <c r="H84" s="50" t="s">
        <v>62</v>
      </c>
      <c r="I84" s="50" t="str">
        <f t="shared" si="0"/>
        <v>Nieuwerkerk B2 - Albatros B2</v>
      </c>
      <c r="J84" s="51">
        <v>0.45833333333333331</v>
      </c>
      <c r="K84" s="50" t="s">
        <v>134</v>
      </c>
      <c r="L84" s="50" t="s">
        <v>31</v>
      </c>
      <c r="M84" s="50"/>
      <c r="N84" s="50"/>
      <c r="O84" s="50"/>
    </row>
    <row r="85" spans="1:15" s="52" customFormat="1" ht="13.2">
      <c r="A85" s="49">
        <v>2896</v>
      </c>
      <c r="B85" s="50" t="s">
        <v>18</v>
      </c>
      <c r="C85" s="51"/>
      <c r="D85" s="50">
        <v>44828</v>
      </c>
      <c r="E85" s="50" t="str">
        <f t="shared" si="2"/>
        <v>Albatros E1</v>
      </c>
      <c r="F85" s="50" t="s">
        <v>196</v>
      </c>
      <c r="G85" s="50" t="s">
        <v>14</v>
      </c>
      <c r="H85" s="50" t="s">
        <v>64</v>
      </c>
      <c r="I85" s="50" t="str">
        <f t="shared" si="0"/>
        <v>Vriendenschaar (H) E1 - Albatros E1</v>
      </c>
      <c r="J85" s="51">
        <v>0.45833333333333331</v>
      </c>
      <c r="K85" s="50" t="s">
        <v>89</v>
      </c>
      <c r="L85" s="50" t="s">
        <v>197</v>
      </c>
      <c r="M85" s="50"/>
      <c r="N85" s="50"/>
      <c r="O85" s="50"/>
    </row>
    <row r="86" spans="1:15" s="52" customFormat="1" ht="13.2">
      <c r="A86" s="49">
        <v>1875</v>
      </c>
      <c r="B86" s="50" t="s">
        <v>18</v>
      </c>
      <c r="C86" s="51"/>
      <c r="D86" s="50">
        <v>44828</v>
      </c>
      <c r="E86" s="50" t="str">
        <f t="shared" si="2"/>
        <v>Albatros E4</v>
      </c>
      <c r="F86" s="50" t="s">
        <v>36</v>
      </c>
      <c r="G86" s="50" t="s">
        <v>14</v>
      </c>
      <c r="H86" s="50" t="s">
        <v>198</v>
      </c>
      <c r="I86" s="50" t="str">
        <f t="shared" si="0"/>
        <v>Albatros E4 - HKC (Ha) E5</v>
      </c>
      <c r="J86" s="51">
        <v>0.45833333333333331</v>
      </c>
      <c r="K86" s="50" t="s">
        <v>30</v>
      </c>
      <c r="L86" s="50" t="s">
        <v>45</v>
      </c>
      <c r="M86" s="50"/>
      <c r="N86" s="50" t="s">
        <v>550</v>
      </c>
      <c r="O86" s="50"/>
    </row>
    <row r="87" spans="1:15" s="52" customFormat="1" ht="13.2">
      <c r="A87" s="49">
        <v>6821</v>
      </c>
      <c r="B87" s="50" t="s">
        <v>81</v>
      </c>
      <c r="C87" s="51"/>
      <c r="D87" s="50">
        <v>44828</v>
      </c>
      <c r="E87" s="50" t="str">
        <f t="shared" si="2"/>
        <v>Albatros A2</v>
      </c>
      <c r="F87" s="50" t="s">
        <v>82</v>
      </c>
      <c r="G87" s="50" t="s">
        <v>14</v>
      </c>
      <c r="H87" s="50" t="s">
        <v>199</v>
      </c>
      <c r="I87" s="50" t="str">
        <f t="shared" si="0"/>
        <v>Albatros A2 - Fortis A1</v>
      </c>
      <c r="J87" s="51">
        <v>0.46875</v>
      </c>
      <c r="K87" s="50" t="s">
        <v>30</v>
      </c>
      <c r="L87" s="50" t="s">
        <v>31</v>
      </c>
      <c r="M87" s="50"/>
      <c r="N87" s="50" t="s">
        <v>289</v>
      </c>
      <c r="O87" s="50"/>
    </row>
    <row r="88" spans="1:15" s="52" customFormat="1" ht="13.2">
      <c r="A88" s="49">
        <v>6962</v>
      </c>
      <c r="B88" s="50" t="s">
        <v>46</v>
      </c>
      <c r="C88" s="51"/>
      <c r="D88" s="50">
        <v>44828</v>
      </c>
      <c r="E88" s="50" t="str">
        <f t="shared" si="2"/>
        <v>Albatros B3</v>
      </c>
      <c r="F88" s="50" t="s">
        <v>47</v>
      </c>
      <c r="G88" s="50" t="s">
        <v>14</v>
      </c>
      <c r="H88" s="50" t="s">
        <v>200</v>
      </c>
      <c r="I88" s="50" t="str">
        <f t="shared" si="0"/>
        <v>Albatros B3 - Merwede/Multiplaat B2</v>
      </c>
      <c r="J88" s="51">
        <v>0.47916666666666669</v>
      </c>
      <c r="K88" s="50" t="s">
        <v>30</v>
      </c>
      <c r="L88" s="50" t="s">
        <v>34</v>
      </c>
      <c r="M88" s="50"/>
      <c r="N88" s="50" t="s">
        <v>566</v>
      </c>
      <c r="O88" s="50"/>
    </row>
    <row r="89" spans="1:15" s="52" customFormat="1" ht="13.2">
      <c r="A89" s="49">
        <v>7847</v>
      </c>
      <c r="B89" s="50" t="s">
        <v>49</v>
      </c>
      <c r="C89" s="51"/>
      <c r="D89" s="50">
        <v>44828</v>
      </c>
      <c r="E89" s="50" t="str">
        <f t="shared" si="2"/>
        <v>Albatros C1</v>
      </c>
      <c r="F89" s="50" t="s">
        <v>50</v>
      </c>
      <c r="G89" s="50" t="s">
        <v>14</v>
      </c>
      <c r="H89" s="50" t="s">
        <v>201</v>
      </c>
      <c r="I89" s="50" t="str">
        <f t="shared" si="0"/>
        <v>Albatros C1 - Valto C1</v>
      </c>
      <c r="J89" s="51">
        <v>0.47916666666666669</v>
      </c>
      <c r="K89" s="50" t="s">
        <v>30</v>
      </c>
      <c r="L89" s="50" t="s">
        <v>107</v>
      </c>
      <c r="M89" s="50"/>
      <c r="N89" s="50" t="s">
        <v>289</v>
      </c>
      <c r="O89" s="50"/>
    </row>
    <row r="90" spans="1:15" s="52" customFormat="1" ht="13.2">
      <c r="A90" s="49">
        <v>9832</v>
      </c>
      <c r="B90" s="50" t="s">
        <v>104</v>
      </c>
      <c r="C90" s="51"/>
      <c r="D90" s="50">
        <v>44828</v>
      </c>
      <c r="E90" s="50" t="str">
        <f t="shared" si="2"/>
        <v>Albatros 7</v>
      </c>
      <c r="F90" s="50" t="s">
        <v>202</v>
      </c>
      <c r="G90" s="50" t="s">
        <v>14</v>
      </c>
      <c r="H90" s="50" t="s">
        <v>105</v>
      </c>
      <c r="I90" s="50" t="str">
        <f t="shared" si="0"/>
        <v>Trekvogels 2 - Albatros 7</v>
      </c>
      <c r="J90" s="51">
        <v>0.49305555555555558</v>
      </c>
      <c r="K90" s="50" t="s">
        <v>203</v>
      </c>
      <c r="L90" s="50" t="s">
        <v>31</v>
      </c>
      <c r="M90" s="50"/>
      <c r="N90" s="50"/>
      <c r="O90" s="50"/>
    </row>
    <row r="91" spans="1:15" s="52" customFormat="1" ht="13.2">
      <c r="A91" s="49">
        <v>9139</v>
      </c>
      <c r="B91" s="50" t="s">
        <v>104</v>
      </c>
      <c r="C91" s="51"/>
      <c r="D91" s="50">
        <v>44828</v>
      </c>
      <c r="E91" s="50" t="str">
        <f t="shared" si="2"/>
        <v>Albatros 8</v>
      </c>
      <c r="F91" s="50" t="s">
        <v>204</v>
      </c>
      <c r="G91" s="50" t="s">
        <v>14</v>
      </c>
      <c r="H91" s="50" t="s">
        <v>112</v>
      </c>
      <c r="I91" s="50" t="str">
        <f t="shared" si="0"/>
        <v>Korbatjo 3 - Albatros 8</v>
      </c>
      <c r="J91" s="51">
        <v>0.52083333333333337</v>
      </c>
      <c r="K91" s="50" t="s">
        <v>205</v>
      </c>
      <c r="L91" s="50" t="s">
        <v>206</v>
      </c>
      <c r="M91" s="50"/>
      <c r="N91" s="50"/>
      <c r="O91" s="50"/>
    </row>
    <row r="92" spans="1:15" s="52" customFormat="1" ht="13.2">
      <c r="A92" s="49">
        <v>7833</v>
      </c>
      <c r="B92" s="50" t="s">
        <v>93</v>
      </c>
      <c r="C92" s="51"/>
      <c r="D92" s="50">
        <v>44828</v>
      </c>
      <c r="E92" s="50" t="str">
        <f t="shared" si="2"/>
        <v>Albatros A3</v>
      </c>
      <c r="F92" s="50" t="s">
        <v>102</v>
      </c>
      <c r="G92" s="50" t="s">
        <v>14</v>
      </c>
      <c r="H92" s="50" t="s">
        <v>207</v>
      </c>
      <c r="I92" s="50" t="str">
        <f t="shared" si="0"/>
        <v>Albatros A3 - Triade A1</v>
      </c>
      <c r="J92" s="51">
        <v>0.53125</v>
      </c>
      <c r="K92" s="50" t="s">
        <v>30</v>
      </c>
      <c r="L92" s="50" t="s">
        <v>107</v>
      </c>
      <c r="M92" s="50"/>
      <c r="N92" s="50" t="s">
        <v>567</v>
      </c>
      <c r="O92" s="50"/>
    </row>
    <row r="93" spans="1:15" s="52" customFormat="1" ht="13.2">
      <c r="A93" s="49">
        <v>6818</v>
      </c>
      <c r="B93" s="50" t="s">
        <v>90</v>
      </c>
      <c r="C93" s="51"/>
      <c r="D93" s="50">
        <v>44828</v>
      </c>
      <c r="E93" s="50" t="str">
        <f t="shared" si="2"/>
        <v>Albatros A1</v>
      </c>
      <c r="F93" s="50" t="s">
        <v>91</v>
      </c>
      <c r="G93" s="50" t="s">
        <v>14</v>
      </c>
      <c r="H93" s="50" t="s">
        <v>208</v>
      </c>
      <c r="I93" s="50" t="str">
        <f t="shared" si="0"/>
        <v>Albatros A1 - KCC/CK Kozijnen A1</v>
      </c>
      <c r="J93" s="51">
        <v>0.54166666666666663</v>
      </c>
      <c r="K93" s="50" t="s">
        <v>30</v>
      </c>
      <c r="L93" s="50" t="s">
        <v>31</v>
      </c>
      <c r="M93" s="50"/>
      <c r="N93" s="50" t="s">
        <v>289</v>
      </c>
      <c r="O93" s="50"/>
    </row>
    <row r="94" spans="1:15" s="52" customFormat="1" ht="13.2">
      <c r="A94" s="49">
        <v>9814</v>
      </c>
      <c r="B94" s="50" t="s">
        <v>104</v>
      </c>
      <c r="C94" s="51"/>
      <c r="D94" s="50">
        <v>44828</v>
      </c>
      <c r="E94" s="50" t="str">
        <f t="shared" si="2"/>
        <v>Albatros 9</v>
      </c>
      <c r="F94" s="50" t="s">
        <v>209</v>
      </c>
      <c r="G94" s="50" t="s">
        <v>14</v>
      </c>
      <c r="H94" s="50" t="s">
        <v>120</v>
      </c>
      <c r="I94" s="50" t="str">
        <f t="shared" si="0"/>
        <v>DeetosSnel 10 - Albatros 9</v>
      </c>
      <c r="J94" s="51">
        <v>0.59375</v>
      </c>
      <c r="K94" s="50" t="s">
        <v>129</v>
      </c>
      <c r="L94" s="50" t="s">
        <v>96</v>
      </c>
      <c r="M94" s="50"/>
      <c r="N94" s="50"/>
      <c r="O94" s="50"/>
    </row>
    <row r="95" spans="1:15" s="52" customFormat="1" ht="13.2">
      <c r="A95" s="49">
        <v>4907</v>
      </c>
      <c r="B95" s="50" t="s">
        <v>108</v>
      </c>
      <c r="C95" s="51"/>
      <c r="D95" s="50">
        <v>44828</v>
      </c>
      <c r="E95" s="50" t="str">
        <f t="shared" si="2"/>
        <v>Albatros 2</v>
      </c>
      <c r="F95" s="50" t="s">
        <v>109</v>
      </c>
      <c r="G95" s="50" t="s">
        <v>14</v>
      </c>
      <c r="H95" s="50" t="s">
        <v>210</v>
      </c>
      <c r="I95" s="50" t="str">
        <f t="shared" si="0"/>
        <v>Albatros 2 - KCR 3</v>
      </c>
      <c r="J95" s="51">
        <v>0.60416666666666663</v>
      </c>
      <c r="K95" s="50" t="s">
        <v>30</v>
      </c>
      <c r="L95" s="50" t="s">
        <v>31</v>
      </c>
      <c r="M95" s="50"/>
      <c r="N95" s="50" t="s">
        <v>289</v>
      </c>
      <c r="O95" s="50"/>
    </row>
    <row r="96" spans="1:15" s="52" customFormat="1" ht="13.2">
      <c r="A96" s="49">
        <v>4838</v>
      </c>
      <c r="B96" s="50" t="s">
        <v>77</v>
      </c>
      <c r="C96" s="51"/>
      <c r="D96" s="50">
        <v>44828</v>
      </c>
      <c r="E96" s="50" t="str">
        <f t="shared" si="2"/>
        <v>Albatros 4</v>
      </c>
      <c r="F96" s="50" t="s">
        <v>211</v>
      </c>
      <c r="G96" s="50" t="s">
        <v>14</v>
      </c>
      <c r="H96" s="50" t="s">
        <v>88</v>
      </c>
      <c r="I96" s="50" t="str">
        <f t="shared" si="0"/>
        <v>Oranje Wit (D) 5 - Albatros 4</v>
      </c>
      <c r="J96" s="51">
        <v>0.60416666666666663</v>
      </c>
      <c r="K96" s="50" t="s">
        <v>41</v>
      </c>
      <c r="L96" s="50" t="s">
        <v>165</v>
      </c>
      <c r="M96" s="50"/>
      <c r="N96" s="50"/>
      <c r="O96" s="50"/>
    </row>
    <row r="97" spans="1:15" s="52" customFormat="1" ht="13.2">
      <c r="A97" s="49">
        <v>4585</v>
      </c>
      <c r="B97" s="50" t="s">
        <v>77</v>
      </c>
      <c r="C97" s="51"/>
      <c r="D97" s="50">
        <v>44828</v>
      </c>
      <c r="E97" s="50" t="str">
        <f t="shared" si="2"/>
        <v>Albatros 5</v>
      </c>
      <c r="F97" s="50" t="s">
        <v>212</v>
      </c>
      <c r="G97" s="50" t="s">
        <v>14</v>
      </c>
      <c r="H97" s="50" t="s">
        <v>79</v>
      </c>
      <c r="I97" s="50" t="str">
        <f t="shared" si="0"/>
        <v>KCC/CK Kozijnen 6 - Albatros 5</v>
      </c>
      <c r="J97" s="51">
        <v>0.60416666666666663</v>
      </c>
      <c r="K97" s="50" t="s">
        <v>213</v>
      </c>
      <c r="L97" s="50" t="s">
        <v>31</v>
      </c>
      <c r="M97" s="50"/>
      <c r="N97" s="50"/>
      <c r="O97" s="50"/>
    </row>
    <row r="98" spans="1:15" s="52" customFormat="1" ht="13.2">
      <c r="A98" s="49">
        <v>9860</v>
      </c>
      <c r="B98" s="50" t="s">
        <v>104</v>
      </c>
      <c r="C98" s="51"/>
      <c r="D98" s="50">
        <v>44828</v>
      </c>
      <c r="E98" s="50" t="str">
        <f t="shared" si="2"/>
        <v>Albatros 6</v>
      </c>
      <c r="F98" s="50" t="s">
        <v>115</v>
      </c>
      <c r="G98" s="50" t="s">
        <v>14</v>
      </c>
      <c r="H98" s="50" t="s">
        <v>214</v>
      </c>
      <c r="I98" s="50" t="str">
        <f t="shared" si="0"/>
        <v>Albatros 6 - Merwede/Multiplaat 5</v>
      </c>
      <c r="J98" s="51">
        <v>0.60416666666666663</v>
      </c>
      <c r="K98" s="50" t="s">
        <v>30</v>
      </c>
      <c r="L98" s="50" t="s">
        <v>107</v>
      </c>
      <c r="M98" s="50"/>
      <c r="N98" s="50" t="s">
        <v>301</v>
      </c>
      <c r="O98" s="50"/>
    </row>
    <row r="99" spans="1:15" s="52" customFormat="1" ht="13.2">
      <c r="A99" s="49">
        <v>7465</v>
      </c>
      <c r="B99" s="50" t="s">
        <v>93</v>
      </c>
      <c r="C99" s="51"/>
      <c r="D99" s="50">
        <v>44828</v>
      </c>
      <c r="E99" s="50" t="str">
        <f t="shared" si="2"/>
        <v>Albatros A4</v>
      </c>
      <c r="F99" s="50" t="s">
        <v>215</v>
      </c>
      <c r="G99" s="50" t="s">
        <v>14</v>
      </c>
      <c r="H99" s="50" t="s">
        <v>95</v>
      </c>
      <c r="I99" s="50" t="str">
        <f t="shared" si="0"/>
        <v>Oranje Wit (D) A3 - Albatros A4</v>
      </c>
      <c r="J99" s="51">
        <v>0.625</v>
      </c>
      <c r="K99" s="50" t="s">
        <v>41</v>
      </c>
      <c r="L99" s="50" t="s">
        <v>107</v>
      </c>
      <c r="M99" s="50"/>
      <c r="N99" s="50"/>
      <c r="O99" s="50"/>
    </row>
    <row r="100" spans="1:15" s="52" customFormat="1" ht="13.2">
      <c r="A100" s="49">
        <v>1649</v>
      </c>
      <c r="B100" s="50" t="s">
        <v>117</v>
      </c>
      <c r="C100" s="51"/>
      <c r="D100" s="50">
        <v>44828</v>
      </c>
      <c r="E100" s="50" t="str">
        <f t="shared" si="2"/>
        <v>Albatros 1</v>
      </c>
      <c r="F100" s="50" t="s">
        <v>118</v>
      </c>
      <c r="G100" s="50" t="s">
        <v>14</v>
      </c>
      <c r="H100" s="50" t="s">
        <v>216</v>
      </c>
      <c r="I100" s="50" t="str">
        <f t="shared" si="0"/>
        <v>Albatros 1 - Tilburg 1</v>
      </c>
      <c r="J100" s="51">
        <v>0.66666666666666663</v>
      </c>
      <c r="K100" s="50" t="s">
        <v>30</v>
      </c>
      <c r="L100" s="50" t="s">
        <v>31</v>
      </c>
      <c r="M100" s="50"/>
      <c r="N100" s="50" t="s">
        <v>289</v>
      </c>
      <c r="O100" s="50"/>
    </row>
    <row r="101" spans="1:15" s="52" customFormat="1" ht="13.2">
      <c r="A101" s="49">
        <v>4425</v>
      </c>
      <c r="B101" s="50" t="s">
        <v>122</v>
      </c>
      <c r="C101" s="51"/>
      <c r="D101" s="50">
        <v>44828</v>
      </c>
      <c r="E101" s="50" t="str">
        <f t="shared" si="2"/>
        <v>Albatros 3</v>
      </c>
      <c r="F101" s="50" t="s">
        <v>123</v>
      </c>
      <c r="G101" s="50" t="s">
        <v>14</v>
      </c>
      <c r="H101" s="50" t="s">
        <v>217</v>
      </c>
      <c r="I101" s="50" t="str">
        <f t="shared" si="0"/>
        <v>Albatros 3 - KCR 5</v>
      </c>
      <c r="J101" s="51">
        <v>0.72916666666666663</v>
      </c>
      <c r="K101" s="50" t="s">
        <v>30</v>
      </c>
      <c r="L101" s="50" t="s">
        <v>31</v>
      </c>
      <c r="M101" s="50"/>
      <c r="N101" s="50" t="s">
        <v>289</v>
      </c>
      <c r="O101" s="50"/>
    </row>
    <row r="102" spans="1:15" s="52" customFormat="1" ht="13.2">
      <c r="A102" s="49">
        <v>9273</v>
      </c>
      <c r="B102" s="50" t="s">
        <v>218</v>
      </c>
      <c r="C102" s="51"/>
      <c r="D102" s="50">
        <v>44831</v>
      </c>
      <c r="E102" s="50" t="str">
        <f t="shared" si="2"/>
        <v>Albatros B1</v>
      </c>
      <c r="F102" s="50" t="s">
        <v>85</v>
      </c>
      <c r="G102" s="50" t="s">
        <v>14</v>
      </c>
      <c r="H102" s="50" t="s">
        <v>219</v>
      </c>
      <c r="I102" s="50" t="str">
        <f t="shared" si="0"/>
        <v>Albatros B1 - Vitesse (Ba) B1</v>
      </c>
      <c r="J102" s="51">
        <v>0.8125</v>
      </c>
      <c r="K102" s="50" t="s">
        <v>30</v>
      </c>
      <c r="L102" s="50" t="s">
        <v>107</v>
      </c>
      <c r="M102" s="50"/>
      <c r="N102" s="50" t="s">
        <v>289</v>
      </c>
      <c r="O102" s="50"/>
    </row>
    <row r="103" spans="1:15" s="52" customFormat="1" ht="13.2">
      <c r="A103" s="49">
        <v>9265</v>
      </c>
      <c r="B103" s="50" t="s">
        <v>220</v>
      </c>
      <c r="C103" s="51"/>
      <c r="D103" s="50">
        <v>44832</v>
      </c>
      <c r="E103" s="50" t="str">
        <f t="shared" si="2"/>
        <v>Albatros A1</v>
      </c>
      <c r="F103" s="50" t="s">
        <v>208</v>
      </c>
      <c r="G103" s="50" t="s">
        <v>14</v>
      </c>
      <c r="H103" s="50" t="s">
        <v>91</v>
      </c>
      <c r="I103" s="50" t="str">
        <f t="shared" si="0"/>
        <v>KCC/CK Kozijnen A1 - Albatros A1</v>
      </c>
      <c r="J103" s="51">
        <v>0.83333333333333337</v>
      </c>
      <c r="K103" s="50" t="s">
        <v>213</v>
      </c>
      <c r="L103" s="50" t="s">
        <v>31</v>
      </c>
      <c r="M103" s="50"/>
      <c r="N103" s="50"/>
      <c r="O103" s="50"/>
    </row>
    <row r="104" spans="1:15" s="52" customFormat="1" ht="13.2">
      <c r="A104" s="49">
        <v>8211</v>
      </c>
      <c r="B104" s="50" t="s">
        <v>125</v>
      </c>
      <c r="C104" s="51"/>
      <c r="D104" s="50">
        <v>44832</v>
      </c>
      <c r="E104" s="50" t="str">
        <f t="shared" si="2"/>
        <v>Albatros/Conventus MW1</v>
      </c>
      <c r="F104" s="50" t="s">
        <v>221</v>
      </c>
      <c r="G104" s="50" t="s">
        <v>14</v>
      </c>
      <c r="H104" s="50" t="s">
        <v>127</v>
      </c>
      <c r="I104" s="50" t="str">
        <f t="shared" si="0"/>
        <v>GKV/Enomics MW1 - Albatros/Conventus MW1</v>
      </c>
      <c r="J104" s="51">
        <v>0.85416666666666663</v>
      </c>
      <c r="K104" s="50" t="s">
        <v>54</v>
      </c>
      <c r="L104" s="50" t="s">
        <v>96</v>
      </c>
      <c r="M104" s="50"/>
      <c r="N104" s="50"/>
      <c r="O104" s="50"/>
    </row>
    <row r="105" spans="1:15" s="52" customFormat="1" ht="13.2">
      <c r="A105" s="49">
        <v>2393</v>
      </c>
      <c r="B105" s="50" t="s">
        <v>18</v>
      </c>
      <c r="C105" s="51"/>
      <c r="D105" s="50">
        <v>44835</v>
      </c>
      <c r="E105" s="50" t="str">
        <f t="shared" si="2"/>
        <v>Albatros E5</v>
      </c>
      <c r="F105" s="50" t="s">
        <v>68</v>
      </c>
      <c r="G105" s="50" t="s">
        <v>14</v>
      </c>
      <c r="H105" s="50" t="s">
        <v>67</v>
      </c>
      <c r="I105" s="50" t="str">
        <f t="shared" si="0"/>
        <v>ADO E1 - Albatros E5</v>
      </c>
      <c r="J105" s="51">
        <v>0.375</v>
      </c>
      <c r="K105" s="50" t="s">
        <v>170</v>
      </c>
      <c r="L105" s="50" t="s">
        <v>222</v>
      </c>
      <c r="M105" s="50"/>
      <c r="N105" s="50"/>
      <c r="O105" s="50"/>
    </row>
    <row r="106" spans="1:15" s="52" customFormat="1" ht="13.2">
      <c r="A106" s="49">
        <v>6724</v>
      </c>
      <c r="B106" s="50" t="s">
        <v>46</v>
      </c>
      <c r="C106" s="51"/>
      <c r="D106" s="50">
        <v>44835</v>
      </c>
      <c r="E106" s="50" t="str">
        <f t="shared" si="2"/>
        <v>Albatros B3</v>
      </c>
      <c r="F106" s="50" t="s">
        <v>48</v>
      </c>
      <c r="G106" s="50" t="s">
        <v>14</v>
      </c>
      <c r="H106" s="50" t="s">
        <v>47</v>
      </c>
      <c r="I106" s="50" t="str">
        <f t="shared" si="0"/>
        <v>Sporting Delta B3 - Albatros B3</v>
      </c>
      <c r="J106" s="51">
        <v>0.39583333333333331</v>
      </c>
      <c r="K106" s="50" t="s">
        <v>141</v>
      </c>
      <c r="L106" s="50" t="s">
        <v>59</v>
      </c>
      <c r="M106" s="50"/>
      <c r="N106" s="50"/>
      <c r="O106" s="50"/>
    </row>
    <row r="107" spans="1:15" s="52" customFormat="1" ht="13.2">
      <c r="A107" s="49">
        <v>4298</v>
      </c>
      <c r="B107" s="50" t="s">
        <v>12</v>
      </c>
      <c r="C107" s="51"/>
      <c r="D107" s="50">
        <v>44835</v>
      </c>
      <c r="E107" s="50" t="str">
        <f t="shared" si="2"/>
        <v>Albatros D3</v>
      </c>
      <c r="F107" s="50" t="s">
        <v>15</v>
      </c>
      <c r="G107" s="50" t="s">
        <v>14</v>
      </c>
      <c r="H107" s="50" t="s">
        <v>13</v>
      </c>
      <c r="I107" s="50" t="str">
        <f t="shared" si="0"/>
        <v>Albatros D3 - PKC/Vertom D2</v>
      </c>
      <c r="J107" s="51">
        <v>0.39583333333333331</v>
      </c>
      <c r="K107" s="50" t="s">
        <v>30</v>
      </c>
      <c r="L107" s="50" t="s">
        <v>34</v>
      </c>
      <c r="M107" s="50"/>
      <c r="N107" s="50" t="s">
        <v>506</v>
      </c>
      <c r="O107" s="50"/>
    </row>
    <row r="108" spans="1:15" s="52" customFormat="1" ht="13.2">
      <c r="A108" s="49">
        <v>4283</v>
      </c>
      <c r="B108" s="50" t="s">
        <v>12</v>
      </c>
      <c r="C108" s="51"/>
      <c r="D108" s="50">
        <v>44835</v>
      </c>
      <c r="E108" s="50" t="str">
        <f t="shared" si="2"/>
        <v>Albatros D4</v>
      </c>
      <c r="F108" s="50" t="s">
        <v>33</v>
      </c>
      <c r="G108" s="50" t="s">
        <v>14</v>
      </c>
      <c r="H108" s="50" t="s">
        <v>32</v>
      </c>
      <c r="I108" s="50" t="str">
        <f t="shared" si="0"/>
        <v>Oranje Wit (D) D3 - Albatros D4</v>
      </c>
      <c r="J108" s="51">
        <v>0.39583333333333331</v>
      </c>
      <c r="K108" s="50" t="s">
        <v>41</v>
      </c>
      <c r="L108" s="50" t="s">
        <v>107</v>
      </c>
      <c r="M108" s="50"/>
      <c r="N108" s="50"/>
      <c r="O108" s="50"/>
    </row>
    <row r="109" spans="1:15" s="52" customFormat="1" ht="13.2">
      <c r="A109" s="49">
        <v>2391</v>
      </c>
      <c r="B109" s="50" t="s">
        <v>18</v>
      </c>
      <c r="C109" s="51"/>
      <c r="D109" s="50">
        <v>44835</v>
      </c>
      <c r="E109" s="50" t="str">
        <f t="shared" si="2"/>
        <v>Albatros E4</v>
      </c>
      <c r="F109" s="50" t="s">
        <v>36</v>
      </c>
      <c r="G109" s="50" t="s">
        <v>14</v>
      </c>
      <c r="H109" s="50" t="s">
        <v>35</v>
      </c>
      <c r="I109" s="50" t="str">
        <f t="shared" si="0"/>
        <v>Albatros E4 - ACKC E2</v>
      </c>
      <c r="J109" s="51">
        <v>0.39583333333333331</v>
      </c>
      <c r="K109" s="50" t="s">
        <v>30</v>
      </c>
      <c r="L109" s="50" t="s">
        <v>66</v>
      </c>
      <c r="M109" s="50"/>
      <c r="N109" s="50" t="s">
        <v>1480</v>
      </c>
      <c r="O109" s="50"/>
    </row>
    <row r="110" spans="1:15" s="52" customFormat="1" ht="13.2">
      <c r="A110" s="49">
        <v>8181</v>
      </c>
      <c r="B110" s="50" t="s">
        <v>97</v>
      </c>
      <c r="C110" s="51"/>
      <c r="D110" s="50">
        <v>44835</v>
      </c>
      <c r="E110" s="50" t="str">
        <f t="shared" si="2"/>
        <v>Albatros D1</v>
      </c>
      <c r="F110" s="50" t="s">
        <v>99</v>
      </c>
      <c r="G110" s="50" t="s">
        <v>14</v>
      </c>
      <c r="H110" s="50" t="s">
        <v>98</v>
      </c>
      <c r="I110" s="50" t="str">
        <f t="shared" si="0"/>
        <v>Albatros D1 - Refleks D1</v>
      </c>
      <c r="J110" s="51">
        <v>0.40625</v>
      </c>
      <c r="K110" s="50" t="s">
        <v>30</v>
      </c>
      <c r="L110" s="50" t="s">
        <v>107</v>
      </c>
      <c r="M110" s="50"/>
      <c r="N110" s="50" t="s">
        <v>289</v>
      </c>
      <c r="O110" s="50"/>
    </row>
    <row r="111" spans="1:15" s="52" customFormat="1" ht="13.2">
      <c r="A111" s="49">
        <v>655</v>
      </c>
      <c r="B111" s="50" t="s">
        <v>23</v>
      </c>
      <c r="C111" s="51"/>
      <c r="D111" s="50">
        <v>44835</v>
      </c>
      <c r="E111" s="50" t="str">
        <f t="shared" si="2"/>
        <v>Albatros F2</v>
      </c>
      <c r="F111" s="50" t="s">
        <v>44</v>
      </c>
      <c r="G111" s="50" t="s">
        <v>14</v>
      </c>
      <c r="H111" s="50" t="s">
        <v>43</v>
      </c>
      <c r="I111" s="50" t="str">
        <f t="shared" si="0"/>
        <v>Springfield F1 - Albatros F2</v>
      </c>
      <c r="J111" s="51">
        <v>0.40625</v>
      </c>
      <c r="K111" s="50" t="s">
        <v>223</v>
      </c>
      <c r="L111" s="50" t="s">
        <v>224</v>
      </c>
      <c r="M111" s="50"/>
      <c r="N111" s="50"/>
      <c r="O111" s="50"/>
    </row>
    <row r="112" spans="1:15" s="52" customFormat="1" ht="13.2">
      <c r="A112" s="49">
        <v>7368</v>
      </c>
      <c r="B112" s="50" t="s">
        <v>84</v>
      </c>
      <c r="C112" s="51"/>
      <c r="D112" s="50">
        <v>44835</v>
      </c>
      <c r="E112" s="50" t="str">
        <f t="shared" si="2"/>
        <v>Albatros B1</v>
      </c>
      <c r="F112" s="50" t="s">
        <v>85</v>
      </c>
      <c r="G112" s="50" t="s">
        <v>14</v>
      </c>
      <c r="H112" s="50" t="s">
        <v>225</v>
      </c>
      <c r="I112" s="50" t="str">
        <f t="shared" si="0"/>
        <v>Albatros B1 - Nieuwerkerk B1</v>
      </c>
      <c r="J112" s="51">
        <v>0.41666666666666669</v>
      </c>
      <c r="K112" s="50" t="s">
        <v>30</v>
      </c>
      <c r="L112" s="50" t="s">
        <v>31</v>
      </c>
      <c r="M112" s="50"/>
      <c r="N112" s="50" t="s">
        <v>289</v>
      </c>
      <c r="O112" s="50"/>
    </row>
    <row r="113" spans="1:15" s="52" customFormat="1" ht="13.2">
      <c r="A113" s="49">
        <v>1021</v>
      </c>
      <c r="B113" s="50" t="s">
        <v>23</v>
      </c>
      <c r="C113" s="51"/>
      <c r="D113" s="50">
        <v>44835</v>
      </c>
      <c r="E113" s="50" t="str">
        <f t="shared" si="2"/>
        <v>Albatros F3</v>
      </c>
      <c r="F113" s="50" t="s">
        <v>25</v>
      </c>
      <c r="G113" s="50" t="s">
        <v>14</v>
      </c>
      <c r="H113" s="50" t="s">
        <v>24</v>
      </c>
      <c r="I113" s="50" t="str">
        <f t="shared" si="0"/>
        <v>Albatros F3 - KCR F2</v>
      </c>
      <c r="J113" s="51">
        <v>0.41666666666666669</v>
      </c>
      <c r="K113" s="50" t="s">
        <v>30</v>
      </c>
      <c r="L113" s="50" t="s">
        <v>45</v>
      </c>
      <c r="M113" s="50"/>
      <c r="N113" s="50" t="s">
        <v>2132</v>
      </c>
      <c r="O113" s="50"/>
    </row>
    <row r="114" spans="1:15" s="52" customFormat="1" ht="13.2">
      <c r="A114" s="49">
        <v>2046</v>
      </c>
      <c r="B114" s="50" t="s">
        <v>18</v>
      </c>
      <c r="C114" s="51"/>
      <c r="D114" s="50">
        <v>44835</v>
      </c>
      <c r="E114" s="50" t="str">
        <f t="shared" si="2"/>
        <v>Albatros E1</v>
      </c>
      <c r="F114" s="50" t="s">
        <v>65</v>
      </c>
      <c r="G114" s="50" t="s">
        <v>14</v>
      </c>
      <c r="H114" s="50" t="s">
        <v>64</v>
      </c>
      <c r="I114" s="50" t="str">
        <f t="shared" si="0"/>
        <v>GKV/Enomics E1 - Albatros E1</v>
      </c>
      <c r="J114" s="51">
        <v>0.4375</v>
      </c>
      <c r="K114" s="50" t="s">
        <v>54</v>
      </c>
      <c r="L114" s="50" t="s">
        <v>45</v>
      </c>
      <c r="M114" s="50"/>
      <c r="N114" s="50"/>
      <c r="O114" s="50"/>
    </row>
    <row r="115" spans="1:15" s="52" customFormat="1" ht="13.2">
      <c r="A115" s="49">
        <v>2392</v>
      </c>
      <c r="B115" s="50" t="s">
        <v>18</v>
      </c>
      <c r="C115" s="51"/>
      <c r="D115" s="50">
        <v>44835</v>
      </c>
      <c r="E115" s="50" t="str">
        <f t="shared" si="2"/>
        <v>Albatros E2</v>
      </c>
      <c r="F115" s="50" t="s">
        <v>20</v>
      </c>
      <c r="G115" s="50" t="s">
        <v>14</v>
      </c>
      <c r="H115" s="50" t="s">
        <v>19</v>
      </c>
      <c r="I115" s="50" t="str">
        <f t="shared" si="0"/>
        <v>Albatros E2 - HKC (Ha) E1</v>
      </c>
      <c r="J115" s="51">
        <v>0.4375</v>
      </c>
      <c r="K115" s="50" t="s">
        <v>30</v>
      </c>
      <c r="L115" s="50" t="s">
        <v>66</v>
      </c>
      <c r="M115" s="50"/>
      <c r="N115" s="50" t="s">
        <v>1955</v>
      </c>
      <c r="O115" s="50"/>
    </row>
    <row r="116" spans="1:15" s="52" customFormat="1" ht="13.2">
      <c r="A116" s="49">
        <v>5450</v>
      </c>
      <c r="B116" s="50" t="s">
        <v>69</v>
      </c>
      <c r="C116" s="51"/>
      <c r="D116" s="50">
        <v>44835</v>
      </c>
      <c r="E116" s="50" t="str">
        <f t="shared" si="2"/>
        <v>Albatros C3</v>
      </c>
      <c r="F116" s="50" t="s">
        <v>71</v>
      </c>
      <c r="G116" s="50" t="s">
        <v>14</v>
      </c>
      <c r="H116" s="50" t="s">
        <v>70</v>
      </c>
      <c r="I116" s="50" t="str">
        <f t="shared" si="0"/>
        <v>Albatros C3 - Movado C1</v>
      </c>
      <c r="J116" s="51">
        <v>0.44791666666666669</v>
      </c>
      <c r="K116" s="50" t="s">
        <v>30</v>
      </c>
      <c r="L116" s="50" t="s">
        <v>34</v>
      </c>
      <c r="M116" s="50"/>
      <c r="N116" s="50" t="s">
        <v>1964</v>
      </c>
      <c r="O116" s="50"/>
    </row>
    <row r="117" spans="1:15" s="52" customFormat="1" ht="13.2">
      <c r="A117" s="49">
        <v>7742</v>
      </c>
      <c r="B117" s="50" t="s">
        <v>49</v>
      </c>
      <c r="C117" s="51"/>
      <c r="D117" s="50">
        <v>44835</v>
      </c>
      <c r="E117" s="50" t="str">
        <f t="shared" si="2"/>
        <v>Albatros C1</v>
      </c>
      <c r="F117" s="50" t="s">
        <v>226</v>
      </c>
      <c r="G117" s="50" t="s">
        <v>14</v>
      </c>
      <c r="H117" s="50" t="s">
        <v>50</v>
      </c>
      <c r="I117" s="50" t="str">
        <f t="shared" si="0"/>
        <v>Fortuna/Delta Logistiek C1 - Albatros C1</v>
      </c>
      <c r="J117" s="51">
        <v>0.45833333333333331</v>
      </c>
      <c r="K117" s="50" t="s">
        <v>162</v>
      </c>
      <c r="L117" s="50" t="s">
        <v>17</v>
      </c>
      <c r="M117" s="50"/>
      <c r="N117" s="50"/>
      <c r="O117" s="50"/>
    </row>
    <row r="118" spans="1:15" s="52" customFormat="1" ht="13.2">
      <c r="A118" s="49">
        <v>8053</v>
      </c>
      <c r="B118" s="50" t="s">
        <v>55</v>
      </c>
      <c r="C118" s="51"/>
      <c r="D118" s="50">
        <v>44835</v>
      </c>
      <c r="E118" s="50" t="str">
        <f t="shared" si="2"/>
        <v>Albatros C2</v>
      </c>
      <c r="F118" s="50" t="s">
        <v>57</v>
      </c>
      <c r="G118" s="50" t="s">
        <v>14</v>
      </c>
      <c r="H118" s="50" t="s">
        <v>56</v>
      </c>
      <c r="I118" s="50" t="str">
        <f t="shared" si="0"/>
        <v>Albatros C2 - ONDO (M) C1</v>
      </c>
      <c r="J118" s="51">
        <v>0.45833333333333331</v>
      </c>
      <c r="K118" s="50" t="s">
        <v>30</v>
      </c>
      <c r="L118" s="50" t="s">
        <v>107</v>
      </c>
      <c r="M118" s="50"/>
      <c r="N118" s="50" t="s">
        <v>289</v>
      </c>
      <c r="O118" s="50"/>
    </row>
    <row r="119" spans="1:15" s="52" customFormat="1" ht="13.2">
      <c r="A119" s="49">
        <v>4073</v>
      </c>
      <c r="B119" s="50" t="s">
        <v>12</v>
      </c>
      <c r="C119" s="51"/>
      <c r="D119" s="50">
        <v>44835</v>
      </c>
      <c r="E119" s="50" t="str">
        <f t="shared" si="2"/>
        <v>Albatros D2</v>
      </c>
      <c r="F119" s="50" t="s">
        <v>29</v>
      </c>
      <c r="G119" s="50" t="s">
        <v>14</v>
      </c>
      <c r="H119" s="50" t="s">
        <v>28</v>
      </c>
      <c r="I119" s="50" t="str">
        <f t="shared" si="0"/>
        <v>DeetosSnel D1 - Albatros D2</v>
      </c>
      <c r="J119" s="51">
        <v>0.45833333333333331</v>
      </c>
      <c r="K119" s="50" t="s">
        <v>129</v>
      </c>
      <c r="L119" s="50" t="s">
        <v>96</v>
      </c>
      <c r="M119" s="50"/>
      <c r="N119" s="50"/>
      <c r="O119" s="50"/>
    </row>
    <row r="120" spans="1:15" s="52" customFormat="1" ht="13.2">
      <c r="A120" s="49">
        <v>514</v>
      </c>
      <c r="B120" s="50" t="s">
        <v>23</v>
      </c>
      <c r="C120" s="51"/>
      <c r="D120" s="50">
        <v>44835</v>
      </c>
      <c r="E120" s="50" t="str">
        <f t="shared" si="2"/>
        <v>Albatros F1</v>
      </c>
      <c r="F120" s="50" t="s">
        <v>53</v>
      </c>
      <c r="G120" s="50" t="s">
        <v>14</v>
      </c>
      <c r="H120" s="50" t="s">
        <v>52</v>
      </c>
      <c r="I120" s="50" t="str">
        <f t="shared" si="0"/>
        <v>Albatros F1 - GKV/Enomics F1</v>
      </c>
      <c r="J120" s="51">
        <v>0.45833333333333331</v>
      </c>
      <c r="K120" s="50" t="s">
        <v>30</v>
      </c>
      <c r="L120" s="50" t="s">
        <v>45</v>
      </c>
      <c r="M120" s="50"/>
      <c r="N120" s="50" t="s">
        <v>788</v>
      </c>
      <c r="O120" s="50"/>
    </row>
    <row r="121" spans="1:15" s="52" customFormat="1" ht="13.2">
      <c r="A121" s="49">
        <v>6822</v>
      </c>
      <c r="B121" s="50" t="s">
        <v>81</v>
      </c>
      <c r="C121" s="51"/>
      <c r="D121" s="50">
        <v>44835</v>
      </c>
      <c r="E121" s="50" t="str">
        <f t="shared" si="2"/>
        <v>Albatros A2</v>
      </c>
      <c r="F121" s="50" t="s">
        <v>82</v>
      </c>
      <c r="G121" s="50" t="s">
        <v>14</v>
      </c>
      <c r="H121" s="50" t="s">
        <v>227</v>
      </c>
      <c r="I121" s="50" t="str">
        <f t="shared" si="0"/>
        <v>Albatros A2 - HKC (Ha) A1</v>
      </c>
      <c r="J121" s="51">
        <v>0.46875</v>
      </c>
      <c r="K121" s="50" t="s">
        <v>30</v>
      </c>
      <c r="L121" s="50" t="s">
        <v>31</v>
      </c>
      <c r="M121" s="50"/>
      <c r="N121" s="50" t="s">
        <v>289</v>
      </c>
      <c r="O121" s="50"/>
    </row>
    <row r="122" spans="1:15" s="52" customFormat="1" ht="13.2">
      <c r="A122" s="49">
        <v>2051</v>
      </c>
      <c r="B122" s="50" t="s">
        <v>18</v>
      </c>
      <c r="C122" s="51"/>
      <c r="D122" s="50">
        <v>44835</v>
      </c>
      <c r="E122" s="50" t="str">
        <f t="shared" si="2"/>
        <v>Albatros E3</v>
      </c>
      <c r="F122" s="50" t="s">
        <v>40</v>
      </c>
      <c r="G122" s="50" t="s">
        <v>14</v>
      </c>
      <c r="H122" s="50" t="s">
        <v>39</v>
      </c>
      <c r="I122" s="50" t="str">
        <f t="shared" si="0"/>
        <v>Albatros E3 - Oranje Wit (D) E2</v>
      </c>
      <c r="J122" s="51">
        <v>0.47916666666666669</v>
      </c>
      <c r="K122" s="50" t="s">
        <v>30</v>
      </c>
      <c r="L122" s="50" t="s">
        <v>66</v>
      </c>
      <c r="M122" s="50"/>
      <c r="N122" s="50" t="s">
        <v>2080</v>
      </c>
      <c r="O122" s="50"/>
    </row>
    <row r="123" spans="1:15" s="52" customFormat="1" ht="13.2">
      <c r="A123" s="49">
        <v>10543</v>
      </c>
      <c r="B123" s="50" t="s">
        <v>69</v>
      </c>
      <c r="C123" s="51"/>
      <c r="D123" s="50">
        <v>44835</v>
      </c>
      <c r="E123" s="50" t="str">
        <f t="shared" si="2"/>
        <v>Albatros C4</v>
      </c>
      <c r="F123" s="50" t="s">
        <v>74</v>
      </c>
      <c r="G123" s="50" t="s">
        <v>14</v>
      </c>
      <c r="H123" s="50" t="s">
        <v>73</v>
      </c>
      <c r="I123" s="50" t="str">
        <f t="shared" si="0"/>
        <v>Albatros C4 - t Capproen C1</v>
      </c>
      <c r="J123" s="51">
        <v>0.48958333333333331</v>
      </c>
      <c r="K123" s="50" t="s">
        <v>30</v>
      </c>
      <c r="L123" s="50" t="s">
        <v>34</v>
      </c>
      <c r="M123" s="50"/>
      <c r="N123" s="50" t="s">
        <v>328</v>
      </c>
      <c r="O123" s="50"/>
    </row>
    <row r="124" spans="1:15" s="52" customFormat="1" ht="13.2">
      <c r="A124" s="49">
        <v>9187</v>
      </c>
      <c r="B124" s="50" t="s">
        <v>60</v>
      </c>
      <c r="C124" s="51"/>
      <c r="D124" s="50">
        <v>44835</v>
      </c>
      <c r="E124" s="50" t="str">
        <f t="shared" si="2"/>
        <v>Albatros B2</v>
      </c>
      <c r="F124" s="50" t="s">
        <v>62</v>
      </c>
      <c r="G124" s="50" t="s">
        <v>14</v>
      </c>
      <c r="H124" s="50" t="s">
        <v>61</v>
      </c>
      <c r="I124" s="50" t="str">
        <f t="shared" si="0"/>
        <v>Albatros B2 - KOAG B1</v>
      </c>
      <c r="J124" s="51">
        <v>0.51041666666666663</v>
      </c>
      <c r="K124" s="50" t="s">
        <v>30</v>
      </c>
      <c r="L124" s="50" t="s">
        <v>107</v>
      </c>
      <c r="M124" s="50"/>
      <c r="N124" s="50" t="s">
        <v>289</v>
      </c>
      <c r="O124" s="50"/>
    </row>
    <row r="125" spans="1:15" s="52" customFormat="1" ht="13.2">
      <c r="A125" s="49">
        <v>4414</v>
      </c>
      <c r="B125" s="50" t="s">
        <v>77</v>
      </c>
      <c r="C125" s="51"/>
      <c r="D125" s="50">
        <v>44835</v>
      </c>
      <c r="E125" s="50" t="str">
        <f t="shared" si="2"/>
        <v>Albatros 4</v>
      </c>
      <c r="F125" s="50" t="s">
        <v>228</v>
      </c>
      <c r="G125" s="50" t="s">
        <v>14</v>
      </c>
      <c r="H125" s="50" t="s">
        <v>88</v>
      </c>
      <c r="I125" s="50" t="str">
        <f t="shared" si="0"/>
        <v>ADO 3 - Albatros 4</v>
      </c>
      <c r="J125" s="51">
        <v>0.52083333333333337</v>
      </c>
      <c r="K125" s="50" t="s">
        <v>170</v>
      </c>
      <c r="L125" s="50" t="s">
        <v>31</v>
      </c>
      <c r="M125" s="50"/>
      <c r="N125" s="50"/>
      <c r="O125" s="50"/>
    </row>
    <row r="126" spans="1:15" s="52" customFormat="1" ht="13.2">
      <c r="A126" s="49">
        <v>6814</v>
      </c>
      <c r="B126" s="50" t="s">
        <v>90</v>
      </c>
      <c r="C126" s="51"/>
      <c r="D126" s="50">
        <v>44835</v>
      </c>
      <c r="E126" s="50" t="str">
        <f t="shared" si="2"/>
        <v>Albatros A1</v>
      </c>
      <c r="F126" s="50" t="s">
        <v>91</v>
      </c>
      <c r="G126" s="50" t="s">
        <v>14</v>
      </c>
      <c r="H126" s="50" t="s">
        <v>229</v>
      </c>
      <c r="I126" s="50" t="str">
        <f t="shared" si="0"/>
        <v>Albatros A1 - ONDO (G) A1</v>
      </c>
      <c r="J126" s="51">
        <v>0.54166666666666663</v>
      </c>
      <c r="K126" s="50" t="s">
        <v>30</v>
      </c>
      <c r="L126" s="50" t="s">
        <v>31</v>
      </c>
      <c r="M126" s="50"/>
      <c r="N126" s="50" t="s">
        <v>289</v>
      </c>
      <c r="O126" s="50"/>
    </row>
    <row r="127" spans="1:15" s="52" customFormat="1" ht="13.2">
      <c r="A127" s="49">
        <v>7530</v>
      </c>
      <c r="B127" s="50" t="s">
        <v>93</v>
      </c>
      <c r="C127" s="51"/>
      <c r="D127" s="50">
        <v>44835</v>
      </c>
      <c r="E127" s="50" t="str">
        <f t="shared" si="2"/>
        <v>Albatros A4</v>
      </c>
      <c r="F127" s="50" t="s">
        <v>95</v>
      </c>
      <c r="G127" s="50" t="s">
        <v>14</v>
      </c>
      <c r="H127" s="50" t="s">
        <v>94</v>
      </c>
      <c r="I127" s="50" t="str">
        <f t="shared" si="0"/>
        <v>Albatros A4 - PKC/Vertom A5</v>
      </c>
      <c r="J127" s="51">
        <v>0.5625</v>
      </c>
      <c r="K127" s="50" t="s">
        <v>30</v>
      </c>
      <c r="L127" s="50" t="s">
        <v>107</v>
      </c>
      <c r="M127" s="50"/>
      <c r="N127" s="50" t="s">
        <v>301</v>
      </c>
      <c r="O127" s="50"/>
    </row>
    <row r="128" spans="1:15" s="52" customFormat="1" ht="13.2">
      <c r="A128" s="49">
        <v>7635</v>
      </c>
      <c r="B128" s="50" t="s">
        <v>93</v>
      </c>
      <c r="C128" s="51"/>
      <c r="D128" s="50">
        <v>44835</v>
      </c>
      <c r="E128" s="50" t="str">
        <f t="shared" si="2"/>
        <v>Albatros A3</v>
      </c>
      <c r="F128" s="50" t="s">
        <v>103</v>
      </c>
      <c r="G128" s="50" t="s">
        <v>14</v>
      </c>
      <c r="H128" s="50" t="s">
        <v>102</v>
      </c>
      <c r="I128" s="50" t="str">
        <f t="shared" si="0"/>
        <v>SKV A1 - Albatros A3</v>
      </c>
      <c r="J128" s="51">
        <v>0.58333333333333337</v>
      </c>
      <c r="K128" s="50" t="s">
        <v>230</v>
      </c>
      <c r="L128" s="50" t="s">
        <v>165</v>
      </c>
      <c r="M128" s="50"/>
      <c r="N128" s="50"/>
      <c r="O128" s="50"/>
    </row>
    <row r="129" spans="1:15" s="52" customFormat="1" ht="13.2">
      <c r="A129" s="49">
        <v>4912</v>
      </c>
      <c r="B129" s="50" t="s">
        <v>108</v>
      </c>
      <c r="C129" s="51"/>
      <c r="D129" s="50">
        <v>44835</v>
      </c>
      <c r="E129" s="50" t="str">
        <f t="shared" si="2"/>
        <v>Albatros 2</v>
      </c>
      <c r="F129" s="50" t="s">
        <v>109</v>
      </c>
      <c r="G129" s="50" t="s">
        <v>14</v>
      </c>
      <c r="H129" s="50" t="s">
        <v>231</v>
      </c>
      <c r="I129" s="50" t="str">
        <f t="shared" si="0"/>
        <v>Albatros 2 - Vriendenschaar (H) 2</v>
      </c>
      <c r="J129" s="51">
        <v>0.60416666666666663</v>
      </c>
      <c r="K129" s="50" t="s">
        <v>30</v>
      </c>
      <c r="L129" s="50" t="s">
        <v>31</v>
      </c>
      <c r="M129" s="50"/>
      <c r="N129" s="50" t="s">
        <v>289</v>
      </c>
      <c r="O129" s="50"/>
    </row>
    <row r="130" spans="1:15" s="52" customFormat="1" ht="13.2">
      <c r="A130" s="49">
        <v>4892</v>
      </c>
      <c r="B130" s="50" t="s">
        <v>77</v>
      </c>
      <c r="C130" s="51"/>
      <c r="D130" s="50">
        <v>44835</v>
      </c>
      <c r="E130" s="50" t="str">
        <f t="shared" si="2"/>
        <v>Albatros 5</v>
      </c>
      <c r="F130" s="50" t="s">
        <v>232</v>
      </c>
      <c r="G130" s="50" t="s">
        <v>14</v>
      </c>
      <c r="H130" s="50" t="s">
        <v>79</v>
      </c>
      <c r="I130" s="50" t="str">
        <f t="shared" si="0"/>
        <v>DeetosSnel 4 - Albatros 5</v>
      </c>
      <c r="J130" s="51">
        <v>0.625</v>
      </c>
      <c r="K130" s="50" t="s">
        <v>129</v>
      </c>
      <c r="L130" s="50" t="s">
        <v>31</v>
      </c>
      <c r="M130" s="50"/>
      <c r="N130" s="50"/>
      <c r="O130" s="50"/>
    </row>
    <row r="131" spans="1:15" s="52" customFormat="1" ht="13.2">
      <c r="A131" s="49">
        <v>9269</v>
      </c>
      <c r="B131" s="50" t="s">
        <v>104</v>
      </c>
      <c r="C131" s="51"/>
      <c r="D131" s="50">
        <v>44835</v>
      </c>
      <c r="E131" s="50" t="str">
        <f t="shared" ref="E131:E194" si="3">IF(K131=K$9,F131,H131)</f>
        <v>Albatros 7</v>
      </c>
      <c r="F131" s="50" t="s">
        <v>106</v>
      </c>
      <c r="G131" s="50" t="s">
        <v>14</v>
      </c>
      <c r="H131" s="50" t="s">
        <v>105</v>
      </c>
      <c r="I131" s="50" t="str">
        <f t="shared" si="0"/>
        <v>DeetosSnel 6 - Albatros 7</v>
      </c>
      <c r="J131" s="51">
        <v>0.625</v>
      </c>
      <c r="K131" s="50" t="s">
        <v>129</v>
      </c>
      <c r="L131" s="50" t="s">
        <v>96</v>
      </c>
      <c r="M131" s="50"/>
      <c r="N131" s="50"/>
      <c r="O131" s="50"/>
    </row>
    <row r="132" spans="1:15" s="52" customFormat="1" ht="13.2">
      <c r="A132" s="49">
        <v>9223</v>
      </c>
      <c r="B132" s="50" t="s">
        <v>104</v>
      </c>
      <c r="C132" s="51"/>
      <c r="D132" s="50">
        <v>44835</v>
      </c>
      <c r="E132" s="50" t="str">
        <f t="shared" si="3"/>
        <v>Albatros 8</v>
      </c>
      <c r="F132" s="50" t="s">
        <v>112</v>
      </c>
      <c r="G132" s="50" t="s">
        <v>14</v>
      </c>
      <c r="H132" s="50" t="s">
        <v>111</v>
      </c>
      <c r="I132" s="50" t="str">
        <f t="shared" si="0"/>
        <v>Albatros 8 - Triade 3</v>
      </c>
      <c r="J132" s="51">
        <v>0.63541666666666663</v>
      </c>
      <c r="K132" s="50" t="s">
        <v>30</v>
      </c>
      <c r="L132" s="50" t="s">
        <v>107</v>
      </c>
      <c r="M132" s="50"/>
      <c r="N132" s="50" t="s">
        <v>1203</v>
      </c>
      <c r="O132" s="50"/>
    </row>
    <row r="133" spans="1:15" s="52" customFormat="1" ht="13.2">
      <c r="A133" s="49">
        <v>1654</v>
      </c>
      <c r="B133" s="50" t="s">
        <v>117</v>
      </c>
      <c r="C133" s="51"/>
      <c r="D133" s="50">
        <v>44835</v>
      </c>
      <c r="E133" s="50" t="str">
        <f t="shared" si="3"/>
        <v>Albatros 1</v>
      </c>
      <c r="F133" s="50" t="s">
        <v>118</v>
      </c>
      <c r="G133" s="50" t="s">
        <v>14</v>
      </c>
      <c r="H133" s="50" t="s">
        <v>233</v>
      </c>
      <c r="I133" s="50" t="str">
        <f t="shared" si="0"/>
        <v>Albatros 1 - Vriendenschaar (H) 1</v>
      </c>
      <c r="J133" s="51">
        <v>0.66666666666666663</v>
      </c>
      <c r="K133" s="50" t="s">
        <v>30</v>
      </c>
      <c r="L133" s="50" t="s">
        <v>31</v>
      </c>
      <c r="M133" s="50"/>
      <c r="N133" s="50" t="s">
        <v>289</v>
      </c>
      <c r="O133" s="50"/>
    </row>
    <row r="134" spans="1:15" s="52" customFormat="1" ht="13.2">
      <c r="A134" s="49">
        <v>9487</v>
      </c>
      <c r="B134" s="50" t="s">
        <v>104</v>
      </c>
      <c r="C134" s="51"/>
      <c r="D134" s="50">
        <v>44835</v>
      </c>
      <c r="E134" s="50" t="str">
        <f t="shared" si="3"/>
        <v>Albatros 6</v>
      </c>
      <c r="F134" s="50" t="s">
        <v>116</v>
      </c>
      <c r="G134" s="50" t="s">
        <v>14</v>
      </c>
      <c r="H134" s="50" t="s">
        <v>115</v>
      </c>
      <c r="I134" s="50" t="str">
        <f t="shared" si="0"/>
        <v>PKC/Vertom 7 - Albatros 6</v>
      </c>
      <c r="J134" s="51">
        <v>0.70833333333333337</v>
      </c>
      <c r="K134" s="50" t="s">
        <v>16</v>
      </c>
      <c r="L134" s="50" t="s">
        <v>31</v>
      </c>
      <c r="M134" s="50"/>
      <c r="N134" s="50"/>
      <c r="O134" s="50"/>
    </row>
    <row r="135" spans="1:15" s="52" customFormat="1" ht="13.2">
      <c r="A135" s="49">
        <v>9255</v>
      </c>
      <c r="B135" s="50" t="s">
        <v>104</v>
      </c>
      <c r="C135" s="51"/>
      <c r="D135" s="50">
        <v>44835</v>
      </c>
      <c r="E135" s="50" t="str">
        <f t="shared" si="3"/>
        <v>Albatros 9</v>
      </c>
      <c r="F135" s="50" t="s">
        <v>121</v>
      </c>
      <c r="G135" s="50" t="s">
        <v>14</v>
      </c>
      <c r="H135" s="50" t="s">
        <v>120</v>
      </c>
      <c r="I135" s="50" t="str">
        <f t="shared" si="0"/>
        <v>Merwede/Multiplaat 6 - Albatros 9</v>
      </c>
      <c r="J135" s="51">
        <v>0.71875</v>
      </c>
      <c r="K135" s="50" t="s">
        <v>180</v>
      </c>
      <c r="L135" s="50" t="s">
        <v>31</v>
      </c>
      <c r="M135" s="50"/>
      <c r="N135" s="50"/>
      <c r="O135" s="50"/>
    </row>
    <row r="136" spans="1:15" s="52" customFormat="1" ht="13.2">
      <c r="A136" s="49">
        <v>4421</v>
      </c>
      <c r="B136" s="50" t="s">
        <v>122</v>
      </c>
      <c r="C136" s="51"/>
      <c r="D136" s="50">
        <v>44835</v>
      </c>
      <c r="E136" s="50" t="str">
        <f t="shared" si="3"/>
        <v>Albatros 3</v>
      </c>
      <c r="F136" s="50" t="s">
        <v>123</v>
      </c>
      <c r="G136" s="50" t="s">
        <v>14</v>
      </c>
      <c r="H136" s="50" t="s">
        <v>234</v>
      </c>
      <c r="I136" s="50" t="str">
        <f t="shared" si="0"/>
        <v>Albatros 3 - ONDO (G) 2</v>
      </c>
      <c r="J136" s="51">
        <v>0.72916666666666663</v>
      </c>
      <c r="K136" s="50" t="s">
        <v>30</v>
      </c>
      <c r="L136" s="50" t="s">
        <v>31</v>
      </c>
      <c r="M136" s="50"/>
      <c r="N136" s="50" t="s">
        <v>289</v>
      </c>
      <c r="O136" s="50"/>
    </row>
    <row r="137" spans="1:15" s="52" customFormat="1" ht="13.2">
      <c r="A137" s="49">
        <v>8252</v>
      </c>
      <c r="B137" s="50" t="s">
        <v>125</v>
      </c>
      <c r="C137" s="51"/>
      <c r="D137" s="50">
        <v>44839</v>
      </c>
      <c r="E137" s="50" t="str">
        <f t="shared" si="3"/>
        <v>Albatros/Conventus MW1</v>
      </c>
      <c r="F137" s="50" t="s">
        <v>127</v>
      </c>
      <c r="G137" s="50" t="s">
        <v>14</v>
      </c>
      <c r="H137" s="50" t="s">
        <v>221</v>
      </c>
      <c r="I137" s="50" t="str">
        <f t="shared" si="0"/>
        <v>Albatros/Conventus MW1 - GKV/Enomics MW1</v>
      </c>
      <c r="J137" s="51">
        <v>0.85416666666666663</v>
      </c>
      <c r="K137" s="50" t="s">
        <v>30</v>
      </c>
      <c r="L137" s="50" t="s">
        <v>31</v>
      </c>
      <c r="M137" s="50"/>
      <c r="N137" s="50" t="s">
        <v>2136</v>
      </c>
      <c r="O137" s="50"/>
    </row>
    <row r="138" spans="1:15" s="52" customFormat="1" ht="13.2">
      <c r="A138" s="49">
        <v>3033</v>
      </c>
      <c r="B138" s="50" t="s">
        <v>18</v>
      </c>
      <c r="C138" s="51"/>
      <c r="D138" s="50">
        <v>44842</v>
      </c>
      <c r="E138" s="50" t="str">
        <f t="shared" si="3"/>
        <v>Albatros E3</v>
      </c>
      <c r="F138" s="50" t="s">
        <v>139</v>
      </c>
      <c r="G138" s="50" t="s">
        <v>14</v>
      </c>
      <c r="H138" s="50" t="s">
        <v>40</v>
      </c>
      <c r="I138" s="50" t="str">
        <f t="shared" si="0"/>
        <v>DVS '69 E1 - Albatros E3</v>
      </c>
      <c r="J138" s="51">
        <v>0.375</v>
      </c>
      <c r="K138" s="50" t="s">
        <v>235</v>
      </c>
      <c r="L138" s="50" t="s">
        <v>236</v>
      </c>
      <c r="M138" s="50"/>
      <c r="N138" s="50"/>
      <c r="O138" s="50"/>
    </row>
    <row r="139" spans="1:15" s="52" customFormat="1" ht="13.2">
      <c r="A139" s="49">
        <v>2721</v>
      </c>
      <c r="B139" s="50" t="s">
        <v>18</v>
      </c>
      <c r="C139" s="51"/>
      <c r="D139" s="50">
        <v>44842</v>
      </c>
      <c r="E139" s="50" t="str">
        <f t="shared" si="3"/>
        <v>Albatros E4</v>
      </c>
      <c r="F139" s="50" t="s">
        <v>149</v>
      </c>
      <c r="G139" s="50" t="s">
        <v>14</v>
      </c>
      <c r="H139" s="50" t="s">
        <v>36</v>
      </c>
      <c r="I139" s="50" t="str">
        <f t="shared" si="0"/>
        <v>Movado E1 - Albatros E4</v>
      </c>
      <c r="J139" s="51">
        <v>0.375</v>
      </c>
      <c r="K139" s="50" t="s">
        <v>72</v>
      </c>
      <c r="L139" s="50" t="s">
        <v>237</v>
      </c>
      <c r="M139" s="50"/>
      <c r="N139" s="50"/>
      <c r="O139" s="50"/>
    </row>
    <row r="140" spans="1:15" s="52" customFormat="1" ht="13.2">
      <c r="A140" s="49">
        <v>625</v>
      </c>
      <c r="B140" s="50" t="s">
        <v>23</v>
      </c>
      <c r="C140" s="51"/>
      <c r="D140" s="50">
        <v>44842</v>
      </c>
      <c r="E140" s="50" t="str">
        <f t="shared" si="3"/>
        <v>Albatros F1</v>
      </c>
      <c r="F140" s="50" t="s">
        <v>135</v>
      </c>
      <c r="G140" s="50" t="s">
        <v>14</v>
      </c>
      <c r="H140" s="50" t="s">
        <v>53</v>
      </c>
      <c r="I140" s="50" t="str">
        <f t="shared" si="0"/>
        <v>Merwede/Multiplaat F1 - Albatros F1</v>
      </c>
      <c r="J140" s="51">
        <v>0.375</v>
      </c>
      <c r="K140" s="50" t="s">
        <v>180</v>
      </c>
      <c r="L140" s="50" t="s">
        <v>238</v>
      </c>
      <c r="M140" s="50"/>
      <c r="N140" s="50"/>
      <c r="O140" s="50"/>
    </row>
    <row r="141" spans="1:15" s="52" customFormat="1" ht="13.2">
      <c r="A141" s="49">
        <v>11361</v>
      </c>
      <c r="B141" s="50" t="s">
        <v>23</v>
      </c>
      <c r="C141" s="51"/>
      <c r="D141" s="50">
        <v>44842</v>
      </c>
      <c r="E141" s="50" t="str">
        <f t="shared" si="3"/>
        <v>Albatros F3</v>
      </c>
      <c r="F141" s="50" t="s">
        <v>147</v>
      </c>
      <c r="G141" s="50" t="s">
        <v>14</v>
      </c>
      <c r="H141" s="50" t="s">
        <v>25</v>
      </c>
      <c r="I141" s="50" t="str">
        <f t="shared" si="0"/>
        <v>GKV/Enomics F2 - Albatros F3</v>
      </c>
      <c r="J141" s="51">
        <v>0.375</v>
      </c>
      <c r="K141" s="50" t="s">
        <v>54</v>
      </c>
      <c r="L141" s="50" t="s">
        <v>238</v>
      </c>
      <c r="M141" s="50"/>
      <c r="N141" s="50"/>
      <c r="O141" s="50"/>
    </row>
    <row r="142" spans="1:15" s="52" customFormat="1" ht="13.2">
      <c r="A142" s="49">
        <v>9199</v>
      </c>
      <c r="B142" s="50" t="s">
        <v>97</v>
      </c>
      <c r="C142" s="51"/>
      <c r="D142" s="50">
        <v>44842</v>
      </c>
      <c r="E142" s="50" t="str">
        <f t="shared" si="3"/>
        <v>Albatros D1</v>
      </c>
      <c r="F142" s="50" t="s">
        <v>130</v>
      </c>
      <c r="G142" s="50" t="s">
        <v>14</v>
      </c>
      <c r="H142" s="50" t="s">
        <v>99</v>
      </c>
      <c r="I142" s="50" t="str">
        <f t="shared" si="0"/>
        <v>Oranje Wit (D) D1 - Albatros D1</v>
      </c>
      <c r="J142" s="51">
        <v>0.39583333333333331</v>
      </c>
      <c r="K142" s="50" t="s">
        <v>41</v>
      </c>
      <c r="L142" s="50" t="s">
        <v>165</v>
      </c>
      <c r="M142" s="50"/>
      <c r="N142" s="50"/>
      <c r="O142" s="50"/>
    </row>
    <row r="143" spans="1:15" s="52" customFormat="1" ht="13.2">
      <c r="A143" s="49">
        <v>4525</v>
      </c>
      <c r="B143" s="50" t="s">
        <v>12</v>
      </c>
      <c r="C143" s="51"/>
      <c r="D143" s="50">
        <v>44842</v>
      </c>
      <c r="E143" s="50" t="str">
        <f t="shared" si="3"/>
        <v>Albatros D3</v>
      </c>
      <c r="F143" s="50" t="s">
        <v>131</v>
      </c>
      <c r="G143" s="50" t="s">
        <v>14</v>
      </c>
      <c r="H143" s="50" t="s">
        <v>15</v>
      </c>
      <c r="I143" s="50" t="str">
        <f t="shared" si="0"/>
        <v>ACKC D1 - Albatros D3</v>
      </c>
      <c r="J143" s="51">
        <v>0.39583333333333331</v>
      </c>
      <c r="K143" s="50" t="s">
        <v>37</v>
      </c>
      <c r="L143" s="50" t="s">
        <v>165</v>
      </c>
      <c r="M143" s="50"/>
      <c r="N143" s="50"/>
      <c r="O143" s="50"/>
    </row>
    <row r="144" spans="1:15" s="52" customFormat="1" ht="13.2">
      <c r="A144" s="49">
        <v>4745</v>
      </c>
      <c r="B144" s="50" t="s">
        <v>12</v>
      </c>
      <c r="C144" s="51"/>
      <c r="D144" s="50">
        <v>44842</v>
      </c>
      <c r="E144" s="50" t="str">
        <f t="shared" si="3"/>
        <v>Albatros D4</v>
      </c>
      <c r="F144" s="50" t="s">
        <v>32</v>
      </c>
      <c r="G144" s="50" t="s">
        <v>14</v>
      </c>
      <c r="H144" s="50" t="s">
        <v>144</v>
      </c>
      <c r="I144" s="50" t="str">
        <f t="shared" si="0"/>
        <v>Albatros D4 - DeetosSnel D2</v>
      </c>
      <c r="J144" s="51">
        <v>0.39583333333333331</v>
      </c>
      <c r="K144" s="50" t="s">
        <v>30</v>
      </c>
      <c r="L144" s="50" t="s">
        <v>107</v>
      </c>
      <c r="M144" s="50"/>
      <c r="N144" s="50" t="s">
        <v>1964</v>
      </c>
      <c r="O144" s="50"/>
    </row>
    <row r="145" spans="1:15" s="52" customFormat="1" ht="13.2">
      <c r="A145" s="49">
        <v>517</v>
      </c>
      <c r="B145" s="50" t="s">
        <v>23</v>
      </c>
      <c r="C145" s="51"/>
      <c r="D145" s="50">
        <v>44842</v>
      </c>
      <c r="E145" s="50" t="str">
        <f t="shared" si="3"/>
        <v>Albatros F2</v>
      </c>
      <c r="F145" s="50" t="s">
        <v>43</v>
      </c>
      <c r="G145" s="50" t="s">
        <v>14</v>
      </c>
      <c r="H145" s="50" t="s">
        <v>128</v>
      </c>
      <c r="I145" s="50" t="str">
        <f t="shared" si="0"/>
        <v>Albatros F2 - DeetosSnel F2</v>
      </c>
      <c r="J145" s="51">
        <v>0.39583333333333331</v>
      </c>
      <c r="K145" s="50" t="s">
        <v>30</v>
      </c>
      <c r="L145" s="50" t="s">
        <v>45</v>
      </c>
      <c r="M145" s="50"/>
      <c r="N145" s="50" t="s">
        <v>2134</v>
      </c>
      <c r="O145" s="50"/>
    </row>
    <row r="146" spans="1:15" s="52" customFormat="1" ht="13.2">
      <c r="A146" s="49">
        <v>7849</v>
      </c>
      <c r="B146" s="50" t="s">
        <v>49</v>
      </c>
      <c r="C146" s="51"/>
      <c r="D146" s="50">
        <v>44842</v>
      </c>
      <c r="E146" s="50" t="str">
        <f t="shared" si="3"/>
        <v>Albatros C1</v>
      </c>
      <c r="F146" s="50" t="s">
        <v>50</v>
      </c>
      <c r="G146" s="50" t="s">
        <v>14</v>
      </c>
      <c r="H146" s="50" t="s">
        <v>239</v>
      </c>
      <c r="I146" s="50" t="str">
        <f t="shared" si="0"/>
        <v>Albatros C1 - Vitesse (Ba) C1</v>
      </c>
      <c r="J146" s="51">
        <v>0.40625</v>
      </c>
      <c r="K146" s="50" t="s">
        <v>30</v>
      </c>
      <c r="L146" s="50" t="s">
        <v>31</v>
      </c>
      <c r="M146" s="50"/>
      <c r="N146" s="50" t="s">
        <v>289</v>
      </c>
      <c r="O146" s="50"/>
    </row>
    <row r="147" spans="1:15" s="52" customFormat="1" ht="13.2">
      <c r="A147" s="49">
        <v>7894</v>
      </c>
      <c r="B147" s="50" t="s">
        <v>93</v>
      </c>
      <c r="C147" s="51"/>
      <c r="D147" s="50">
        <v>44842</v>
      </c>
      <c r="E147" s="50" t="str">
        <f t="shared" si="3"/>
        <v>Albatros A3</v>
      </c>
      <c r="F147" s="50" t="s">
        <v>102</v>
      </c>
      <c r="G147" s="50" t="s">
        <v>14</v>
      </c>
      <c r="H147" s="50" t="s">
        <v>171</v>
      </c>
      <c r="I147" s="50" t="str">
        <f t="shared" si="0"/>
        <v>Albatros A3 - KOAG A2</v>
      </c>
      <c r="J147" s="51">
        <v>0.41666666666666669</v>
      </c>
      <c r="K147" s="50" t="s">
        <v>30</v>
      </c>
      <c r="L147" s="50" t="s">
        <v>34</v>
      </c>
      <c r="M147" s="50"/>
      <c r="N147" s="50" t="s">
        <v>584</v>
      </c>
      <c r="O147" s="50"/>
    </row>
    <row r="148" spans="1:15" s="52" customFormat="1" ht="13.2">
      <c r="A148" s="49">
        <v>2719</v>
      </c>
      <c r="B148" s="50" t="s">
        <v>18</v>
      </c>
      <c r="C148" s="51"/>
      <c r="D148" s="50">
        <v>44842</v>
      </c>
      <c r="E148" s="50" t="str">
        <f t="shared" si="3"/>
        <v>Albatros E2</v>
      </c>
      <c r="F148" s="50" t="s">
        <v>132</v>
      </c>
      <c r="G148" s="50" t="s">
        <v>14</v>
      </c>
      <c r="H148" s="50" t="s">
        <v>20</v>
      </c>
      <c r="I148" s="50" t="str">
        <f t="shared" si="0"/>
        <v>PKC/Vertom E2 - Albatros E2</v>
      </c>
      <c r="J148" s="51">
        <v>0.41666666666666669</v>
      </c>
      <c r="K148" s="50" t="s">
        <v>16</v>
      </c>
      <c r="L148" s="50" t="s">
        <v>238</v>
      </c>
      <c r="M148" s="50"/>
      <c r="N148" s="50"/>
      <c r="O148" s="50"/>
    </row>
    <row r="149" spans="1:15" s="52" customFormat="1" ht="13.2">
      <c r="A149" s="49">
        <v>9193</v>
      </c>
      <c r="B149" s="50" t="s">
        <v>60</v>
      </c>
      <c r="C149" s="51"/>
      <c r="D149" s="50">
        <v>44842</v>
      </c>
      <c r="E149" s="50" t="str">
        <f t="shared" si="3"/>
        <v>Albatros B2</v>
      </c>
      <c r="F149" s="50" t="s">
        <v>136</v>
      </c>
      <c r="G149" s="50" t="s">
        <v>14</v>
      </c>
      <c r="H149" s="50" t="s">
        <v>62</v>
      </c>
      <c r="I149" s="50" t="str">
        <f t="shared" si="0"/>
        <v>KCR B2 - Albatros B2</v>
      </c>
      <c r="J149" s="51">
        <v>0.42708333333333331</v>
      </c>
      <c r="K149" s="50" t="s">
        <v>26</v>
      </c>
      <c r="L149" s="50" t="s">
        <v>31</v>
      </c>
      <c r="M149" s="50"/>
      <c r="N149" s="50"/>
      <c r="O149" s="50"/>
    </row>
    <row r="150" spans="1:15" s="52" customFormat="1" ht="13.2">
      <c r="A150" s="49">
        <v>8055</v>
      </c>
      <c r="B150" s="50" t="s">
        <v>55</v>
      </c>
      <c r="C150" s="51"/>
      <c r="D150" s="50">
        <v>44842</v>
      </c>
      <c r="E150" s="50" t="str">
        <f t="shared" si="3"/>
        <v>Albatros C2</v>
      </c>
      <c r="F150" s="50" t="s">
        <v>154</v>
      </c>
      <c r="G150" s="50" t="s">
        <v>14</v>
      </c>
      <c r="H150" s="50" t="s">
        <v>57</v>
      </c>
      <c r="I150" s="50" t="str">
        <f t="shared" si="0"/>
        <v>Fortis C1 - Albatros C2</v>
      </c>
      <c r="J150" s="51">
        <v>0.4375</v>
      </c>
      <c r="K150" s="50" t="s">
        <v>240</v>
      </c>
      <c r="L150" s="50" t="s">
        <v>31</v>
      </c>
      <c r="M150" s="50"/>
      <c r="N150" s="50"/>
      <c r="O150" s="50"/>
    </row>
    <row r="151" spans="1:15" s="52" customFormat="1" ht="13.2">
      <c r="A151" s="49">
        <v>4523</v>
      </c>
      <c r="B151" s="50" t="s">
        <v>12</v>
      </c>
      <c r="C151" s="51"/>
      <c r="D151" s="50">
        <v>44842</v>
      </c>
      <c r="E151" s="50" t="str">
        <f t="shared" si="3"/>
        <v>Albatros D2</v>
      </c>
      <c r="F151" s="50" t="s">
        <v>28</v>
      </c>
      <c r="G151" s="50" t="s">
        <v>14</v>
      </c>
      <c r="H151" s="50" t="s">
        <v>156</v>
      </c>
      <c r="I151" s="50" t="str">
        <f t="shared" si="0"/>
        <v>Albatros D2 - OJC '98 D1</v>
      </c>
      <c r="J151" s="51">
        <v>0.4375</v>
      </c>
      <c r="K151" s="50" t="s">
        <v>30</v>
      </c>
      <c r="L151" s="50" t="s">
        <v>107</v>
      </c>
      <c r="M151" s="50"/>
      <c r="N151" s="50" t="s">
        <v>456</v>
      </c>
      <c r="O151" s="50"/>
    </row>
    <row r="152" spans="1:15" s="52" customFormat="1" ht="13.2">
      <c r="A152" s="49">
        <v>3086</v>
      </c>
      <c r="B152" s="50" t="s">
        <v>18</v>
      </c>
      <c r="C152" s="51"/>
      <c r="D152" s="50">
        <v>44842</v>
      </c>
      <c r="E152" s="50" t="str">
        <f t="shared" si="3"/>
        <v>Albatros E5</v>
      </c>
      <c r="F152" s="50" t="s">
        <v>67</v>
      </c>
      <c r="G152" s="50" t="s">
        <v>14</v>
      </c>
      <c r="H152" s="50" t="s">
        <v>159</v>
      </c>
      <c r="I152" s="50" t="str">
        <f t="shared" si="0"/>
        <v>Albatros E5 - Scheldevogels E1</v>
      </c>
      <c r="J152" s="51">
        <v>0.4375</v>
      </c>
      <c r="K152" s="50" t="s">
        <v>30</v>
      </c>
      <c r="L152" s="50" t="s">
        <v>45</v>
      </c>
      <c r="M152" s="50"/>
      <c r="N152" s="50" t="s">
        <v>800</v>
      </c>
      <c r="O152" s="50"/>
    </row>
    <row r="153" spans="1:15" s="52" customFormat="1" ht="13.2">
      <c r="A153" s="49">
        <v>7388</v>
      </c>
      <c r="B153" s="50" t="s">
        <v>84</v>
      </c>
      <c r="C153" s="51"/>
      <c r="D153" s="50">
        <v>44842</v>
      </c>
      <c r="E153" s="50" t="str">
        <f t="shared" si="3"/>
        <v>Albatros B1</v>
      </c>
      <c r="F153" s="50" t="s">
        <v>241</v>
      </c>
      <c r="G153" s="50" t="s">
        <v>14</v>
      </c>
      <c r="H153" s="50" t="s">
        <v>85</v>
      </c>
      <c r="I153" s="50" t="str">
        <f t="shared" si="0"/>
        <v>PKC/Vertom B1 - Albatros B1</v>
      </c>
      <c r="J153" s="51">
        <v>0.45833333333333331</v>
      </c>
      <c r="K153" s="50" t="s">
        <v>16</v>
      </c>
      <c r="L153" s="50" t="s">
        <v>31</v>
      </c>
      <c r="M153" s="50"/>
      <c r="N153" s="50"/>
      <c r="O153" s="50"/>
    </row>
    <row r="154" spans="1:15" s="52" customFormat="1" ht="13.2">
      <c r="A154" s="49">
        <v>2736</v>
      </c>
      <c r="B154" s="50" t="s">
        <v>18</v>
      </c>
      <c r="C154" s="51"/>
      <c r="D154" s="50">
        <v>44842</v>
      </c>
      <c r="E154" s="50" t="str">
        <f t="shared" si="3"/>
        <v>Albatros E1</v>
      </c>
      <c r="F154" s="50" t="s">
        <v>64</v>
      </c>
      <c r="G154" s="50" t="s">
        <v>14</v>
      </c>
      <c r="H154" s="50" t="s">
        <v>145</v>
      </c>
      <c r="I154" s="50" t="str">
        <f t="shared" si="0"/>
        <v>Albatros E1 - PKC/Vertom E1</v>
      </c>
      <c r="J154" s="51">
        <v>0.45833333333333331</v>
      </c>
      <c r="K154" s="50" t="s">
        <v>30</v>
      </c>
      <c r="L154" s="50" t="s">
        <v>66</v>
      </c>
      <c r="M154" s="50"/>
      <c r="N154" s="50" t="s">
        <v>1955</v>
      </c>
      <c r="O154" s="50"/>
    </row>
    <row r="155" spans="1:15" s="52" customFormat="1" ht="13.2">
      <c r="A155" s="49">
        <v>7043</v>
      </c>
      <c r="B155" s="50" t="s">
        <v>46</v>
      </c>
      <c r="C155" s="51"/>
      <c r="D155" s="50">
        <v>44842</v>
      </c>
      <c r="E155" s="50" t="str">
        <f t="shared" si="3"/>
        <v>Albatros B3</v>
      </c>
      <c r="F155" s="50" t="s">
        <v>47</v>
      </c>
      <c r="G155" s="50" t="s">
        <v>14</v>
      </c>
      <c r="H155" s="50" t="s">
        <v>137</v>
      </c>
      <c r="I155" s="50" t="str">
        <f t="shared" si="0"/>
        <v>Albatros B3 - Oranje Wit (D) B3</v>
      </c>
      <c r="J155" s="51">
        <v>0.47916666666666669</v>
      </c>
      <c r="K155" s="50" t="s">
        <v>30</v>
      </c>
      <c r="L155" s="50" t="s">
        <v>34</v>
      </c>
      <c r="M155" s="50"/>
      <c r="N155" s="50" t="s">
        <v>1480</v>
      </c>
      <c r="O155" s="50"/>
    </row>
    <row r="156" spans="1:15" s="52" customFormat="1" ht="13.2">
      <c r="A156" s="49">
        <v>10180</v>
      </c>
      <c r="B156" s="50" t="s">
        <v>150</v>
      </c>
      <c r="C156" s="51"/>
      <c r="D156" s="50">
        <v>44842</v>
      </c>
      <c r="E156" s="50" t="str">
        <f t="shared" si="3"/>
        <v>Tempo G2</v>
      </c>
      <c r="F156" s="50" t="s">
        <v>242</v>
      </c>
      <c r="G156" s="50" t="s">
        <v>14</v>
      </c>
      <c r="H156" s="50" t="s">
        <v>152</v>
      </c>
      <c r="I156" s="50" t="str">
        <f t="shared" si="0"/>
        <v>Tempo G2 - Albatros G1</v>
      </c>
      <c r="J156" s="51">
        <v>0.47916666666666669</v>
      </c>
      <c r="K156" s="50" t="s">
        <v>30</v>
      </c>
      <c r="L156" s="50" t="s">
        <v>31</v>
      </c>
      <c r="M156" s="50"/>
      <c r="N156" s="50"/>
      <c r="O156" s="50"/>
    </row>
    <row r="157" spans="1:15" s="52" customFormat="1" ht="13.2">
      <c r="A157" s="49">
        <v>6039</v>
      </c>
      <c r="B157" s="50" t="s">
        <v>69</v>
      </c>
      <c r="C157" s="51"/>
      <c r="D157" s="50">
        <v>44842</v>
      </c>
      <c r="E157" s="50" t="str">
        <f t="shared" si="3"/>
        <v>Albatros C3</v>
      </c>
      <c r="F157" s="50" t="s">
        <v>148</v>
      </c>
      <c r="G157" s="50" t="s">
        <v>14</v>
      </c>
      <c r="H157" s="50" t="s">
        <v>71</v>
      </c>
      <c r="I157" s="50" t="str">
        <f t="shared" si="0"/>
        <v>DeetosSnel C2 - Albatros C3</v>
      </c>
      <c r="J157" s="51">
        <v>0.49652777777777779</v>
      </c>
      <c r="K157" s="50" t="s">
        <v>129</v>
      </c>
      <c r="L157" s="50" t="s">
        <v>31</v>
      </c>
      <c r="M157" s="50"/>
      <c r="N157" s="50"/>
      <c r="O157" s="50"/>
    </row>
    <row r="158" spans="1:15" s="52" customFormat="1" ht="13.2">
      <c r="A158" s="49">
        <v>6295</v>
      </c>
      <c r="B158" s="50" t="s">
        <v>90</v>
      </c>
      <c r="C158" s="51"/>
      <c r="D158" s="50">
        <v>44842</v>
      </c>
      <c r="E158" s="50" t="str">
        <f t="shared" si="3"/>
        <v>Albatros A1</v>
      </c>
      <c r="F158" s="50" t="s">
        <v>243</v>
      </c>
      <c r="G158" s="50" t="s">
        <v>14</v>
      </c>
      <c r="H158" s="50" t="s">
        <v>91</v>
      </c>
      <c r="I158" s="50" t="str">
        <f t="shared" si="0"/>
        <v>Die Haghe A1 - Albatros A1</v>
      </c>
      <c r="J158" s="51">
        <v>0.52083333333333337</v>
      </c>
      <c r="K158" s="50" t="s">
        <v>244</v>
      </c>
      <c r="L158" s="50" t="s">
        <v>31</v>
      </c>
      <c r="M158" s="50"/>
      <c r="N158" s="50"/>
      <c r="O158" s="50"/>
    </row>
    <row r="159" spans="1:15" s="52" customFormat="1" ht="13.2">
      <c r="A159" s="49">
        <v>7895</v>
      </c>
      <c r="B159" s="50" t="s">
        <v>93</v>
      </c>
      <c r="C159" s="51"/>
      <c r="D159" s="50">
        <v>44842</v>
      </c>
      <c r="E159" s="50" t="str">
        <f t="shared" si="3"/>
        <v>Albatros A4</v>
      </c>
      <c r="F159" s="50" t="s">
        <v>158</v>
      </c>
      <c r="G159" s="50" t="s">
        <v>14</v>
      </c>
      <c r="H159" s="50" t="s">
        <v>95</v>
      </c>
      <c r="I159" s="50" t="str">
        <f t="shared" si="0"/>
        <v>ACKC A2 - Albatros A4</v>
      </c>
      <c r="J159" s="51">
        <v>0.53125</v>
      </c>
      <c r="K159" s="50" t="s">
        <v>37</v>
      </c>
      <c r="L159" s="50" t="s">
        <v>165</v>
      </c>
      <c r="M159" s="50"/>
      <c r="N159" s="50"/>
      <c r="O159" s="50"/>
    </row>
    <row r="160" spans="1:15" s="52" customFormat="1" ht="13.2">
      <c r="A160" s="49">
        <v>9978</v>
      </c>
      <c r="B160" s="50" t="s">
        <v>104</v>
      </c>
      <c r="C160" s="51"/>
      <c r="D160" s="50">
        <v>44842</v>
      </c>
      <c r="E160" s="50" t="str">
        <f t="shared" si="3"/>
        <v>Albatros 6</v>
      </c>
      <c r="F160" s="50" t="s">
        <v>115</v>
      </c>
      <c r="G160" s="50" t="s">
        <v>14</v>
      </c>
      <c r="H160" s="50" t="s">
        <v>168</v>
      </c>
      <c r="I160" s="50" t="str">
        <f t="shared" si="0"/>
        <v>Albatros 6 - GKV/Enomics 4</v>
      </c>
      <c r="J160" s="51">
        <v>0.54166666666666663</v>
      </c>
      <c r="K160" s="50" t="s">
        <v>30</v>
      </c>
      <c r="L160" s="50" t="s">
        <v>34</v>
      </c>
      <c r="M160" s="50"/>
      <c r="N160" s="50" t="s">
        <v>338</v>
      </c>
      <c r="O160" s="50"/>
    </row>
    <row r="161" spans="1:15" s="52" customFormat="1" ht="13.2">
      <c r="A161" s="49">
        <v>7028</v>
      </c>
      <c r="B161" s="50" t="s">
        <v>81</v>
      </c>
      <c r="C161" s="51"/>
      <c r="D161" s="50">
        <v>44842</v>
      </c>
      <c r="E161" s="50" t="str">
        <f t="shared" si="3"/>
        <v>Albatros A2</v>
      </c>
      <c r="F161" s="50" t="s">
        <v>245</v>
      </c>
      <c r="G161" s="50" t="s">
        <v>14</v>
      </c>
      <c r="H161" s="50" t="s">
        <v>82</v>
      </c>
      <c r="I161" s="50" t="str">
        <f t="shared" si="0"/>
        <v>Sporting Delta A2 - Albatros A2</v>
      </c>
      <c r="J161" s="51">
        <v>0.54166666666666663</v>
      </c>
      <c r="K161" s="50" t="s">
        <v>141</v>
      </c>
      <c r="L161" s="50" t="s">
        <v>165</v>
      </c>
      <c r="M161" s="50"/>
      <c r="N161" s="50"/>
      <c r="O161" s="50"/>
    </row>
    <row r="162" spans="1:15" s="52" customFormat="1" ht="13.2">
      <c r="A162" s="49">
        <v>10544</v>
      </c>
      <c r="B162" s="50" t="s">
        <v>69</v>
      </c>
      <c r="C162" s="51"/>
      <c r="D162" s="50">
        <v>44842</v>
      </c>
      <c r="E162" s="50" t="str">
        <f t="shared" si="3"/>
        <v>Albatros C4</v>
      </c>
      <c r="F162" s="50" t="s">
        <v>138</v>
      </c>
      <c r="G162" s="50" t="s">
        <v>14</v>
      </c>
      <c r="H162" s="50" t="s">
        <v>74</v>
      </c>
      <c r="I162" s="50" t="str">
        <f t="shared" si="0"/>
        <v>KCC/CK Kozijnen C2 - Albatros C4</v>
      </c>
      <c r="J162" s="51">
        <v>0.54166666666666663</v>
      </c>
      <c r="K162" s="50" t="s">
        <v>213</v>
      </c>
      <c r="L162" s="50" t="s">
        <v>246</v>
      </c>
      <c r="M162" s="50"/>
      <c r="N162" s="50"/>
      <c r="O162" s="50"/>
    </row>
    <row r="163" spans="1:15" s="52" customFormat="1" ht="13.2">
      <c r="A163" s="49">
        <v>10183</v>
      </c>
      <c r="B163" s="50" t="s">
        <v>150</v>
      </c>
      <c r="C163" s="51"/>
      <c r="D163" s="50">
        <v>44842</v>
      </c>
      <c r="E163" s="50" t="str">
        <f t="shared" si="3"/>
        <v>Albatros G1</v>
      </c>
      <c r="F163" s="50" t="s">
        <v>152</v>
      </c>
      <c r="G163" s="50" t="s">
        <v>14</v>
      </c>
      <c r="H163" s="50" t="s">
        <v>247</v>
      </c>
      <c r="I163" s="50" t="str">
        <f t="shared" si="0"/>
        <v>Albatros G1 - GKV/Enomics G1</v>
      </c>
      <c r="J163" s="51">
        <v>0.54166666666666663</v>
      </c>
      <c r="K163" s="50" t="s">
        <v>30</v>
      </c>
      <c r="L163" s="50" t="s">
        <v>31</v>
      </c>
      <c r="M163" s="50"/>
      <c r="N163" s="50" t="s">
        <v>2135</v>
      </c>
      <c r="O163" s="50"/>
    </row>
    <row r="164" spans="1:15" s="52" customFormat="1" ht="13.2">
      <c r="A164" s="49">
        <v>3771</v>
      </c>
      <c r="B164" s="50" t="s">
        <v>122</v>
      </c>
      <c r="C164" s="51"/>
      <c r="D164" s="50">
        <v>44842</v>
      </c>
      <c r="E164" s="50" t="str">
        <f t="shared" si="3"/>
        <v>Albatros 3</v>
      </c>
      <c r="F164" s="50" t="s">
        <v>248</v>
      </c>
      <c r="G164" s="50" t="s">
        <v>14</v>
      </c>
      <c r="H164" s="50" t="s">
        <v>123</v>
      </c>
      <c r="I164" s="50" t="str">
        <f t="shared" si="0"/>
        <v>Excelsior 4 - Albatros 3</v>
      </c>
      <c r="J164" s="51">
        <v>0.56944444444444442</v>
      </c>
      <c r="K164" s="50" t="s">
        <v>249</v>
      </c>
      <c r="L164" s="50" t="s">
        <v>31</v>
      </c>
      <c r="M164" s="50"/>
      <c r="N164" s="50"/>
      <c r="O164" s="50"/>
    </row>
    <row r="165" spans="1:15" s="52" customFormat="1" ht="13.2">
      <c r="A165" s="49">
        <v>9709</v>
      </c>
      <c r="B165" s="50" t="s">
        <v>104</v>
      </c>
      <c r="C165" s="51"/>
      <c r="D165" s="50">
        <v>44842</v>
      </c>
      <c r="E165" s="50" t="str">
        <f t="shared" si="3"/>
        <v>Albatros 7</v>
      </c>
      <c r="F165" s="50" t="s">
        <v>105</v>
      </c>
      <c r="G165" s="50" t="s">
        <v>14</v>
      </c>
      <c r="H165" s="50" t="s">
        <v>140</v>
      </c>
      <c r="I165" s="50" t="str">
        <f t="shared" si="0"/>
        <v>Albatros 7 - Sporting Delta 7</v>
      </c>
      <c r="J165" s="51">
        <v>0.57291666666666663</v>
      </c>
      <c r="K165" s="50" t="s">
        <v>30</v>
      </c>
      <c r="L165" s="50" t="s">
        <v>31</v>
      </c>
      <c r="M165" s="50"/>
      <c r="N165" s="50" t="s">
        <v>1203</v>
      </c>
      <c r="O165" s="50"/>
    </row>
    <row r="166" spans="1:15" s="52" customFormat="1" ht="13.2">
      <c r="A166" s="49">
        <v>5123</v>
      </c>
      <c r="B166" s="50" t="s">
        <v>108</v>
      </c>
      <c r="C166" s="51"/>
      <c r="D166" s="50">
        <v>44842</v>
      </c>
      <c r="E166" s="50" t="str">
        <f t="shared" si="3"/>
        <v>Albatros 2</v>
      </c>
      <c r="F166" s="50" t="s">
        <v>250</v>
      </c>
      <c r="G166" s="50" t="s">
        <v>14</v>
      </c>
      <c r="H166" s="50" t="s">
        <v>109</v>
      </c>
      <c r="I166" s="50" t="str">
        <f t="shared" si="0"/>
        <v>Tjoba 2 - Albatros 2</v>
      </c>
      <c r="J166" s="51">
        <v>0.60416666666666663</v>
      </c>
      <c r="K166" s="50" t="s">
        <v>164</v>
      </c>
      <c r="L166" s="50" t="s">
        <v>165</v>
      </c>
      <c r="M166" s="50"/>
      <c r="N166" s="50"/>
      <c r="O166" s="50"/>
    </row>
    <row r="167" spans="1:15" s="52" customFormat="1" ht="13.2">
      <c r="A167" s="49">
        <v>9707</v>
      </c>
      <c r="B167" s="50" t="s">
        <v>104</v>
      </c>
      <c r="C167" s="51"/>
      <c r="D167" s="50">
        <v>44842</v>
      </c>
      <c r="E167" s="50" t="str">
        <f t="shared" si="3"/>
        <v>Albatros 9</v>
      </c>
      <c r="F167" s="50" t="s">
        <v>120</v>
      </c>
      <c r="G167" s="50" t="s">
        <v>14</v>
      </c>
      <c r="H167" s="50" t="s">
        <v>169</v>
      </c>
      <c r="I167" s="50" t="str">
        <f t="shared" si="0"/>
        <v>Albatros 9 - ADO 5</v>
      </c>
      <c r="J167" s="51">
        <v>0.61458333333333337</v>
      </c>
      <c r="K167" s="50" t="s">
        <v>30</v>
      </c>
      <c r="L167" s="50" t="s">
        <v>34</v>
      </c>
      <c r="M167" s="50"/>
      <c r="N167" s="50" t="s">
        <v>606</v>
      </c>
      <c r="O167" s="50"/>
    </row>
    <row r="168" spans="1:15" s="52" customFormat="1" ht="13.2">
      <c r="A168" s="49">
        <v>4436</v>
      </c>
      <c r="B168" s="50" t="s">
        <v>77</v>
      </c>
      <c r="C168" s="51"/>
      <c r="D168" s="50">
        <v>44842</v>
      </c>
      <c r="E168" s="50" t="str">
        <f t="shared" si="3"/>
        <v>Albatros 5</v>
      </c>
      <c r="F168" s="50" t="s">
        <v>79</v>
      </c>
      <c r="G168" s="50" t="s">
        <v>14</v>
      </c>
      <c r="H168" s="50" t="s">
        <v>251</v>
      </c>
      <c r="I168" s="50" t="str">
        <f t="shared" si="0"/>
        <v>Albatros 5 - Nieuwerkerk 4</v>
      </c>
      <c r="J168" s="51">
        <v>0.63541666666666663</v>
      </c>
      <c r="K168" s="50" t="s">
        <v>30</v>
      </c>
      <c r="L168" s="50" t="s">
        <v>31</v>
      </c>
      <c r="M168" s="50"/>
      <c r="N168" s="50" t="s">
        <v>289</v>
      </c>
      <c r="O168" s="50"/>
    </row>
    <row r="169" spans="1:15" s="52" customFormat="1" ht="13.2">
      <c r="A169" s="49">
        <v>1836</v>
      </c>
      <c r="B169" s="50" t="s">
        <v>117</v>
      </c>
      <c r="C169" s="51"/>
      <c r="D169" s="50">
        <v>44842</v>
      </c>
      <c r="E169" s="50" t="str">
        <f t="shared" si="3"/>
        <v>Albatros 1</v>
      </c>
      <c r="F169" s="50" t="s">
        <v>252</v>
      </c>
      <c r="G169" s="50" t="s">
        <v>14</v>
      </c>
      <c r="H169" s="50" t="s">
        <v>118</v>
      </c>
      <c r="I169" s="50" t="str">
        <f t="shared" si="0"/>
        <v>Tjoba 1 - Albatros 1</v>
      </c>
      <c r="J169" s="51">
        <v>0.66666666666666663</v>
      </c>
      <c r="K169" s="50" t="s">
        <v>164</v>
      </c>
      <c r="L169" s="50" t="s">
        <v>165</v>
      </c>
      <c r="M169" s="50"/>
      <c r="N169" s="50"/>
      <c r="O169" s="50"/>
    </row>
    <row r="170" spans="1:15" s="52" customFormat="1" ht="13.2">
      <c r="A170" s="49">
        <v>9956</v>
      </c>
      <c r="B170" s="50" t="s">
        <v>104</v>
      </c>
      <c r="C170" s="51"/>
      <c r="D170" s="50">
        <v>44842</v>
      </c>
      <c r="E170" s="50" t="str">
        <f t="shared" si="3"/>
        <v>Albatros 8</v>
      </c>
      <c r="F170" s="50" t="s">
        <v>167</v>
      </c>
      <c r="G170" s="50" t="s">
        <v>14</v>
      </c>
      <c r="H170" s="50" t="s">
        <v>112</v>
      </c>
      <c r="I170" s="50" t="str">
        <f t="shared" si="0"/>
        <v>PKC/Vertom 8 - Albatros 8</v>
      </c>
      <c r="J170" s="51">
        <v>0.70833333333333337</v>
      </c>
      <c r="K170" s="50" t="s">
        <v>16</v>
      </c>
      <c r="L170" s="50" t="s">
        <v>107</v>
      </c>
      <c r="M170" s="50"/>
      <c r="N170" s="50"/>
      <c r="O170" s="50"/>
    </row>
    <row r="171" spans="1:15" s="52" customFormat="1" ht="13.2">
      <c r="A171" s="49">
        <v>8297</v>
      </c>
      <c r="B171" s="50" t="s">
        <v>125</v>
      </c>
      <c r="C171" s="51"/>
      <c r="D171" s="50">
        <v>44846</v>
      </c>
      <c r="E171" s="50" t="str">
        <f t="shared" si="3"/>
        <v>Albatros/Conventus MW1</v>
      </c>
      <c r="F171" s="50" t="s">
        <v>127</v>
      </c>
      <c r="G171" s="50" t="s">
        <v>14</v>
      </c>
      <c r="H171" s="50" t="s">
        <v>126</v>
      </c>
      <c r="I171" s="50" t="str">
        <f t="shared" si="0"/>
        <v>Albatros/Conventus MW1 - HKC (Ha) MW1</v>
      </c>
      <c r="J171" s="51">
        <v>0.85416666666666663</v>
      </c>
      <c r="K171" s="50" t="s">
        <v>30</v>
      </c>
      <c r="L171" s="50" t="s">
        <v>31</v>
      </c>
      <c r="M171" s="50"/>
      <c r="N171" s="50" t="s">
        <v>2136</v>
      </c>
      <c r="O171" s="50"/>
    </row>
    <row r="172" spans="1:15" s="52" customFormat="1" ht="13.2">
      <c r="A172" s="49">
        <v>3232</v>
      </c>
      <c r="B172" s="50" t="s">
        <v>18</v>
      </c>
      <c r="C172" s="51"/>
      <c r="D172" s="50">
        <v>44849</v>
      </c>
      <c r="E172" s="50" t="str">
        <f t="shared" si="3"/>
        <v>Albatros E2</v>
      </c>
      <c r="F172" s="50" t="s">
        <v>184</v>
      </c>
      <c r="G172" s="50" t="s">
        <v>14</v>
      </c>
      <c r="H172" s="50" t="s">
        <v>20</v>
      </c>
      <c r="I172" s="50" t="str">
        <f t="shared" si="0"/>
        <v>Kinderdijk E1 - Albatros E2</v>
      </c>
      <c r="J172" s="51">
        <v>0.375</v>
      </c>
      <c r="K172" s="50" t="s">
        <v>253</v>
      </c>
      <c r="L172" s="50" t="s">
        <v>38</v>
      </c>
      <c r="M172" s="50"/>
      <c r="N172" s="50"/>
      <c r="O172" s="50"/>
    </row>
    <row r="173" spans="1:15" s="52" customFormat="1" ht="13.2">
      <c r="A173" s="49">
        <v>3255</v>
      </c>
      <c r="B173" s="50" t="s">
        <v>18</v>
      </c>
      <c r="C173" s="51"/>
      <c r="D173" s="50">
        <v>44849</v>
      </c>
      <c r="E173" s="50" t="str">
        <f t="shared" si="3"/>
        <v>Albatros E3</v>
      </c>
      <c r="F173" s="50" t="s">
        <v>40</v>
      </c>
      <c r="G173" s="50" t="s">
        <v>14</v>
      </c>
      <c r="H173" s="50" t="s">
        <v>193</v>
      </c>
      <c r="I173" s="50" t="str">
        <f t="shared" si="0"/>
        <v>Albatros E3 - GKV/Enomics E2</v>
      </c>
      <c r="J173" s="51">
        <v>0.375</v>
      </c>
      <c r="K173" s="50" t="s">
        <v>30</v>
      </c>
      <c r="L173" s="50" t="s">
        <v>66</v>
      </c>
      <c r="M173" s="50"/>
      <c r="N173" s="50" t="s">
        <v>800</v>
      </c>
      <c r="O173" s="50"/>
    </row>
    <row r="174" spans="1:15" s="52" customFormat="1" ht="13.2">
      <c r="A174" s="49">
        <v>634</v>
      </c>
      <c r="B174" s="50" t="s">
        <v>23</v>
      </c>
      <c r="C174" s="51"/>
      <c r="D174" s="50">
        <v>44849</v>
      </c>
      <c r="E174" s="50" t="str">
        <f t="shared" si="3"/>
        <v>Albatros F1</v>
      </c>
      <c r="F174" s="50" t="s">
        <v>186</v>
      </c>
      <c r="G174" s="50" t="s">
        <v>14</v>
      </c>
      <c r="H174" s="50" t="s">
        <v>53</v>
      </c>
      <c r="I174" s="50" t="str">
        <f t="shared" si="0"/>
        <v>PKC/Vertom F1 - Albatros F1</v>
      </c>
      <c r="J174" s="51">
        <v>0.375</v>
      </c>
      <c r="K174" s="50" t="s">
        <v>16</v>
      </c>
      <c r="L174" s="50" t="s">
        <v>238</v>
      </c>
      <c r="M174" s="50"/>
      <c r="N174" s="50"/>
      <c r="O174" s="50"/>
    </row>
    <row r="175" spans="1:15" s="52" customFormat="1" ht="13.2">
      <c r="A175" s="49">
        <v>6310</v>
      </c>
      <c r="B175" s="50" t="s">
        <v>46</v>
      </c>
      <c r="C175" s="51"/>
      <c r="D175" s="50">
        <v>44849</v>
      </c>
      <c r="E175" s="50" t="str">
        <f t="shared" si="3"/>
        <v>Albatros B3</v>
      </c>
      <c r="F175" s="50" t="s">
        <v>200</v>
      </c>
      <c r="G175" s="50" t="s">
        <v>14</v>
      </c>
      <c r="H175" s="50" t="s">
        <v>47</v>
      </c>
      <c r="I175" s="50" t="str">
        <f t="shared" si="0"/>
        <v>Merwede/Multiplaat B2 - Albatros B3</v>
      </c>
      <c r="J175" s="51">
        <v>0.39583333333333331</v>
      </c>
      <c r="K175" s="50" t="s">
        <v>180</v>
      </c>
      <c r="L175" s="50" t="s">
        <v>59</v>
      </c>
      <c r="M175" s="50"/>
      <c r="N175" s="50"/>
      <c r="O175" s="50"/>
    </row>
    <row r="176" spans="1:15" s="52" customFormat="1" ht="13.2">
      <c r="A176" s="49">
        <v>10545</v>
      </c>
      <c r="B176" s="50" t="s">
        <v>69</v>
      </c>
      <c r="C176" s="51"/>
      <c r="D176" s="50">
        <v>44849</v>
      </c>
      <c r="E176" s="50" t="str">
        <f t="shared" si="3"/>
        <v>Albatros C4</v>
      </c>
      <c r="F176" s="50" t="s">
        <v>182</v>
      </c>
      <c r="G176" s="50" t="s">
        <v>14</v>
      </c>
      <c r="H176" s="50" t="s">
        <v>74</v>
      </c>
      <c r="I176" s="50" t="str">
        <f t="shared" si="0"/>
        <v>RWA C3 - Albatros C4</v>
      </c>
      <c r="J176" s="51">
        <v>0.39583333333333331</v>
      </c>
      <c r="K176" s="50" t="s">
        <v>80</v>
      </c>
      <c r="L176" s="50" t="s">
        <v>17</v>
      </c>
      <c r="M176" s="50"/>
      <c r="N176" s="50"/>
      <c r="O176" s="50"/>
    </row>
    <row r="177" spans="1:15" s="52" customFormat="1" ht="13.2">
      <c r="A177" s="49">
        <v>4858</v>
      </c>
      <c r="B177" s="50" t="s">
        <v>12</v>
      </c>
      <c r="C177" s="51"/>
      <c r="D177" s="50">
        <v>44849</v>
      </c>
      <c r="E177" s="50" t="str">
        <f t="shared" si="3"/>
        <v>Albatros D3</v>
      </c>
      <c r="F177" s="50" t="s">
        <v>183</v>
      </c>
      <c r="G177" s="50" t="s">
        <v>14</v>
      </c>
      <c r="H177" s="50" t="s">
        <v>15</v>
      </c>
      <c r="I177" s="50" t="str">
        <f t="shared" si="0"/>
        <v>KCR D2 - Albatros D3</v>
      </c>
      <c r="J177" s="51">
        <v>0.39583333333333331</v>
      </c>
      <c r="K177" s="50" t="s">
        <v>26</v>
      </c>
      <c r="L177" s="50" t="s">
        <v>107</v>
      </c>
      <c r="M177" s="50"/>
      <c r="N177" s="50"/>
      <c r="O177" s="50"/>
    </row>
    <row r="178" spans="1:15" s="52" customFormat="1" ht="13.2">
      <c r="A178" s="49">
        <v>9194</v>
      </c>
      <c r="B178" s="50" t="s">
        <v>60</v>
      </c>
      <c r="C178" s="51"/>
      <c r="D178" s="50">
        <v>44849</v>
      </c>
      <c r="E178" s="50" t="str">
        <f t="shared" si="3"/>
        <v>Albatros B2</v>
      </c>
      <c r="F178" s="50" t="s">
        <v>62</v>
      </c>
      <c r="G178" s="50" t="s">
        <v>14</v>
      </c>
      <c r="H178" s="50" t="s">
        <v>195</v>
      </c>
      <c r="I178" s="50" t="str">
        <f t="shared" si="0"/>
        <v>Albatros B2 - Nieuwerkerk B2</v>
      </c>
      <c r="J178" s="51">
        <v>0.41666666666666669</v>
      </c>
      <c r="K178" s="50" t="s">
        <v>30</v>
      </c>
      <c r="L178" s="50" t="s">
        <v>31</v>
      </c>
      <c r="M178" s="50"/>
      <c r="N178" s="50" t="s">
        <v>289</v>
      </c>
      <c r="O178" s="50"/>
    </row>
    <row r="179" spans="1:15" s="52" customFormat="1" ht="13.2">
      <c r="A179" s="49">
        <v>1532</v>
      </c>
      <c r="B179" s="50" t="s">
        <v>18</v>
      </c>
      <c r="C179" s="51"/>
      <c r="D179" s="50">
        <v>44849</v>
      </c>
      <c r="E179" s="50" t="str">
        <f t="shared" si="3"/>
        <v>Albatros E1</v>
      </c>
      <c r="F179" s="50" t="s">
        <v>64</v>
      </c>
      <c r="G179" s="50" t="s">
        <v>14</v>
      </c>
      <c r="H179" s="50" t="s">
        <v>196</v>
      </c>
      <c r="I179" s="50" t="str">
        <f t="shared" si="0"/>
        <v>Albatros E1 - Vriendenschaar (H) E1</v>
      </c>
      <c r="J179" s="51">
        <v>0.41666666666666669</v>
      </c>
      <c r="K179" s="50" t="s">
        <v>30</v>
      </c>
      <c r="L179" s="50" t="s">
        <v>66</v>
      </c>
      <c r="M179" s="50"/>
      <c r="N179" s="50" t="s">
        <v>785</v>
      </c>
      <c r="O179" s="50"/>
    </row>
    <row r="180" spans="1:15" s="52" customFormat="1" ht="13.2">
      <c r="A180" s="49">
        <v>519</v>
      </c>
      <c r="B180" s="50" t="s">
        <v>23</v>
      </c>
      <c r="C180" s="51"/>
      <c r="D180" s="50">
        <v>44849</v>
      </c>
      <c r="E180" s="50" t="str">
        <f t="shared" si="3"/>
        <v>Albatros F2</v>
      </c>
      <c r="F180" s="50" t="s">
        <v>43</v>
      </c>
      <c r="G180" s="50" t="s">
        <v>14</v>
      </c>
      <c r="H180" s="50" t="s">
        <v>187</v>
      </c>
      <c r="I180" s="50" t="str">
        <f t="shared" si="0"/>
        <v>Albatros F2 - DSO (K) F3</v>
      </c>
      <c r="J180" s="51">
        <v>0.41666666666666669</v>
      </c>
      <c r="K180" s="50" t="s">
        <v>30</v>
      </c>
      <c r="L180" s="50" t="s">
        <v>45</v>
      </c>
      <c r="M180" s="50"/>
      <c r="N180" s="50" t="s">
        <v>288</v>
      </c>
      <c r="O180" s="50"/>
    </row>
    <row r="181" spans="1:15" s="52" customFormat="1" ht="13.2">
      <c r="A181" s="49">
        <v>3728</v>
      </c>
      <c r="B181" s="50" t="s">
        <v>12</v>
      </c>
      <c r="C181" s="51"/>
      <c r="D181" s="50">
        <v>44849</v>
      </c>
      <c r="E181" s="50" t="str">
        <f t="shared" si="3"/>
        <v>Albatros D4</v>
      </c>
      <c r="F181" s="50" t="s">
        <v>192</v>
      </c>
      <c r="G181" s="50" t="s">
        <v>14</v>
      </c>
      <c r="H181" s="50" t="s">
        <v>32</v>
      </c>
      <c r="I181" s="50" t="str">
        <f t="shared" si="0"/>
        <v>Korbatjo D1 - Albatros D4</v>
      </c>
      <c r="J181" s="51">
        <v>0.42708333333333331</v>
      </c>
      <c r="K181" s="50" t="s">
        <v>205</v>
      </c>
      <c r="L181" s="50" t="s">
        <v>76</v>
      </c>
      <c r="M181" s="50"/>
      <c r="N181" s="50"/>
      <c r="O181" s="50"/>
    </row>
    <row r="182" spans="1:15" s="52" customFormat="1" ht="13.2">
      <c r="A182" s="49">
        <v>3739</v>
      </c>
      <c r="B182" s="50" t="s">
        <v>12</v>
      </c>
      <c r="C182" s="51"/>
      <c r="D182" s="50">
        <v>44849</v>
      </c>
      <c r="E182" s="50" t="str">
        <f t="shared" si="3"/>
        <v>Albatros D2</v>
      </c>
      <c r="F182" s="50" t="s">
        <v>28</v>
      </c>
      <c r="G182" s="50" t="s">
        <v>14</v>
      </c>
      <c r="H182" s="50" t="s">
        <v>179</v>
      </c>
      <c r="I182" s="50" t="str">
        <f t="shared" si="0"/>
        <v>Albatros D2 - Merwede/Multiplaat D1</v>
      </c>
      <c r="J182" s="51">
        <v>0.4375</v>
      </c>
      <c r="K182" s="50" t="s">
        <v>30</v>
      </c>
      <c r="L182" s="50" t="s">
        <v>34</v>
      </c>
      <c r="M182" s="50"/>
      <c r="N182" s="50" t="s">
        <v>2082</v>
      </c>
      <c r="O182" s="50"/>
    </row>
    <row r="183" spans="1:15" s="52" customFormat="1" ht="13.2">
      <c r="A183" s="49">
        <v>3163</v>
      </c>
      <c r="B183" s="50" t="s">
        <v>18</v>
      </c>
      <c r="C183" s="51"/>
      <c r="D183" s="50">
        <v>44849</v>
      </c>
      <c r="E183" s="50" t="str">
        <f t="shared" si="3"/>
        <v>Albatros E4</v>
      </c>
      <c r="F183" s="50" t="s">
        <v>198</v>
      </c>
      <c r="G183" s="50" t="s">
        <v>14</v>
      </c>
      <c r="H183" s="50" t="s">
        <v>36</v>
      </c>
      <c r="I183" s="50" t="str">
        <f t="shared" si="0"/>
        <v>HKC (Ha) E5 - Albatros E4</v>
      </c>
      <c r="J183" s="51">
        <v>0.4375</v>
      </c>
      <c r="K183" s="50" t="s">
        <v>21</v>
      </c>
      <c r="L183" s="50" t="s">
        <v>22</v>
      </c>
      <c r="M183" s="50"/>
      <c r="N183" s="50"/>
      <c r="O183" s="50"/>
    </row>
    <row r="184" spans="1:15" s="52" customFormat="1" ht="13.2">
      <c r="A184" s="49">
        <v>1454</v>
      </c>
      <c r="B184" s="50" t="s">
        <v>18</v>
      </c>
      <c r="C184" s="51"/>
      <c r="D184" s="50">
        <v>44849</v>
      </c>
      <c r="E184" s="50" t="str">
        <f t="shared" si="3"/>
        <v>Albatros E5</v>
      </c>
      <c r="F184" s="50" t="s">
        <v>194</v>
      </c>
      <c r="G184" s="50" t="s">
        <v>14</v>
      </c>
      <c r="H184" s="50" t="s">
        <v>67</v>
      </c>
      <c r="I184" s="50" t="str">
        <f t="shared" si="0"/>
        <v>DSO (K) E3 - Albatros E5</v>
      </c>
      <c r="J184" s="51">
        <v>0.4375</v>
      </c>
      <c r="K184" s="50" t="s">
        <v>188</v>
      </c>
      <c r="L184" s="50" t="s">
        <v>254</v>
      </c>
      <c r="M184" s="50"/>
      <c r="N184" s="50"/>
      <c r="O184" s="50"/>
    </row>
    <row r="185" spans="1:15" s="52" customFormat="1" ht="13.2">
      <c r="A185" s="49">
        <v>8898</v>
      </c>
      <c r="B185" s="50" t="s">
        <v>104</v>
      </c>
      <c r="C185" s="51"/>
      <c r="D185" s="50">
        <v>44849</v>
      </c>
      <c r="E185" s="50" t="str">
        <f t="shared" si="3"/>
        <v>Albatros 6</v>
      </c>
      <c r="F185" s="50" t="s">
        <v>214</v>
      </c>
      <c r="G185" s="50" t="s">
        <v>14</v>
      </c>
      <c r="H185" s="50" t="s">
        <v>115</v>
      </c>
      <c r="I185" s="50" t="str">
        <f t="shared" si="0"/>
        <v>Merwede/Multiplaat 5 - Albatros 6</v>
      </c>
      <c r="J185" s="51">
        <v>0.45833333333333331</v>
      </c>
      <c r="K185" s="50" t="s">
        <v>180</v>
      </c>
      <c r="L185" s="50" t="s">
        <v>59</v>
      </c>
      <c r="M185" s="50"/>
      <c r="N185" s="50"/>
      <c r="O185" s="50"/>
    </row>
    <row r="186" spans="1:15" s="52" customFormat="1" ht="13.2">
      <c r="A186" s="49">
        <v>1022</v>
      </c>
      <c r="B186" s="50" t="s">
        <v>23</v>
      </c>
      <c r="C186" s="51"/>
      <c r="D186" s="50">
        <v>44849</v>
      </c>
      <c r="E186" s="50" t="str">
        <f t="shared" si="3"/>
        <v>Albatros F3</v>
      </c>
      <c r="F186" s="50" t="s">
        <v>25</v>
      </c>
      <c r="G186" s="50" t="s">
        <v>14</v>
      </c>
      <c r="H186" s="50" t="s">
        <v>181</v>
      </c>
      <c r="I186" s="50" t="str">
        <f t="shared" si="0"/>
        <v>Albatros F3 - HKC (Ha) F2</v>
      </c>
      <c r="J186" s="51">
        <v>0.45833333333333331</v>
      </c>
      <c r="K186" s="50" t="s">
        <v>30</v>
      </c>
      <c r="L186" s="50" t="s">
        <v>45</v>
      </c>
      <c r="M186" s="50"/>
      <c r="N186" s="50" t="s">
        <v>788</v>
      </c>
      <c r="O186" s="50"/>
    </row>
    <row r="187" spans="1:15" s="52" customFormat="1" ht="13.2">
      <c r="A187" s="49">
        <v>6823</v>
      </c>
      <c r="B187" s="50" t="s">
        <v>81</v>
      </c>
      <c r="C187" s="51"/>
      <c r="D187" s="50">
        <v>44849</v>
      </c>
      <c r="E187" s="50" t="str">
        <f t="shared" si="3"/>
        <v>Albatros A2</v>
      </c>
      <c r="F187" s="50" t="s">
        <v>82</v>
      </c>
      <c r="G187" s="50" t="s">
        <v>14</v>
      </c>
      <c r="H187" s="50" t="s">
        <v>255</v>
      </c>
      <c r="I187" s="50" t="str">
        <f t="shared" si="0"/>
        <v>Albatros A2 - Merwede/Multiplaat A1</v>
      </c>
      <c r="J187" s="51">
        <v>0.47916666666666669</v>
      </c>
      <c r="K187" s="50" t="s">
        <v>30</v>
      </c>
      <c r="L187" s="50" t="s">
        <v>31</v>
      </c>
      <c r="M187" s="50"/>
      <c r="N187" s="50" t="s">
        <v>289</v>
      </c>
      <c r="O187" s="50"/>
    </row>
    <row r="188" spans="1:15" s="52" customFormat="1" ht="13.2">
      <c r="A188" s="49">
        <v>7326</v>
      </c>
      <c r="B188" s="50" t="s">
        <v>93</v>
      </c>
      <c r="C188" s="51"/>
      <c r="D188" s="50">
        <v>44849</v>
      </c>
      <c r="E188" s="50" t="str">
        <f t="shared" si="3"/>
        <v>Albatros A3</v>
      </c>
      <c r="F188" s="50" t="s">
        <v>207</v>
      </c>
      <c r="G188" s="50" t="s">
        <v>14</v>
      </c>
      <c r="H188" s="50" t="s">
        <v>102</v>
      </c>
      <c r="I188" s="50" t="str">
        <f t="shared" si="0"/>
        <v>Triade A1 - Albatros A3</v>
      </c>
      <c r="J188" s="51">
        <v>0.47916666666666669</v>
      </c>
      <c r="K188" s="50" t="s">
        <v>113</v>
      </c>
      <c r="L188" s="50" t="s">
        <v>114</v>
      </c>
      <c r="M188" s="50"/>
      <c r="N188" s="50"/>
      <c r="O188" s="50"/>
    </row>
    <row r="189" spans="1:15" s="52" customFormat="1" ht="13.2">
      <c r="A189" s="49">
        <v>7721</v>
      </c>
      <c r="B189" s="50" t="s">
        <v>49</v>
      </c>
      <c r="C189" s="51"/>
      <c r="D189" s="50">
        <v>44849</v>
      </c>
      <c r="E189" s="50" t="str">
        <f t="shared" si="3"/>
        <v>Albatros C1</v>
      </c>
      <c r="F189" s="50" t="s">
        <v>256</v>
      </c>
      <c r="G189" s="50" t="s">
        <v>14</v>
      </c>
      <c r="H189" s="50" t="s">
        <v>50</v>
      </c>
      <c r="I189" s="50" t="str">
        <f t="shared" si="0"/>
        <v>ONDO (G) C1 - Albatros C1</v>
      </c>
      <c r="J189" s="51">
        <v>0.47916666666666669</v>
      </c>
      <c r="K189" s="50" t="s">
        <v>257</v>
      </c>
      <c r="L189" s="50" t="s">
        <v>31</v>
      </c>
      <c r="M189" s="50"/>
      <c r="N189" s="50"/>
      <c r="O189" s="50"/>
    </row>
    <row r="190" spans="1:15" s="52" customFormat="1" ht="13.2">
      <c r="A190" s="49">
        <v>6143</v>
      </c>
      <c r="B190" s="50" t="s">
        <v>69</v>
      </c>
      <c r="C190" s="51"/>
      <c r="D190" s="50">
        <v>44849</v>
      </c>
      <c r="E190" s="50" t="str">
        <f t="shared" si="3"/>
        <v>Albatros C3</v>
      </c>
      <c r="F190" s="50" t="s">
        <v>71</v>
      </c>
      <c r="G190" s="50" t="s">
        <v>14</v>
      </c>
      <c r="H190" s="50" t="s">
        <v>191</v>
      </c>
      <c r="I190" s="50" t="str">
        <f t="shared" si="0"/>
        <v>Albatros C3 - GKV/Enomics C2</v>
      </c>
      <c r="J190" s="51">
        <v>0.47916666666666669</v>
      </c>
      <c r="K190" s="50" t="s">
        <v>30</v>
      </c>
      <c r="L190" s="50" t="s">
        <v>34</v>
      </c>
      <c r="M190" s="50"/>
      <c r="N190" s="50" t="s">
        <v>506</v>
      </c>
      <c r="O190" s="50"/>
    </row>
    <row r="191" spans="1:15" s="52" customFormat="1" ht="13.2">
      <c r="A191" s="49">
        <v>8183</v>
      </c>
      <c r="B191" s="50" t="s">
        <v>97</v>
      </c>
      <c r="C191" s="51"/>
      <c r="D191" s="50">
        <v>44849</v>
      </c>
      <c r="E191" s="50" t="str">
        <f t="shared" si="3"/>
        <v>Albatros D1</v>
      </c>
      <c r="F191" s="50" t="s">
        <v>99</v>
      </c>
      <c r="G191" s="50" t="s">
        <v>14</v>
      </c>
      <c r="H191" s="50" t="s">
        <v>178</v>
      </c>
      <c r="I191" s="50" t="str">
        <f t="shared" si="0"/>
        <v>Albatros D1 - Nieuwerkerk D1</v>
      </c>
      <c r="J191" s="51">
        <v>0.48958333333333331</v>
      </c>
      <c r="K191" s="50" t="s">
        <v>30</v>
      </c>
      <c r="L191" s="50" t="s">
        <v>107</v>
      </c>
      <c r="M191" s="50"/>
      <c r="N191" s="50" t="s">
        <v>289</v>
      </c>
      <c r="O191" s="50"/>
    </row>
    <row r="192" spans="1:15" s="52" customFormat="1" ht="13.2">
      <c r="A192" s="49">
        <v>7423</v>
      </c>
      <c r="B192" s="50" t="s">
        <v>84</v>
      </c>
      <c r="C192" s="51"/>
      <c r="D192" s="50">
        <v>44849</v>
      </c>
      <c r="E192" s="50" t="str">
        <f t="shared" si="3"/>
        <v>Albatros B1</v>
      </c>
      <c r="F192" s="50" t="s">
        <v>258</v>
      </c>
      <c r="G192" s="50" t="s">
        <v>14</v>
      </c>
      <c r="H192" s="50" t="s">
        <v>85</v>
      </c>
      <c r="I192" s="50" t="str">
        <f t="shared" si="0"/>
        <v>KCR B1 - Albatros B1</v>
      </c>
      <c r="J192" s="51">
        <v>0.5</v>
      </c>
      <c r="K192" s="50" t="s">
        <v>26</v>
      </c>
      <c r="L192" s="50" t="s">
        <v>31</v>
      </c>
      <c r="M192" s="50"/>
      <c r="N192" s="50"/>
      <c r="O192" s="50"/>
    </row>
    <row r="193" spans="1:15" s="52" customFormat="1" ht="13.2">
      <c r="A193" s="49">
        <v>8881</v>
      </c>
      <c r="B193" s="50" t="s">
        <v>104</v>
      </c>
      <c r="C193" s="51"/>
      <c r="D193" s="50">
        <v>44849</v>
      </c>
      <c r="E193" s="50" t="str">
        <f t="shared" si="3"/>
        <v>Albatros 9</v>
      </c>
      <c r="F193" s="50" t="s">
        <v>120</v>
      </c>
      <c r="G193" s="50" t="s">
        <v>14</v>
      </c>
      <c r="H193" s="50" t="s">
        <v>209</v>
      </c>
      <c r="I193" s="50" t="str">
        <f t="shared" si="0"/>
        <v>Albatros 9 - DeetosSnel 10</v>
      </c>
      <c r="J193" s="51">
        <v>0.53125</v>
      </c>
      <c r="K193" s="50" t="s">
        <v>30</v>
      </c>
      <c r="L193" s="50" t="s">
        <v>34</v>
      </c>
      <c r="M193" s="50"/>
      <c r="N193" s="50" t="s">
        <v>567</v>
      </c>
      <c r="O193" s="50"/>
    </row>
    <row r="194" spans="1:15" s="52" customFormat="1" ht="13.2">
      <c r="A194" s="49">
        <v>4852</v>
      </c>
      <c r="B194" s="50" t="s">
        <v>77</v>
      </c>
      <c r="C194" s="51"/>
      <c r="D194" s="50">
        <v>44849</v>
      </c>
      <c r="E194" s="50" t="str">
        <f t="shared" si="3"/>
        <v>Albatros 4</v>
      </c>
      <c r="F194" s="50" t="s">
        <v>259</v>
      </c>
      <c r="G194" s="50" t="s">
        <v>14</v>
      </c>
      <c r="H194" s="50" t="s">
        <v>88</v>
      </c>
      <c r="I194" s="50" t="str">
        <f t="shared" si="0"/>
        <v>Movado 3 - Albatros 4</v>
      </c>
      <c r="J194" s="51">
        <v>0.54166666666666663</v>
      </c>
      <c r="K194" s="50" t="s">
        <v>72</v>
      </c>
      <c r="L194" s="50" t="s">
        <v>31</v>
      </c>
      <c r="M194" s="50"/>
      <c r="N194" s="50"/>
      <c r="O194" s="50"/>
    </row>
    <row r="195" spans="1:15" s="52" customFormat="1" ht="13.2">
      <c r="A195" s="49">
        <v>6815</v>
      </c>
      <c r="B195" s="50" t="s">
        <v>90</v>
      </c>
      <c r="C195" s="51"/>
      <c r="D195" s="50">
        <v>44849</v>
      </c>
      <c r="E195" s="50" t="str">
        <f t="shared" ref="E195:E222" si="4">IF(K195=K$9,F195,H195)</f>
        <v>Albatros A1</v>
      </c>
      <c r="F195" s="50" t="s">
        <v>91</v>
      </c>
      <c r="G195" s="50" t="s">
        <v>14</v>
      </c>
      <c r="H195" s="50" t="s">
        <v>260</v>
      </c>
      <c r="I195" s="50" t="str">
        <f t="shared" si="0"/>
        <v>Albatros A1 - Fortuna/Delta Logistiek A1</v>
      </c>
      <c r="J195" s="51">
        <v>0.54166666666666663</v>
      </c>
      <c r="K195" s="50" t="s">
        <v>30</v>
      </c>
      <c r="L195" s="50" t="s">
        <v>31</v>
      </c>
      <c r="M195" s="50"/>
      <c r="N195" s="50" t="s">
        <v>289</v>
      </c>
      <c r="O195" s="50"/>
    </row>
    <row r="196" spans="1:15" s="52" customFormat="1" ht="13.2">
      <c r="A196" s="49">
        <v>7957</v>
      </c>
      <c r="B196" s="50" t="s">
        <v>93</v>
      </c>
      <c r="C196" s="51"/>
      <c r="D196" s="50">
        <v>44849</v>
      </c>
      <c r="E196" s="50" t="str">
        <f t="shared" si="4"/>
        <v>Albatros A4</v>
      </c>
      <c r="F196" s="50" t="s">
        <v>95</v>
      </c>
      <c r="G196" s="50" t="s">
        <v>14</v>
      </c>
      <c r="H196" s="50" t="s">
        <v>215</v>
      </c>
      <c r="I196" s="50" t="str">
        <f t="shared" si="0"/>
        <v>Albatros A4 - Oranje Wit (D) A3</v>
      </c>
      <c r="J196" s="51">
        <v>0.54166666666666663</v>
      </c>
      <c r="K196" s="50" t="s">
        <v>30</v>
      </c>
      <c r="L196" s="50" t="s">
        <v>107</v>
      </c>
      <c r="M196" s="50"/>
      <c r="N196" s="50" t="s">
        <v>301</v>
      </c>
      <c r="O196" s="50"/>
    </row>
    <row r="197" spans="1:15" s="52" customFormat="1" ht="13.2">
      <c r="A197" s="49">
        <v>8091</v>
      </c>
      <c r="B197" s="50" t="s">
        <v>55</v>
      </c>
      <c r="C197" s="51"/>
      <c r="D197" s="50">
        <v>44849</v>
      </c>
      <c r="E197" s="50" t="str">
        <f t="shared" si="4"/>
        <v>Albatros C2</v>
      </c>
      <c r="F197" s="50" t="s">
        <v>190</v>
      </c>
      <c r="G197" s="50" t="s">
        <v>14</v>
      </c>
      <c r="H197" s="50" t="s">
        <v>57</v>
      </c>
      <c r="I197" s="50" t="str">
        <f t="shared" si="0"/>
        <v>Swift (M) C1 - Albatros C2</v>
      </c>
      <c r="J197" s="51">
        <v>0.5625</v>
      </c>
      <c r="K197" s="50" t="s">
        <v>261</v>
      </c>
      <c r="L197" s="50" t="s">
        <v>165</v>
      </c>
      <c r="M197" s="50"/>
      <c r="N197" s="50"/>
      <c r="O197" s="50"/>
    </row>
    <row r="198" spans="1:15" s="52" customFormat="1" ht="13.2">
      <c r="A198" s="49">
        <v>4909</v>
      </c>
      <c r="B198" s="50" t="s">
        <v>108</v>
      </c>
      <c r="C198" s="51"/>
      <c r="D198" s="50">
        <v>44849</v>
      </c>
      <c r="E198" s="50" t="str">
        <f t="shared" si="4"/>
        <v>Albatros 2</v>
      </c>
      <c r="F198" s="50" t="s">
        <v>109</v>
      </c>
      <c r="G198" s="50" t="s">
        <v>14</v>
      </c>
      <c r="H198" s="50" t="s">
        <v>262</v>
      </c>
      <c r="I198" s="50" t="str">
        <f t="shared" si="0"/>
        <v>Albatros 2 - Merwede/Multiplaat 2</v>
      </c>
      <c r="J198" s="51">
        <v>0.60416666666666663</v>
      </c>
      <c r="K198" s="50" t="s">
        <v>30</v>
      </c>
      <c r="L198" s="50" t="s">
        <v>31</v>
      </c>
      <c r="M198" s="50"/>
      <c r="N198" s="50" t="s">
        <v>289</v>
      </c>
      <c r="O198" s="50"/>
    </row>
    <row r="199" spans="1:15" s="52" customFormat="1" ht="13.2">
      <c r="A199" s="49">
        <v>4844</v>
      </c>
      <c r="B199" s="50" t="s">
        <v>77</v>
      </c>
      <c r="C199" s="51"/>
      <c r="D199" s="50">
        <v>44849</v>
      </c>
      <c r="E199" s="50" t="str">
        <f t="shared" si="4"/>
        <v>Albatros 5</v>
      </c>
      <c r="F199" s="50" t="s">
        <v>263</v>
      </c>
      <c r="G199" s="50" t="s">
        <v>14</v>
      </c>
      <c r="H199" s="50" t="s">
        <v>79</v>
      </c>
      <c r="I199" s="50" t="str">
        <f t="shared" si="0"/>
        <v>Movado 2 - Albatros 5</v>
      </c>
      <c r="J199" s="51">
        <v>0.60416666666666663</v>
      </c>
      <c r="K199" s="50" t="s">
        <v>72</v>
      </c>
      <c r="L199" s="50" t="s">
        <v>31</v>
      </c>
      <c r="M199" s="50"/>
      <c r="N199" s="50"/>
      <c r="O199" s="50"/>
    </row>
    <row r="200" spans="1:15" s="52" customFormat="1" ht="13.2">
      <c r="A200" s="49">
        <v>8883</v>
      </c>
      <c r="B200" s="50" t="s">
        <v>104</v>
      </c>
      <c r="C200" s="51"/>
      <c r="D200" s="50">
        <v>44849</v>
      </c>
      <c r="E200" s="50" t="str">
        <f t="shared" si="4"/>
        <v>Albatros 7</v>
      </c>
      <c r="F200" s="50" t="s">
        <v>105</v>
      </c>
      <c r="G200" s="50" t="s">
        <v>14</v>
      </c>
      <c r="H200" s="50" t="s">
        <v>202</v>
      </c>
      <c r="I200" s="50" t="str">
        <f t="shared" si="0"/>
        <v>Albatros 7 - Trekvogels 2</v>
      </c>
      <c r="J200" s="51">
        <v>0.60416666666666663</v>
      </c>
      <c r="K200" s="50" t="s">
        <v>30</v>
      </c>
      <c r="L200" s="50" t="s">
        <v>107</v>
      </c>
      <c r="M200" s="50"/>
      <c r="N200" s="50" t="s">
        <v>298</v>
      </c>
      <c r="O200" s="50"/>
    </row>
    <row r="201" spans="1:15" s="52" customFormat="1" ht="13.2">
      <c r="A201" s="49">
        <v>1655</v>
      </c>
      <c r="B201" s="50" t="s">
        <v>117</v>
      </c>
      <c r="C201" s="51"/>
      <c r="D201" s="50">
        <v>44849</v>
      </c>
      <c r="E201" s="50" t="str">
        <f t="shared" si="4"/>
        <v>Albatros 1</v>
      </c>
      <c r="F201" s="50" t="s">
        <v>118</v>
      </c>
      <c r="G201" s="50" t="s">
        <v>14</v>
      </c>
      <c r="H201" s="50" t="s">
        <v>264</v>
      </c>
      <c r="I201" s="50" t="str">
        <f t="shared" si="0"/>
        <v>Albatros 1 - Merwede/Multiplaat 1</v>
      </c>
      <c r="J201" s="51">
        <v>0.66666666666666663</v>
      </c>
      <c r="K201" s="50" t="s">
        <v>30</v>
      </c>
      <c r="L201" s="50" t="s">
        <v>31</v>
      </c>
      <c r="M201" s="50"/>
      <c r="N201" s="50" t="s">
        <v>289</v>
      </c>
      <c r="O201" s="50"/>
    </row>
    <row r="202" spans="1:15" s="52" customFormat="1" ht="13.2">
      <c r="A202" s="49">
        <v>10049</v>
      </c>
      <c r="B202" s="50" t="s">
        <v>104</v>
      </c>
      <c r="C202" s="51"/>
      <c r="D202" s="50">
        <v>44849</v>
      </c>
      <c r="E202" s="50" t="str">
        <f t="shared" si="4"/>
        <v>Albatros 8</v>
      </c>
      <c r="F202" s="50" t="s">
        <v>112</v>
      </c>
      <c r="G202" s="50" t="s">
        <v>14</v>
      </c>
      <c r="H202" s="50" t="s">
        <v>204</v>
      </c>
      <c r="I202" s="50" t="str">
        <f t="shared" si="0"/>
        <v>Albatros 8 - Korbatjo 3</v>
      </c>
      <c r="J202" s="51">
        <v>0.66666666666666663</v>
      </c>
      <c r="K202" s="50" t="s">
        <v>30</v>
      </c>
      <c r="L202" s="50" t="s">
        <v>107</v>
      </c>
      <c r="M202" s="50"/>
      <c r="N202" s="50" t="s">
        <v>566</v>
      </c>
      <c r="O202" s="50"/>
    </row>
    <row r="203" spans="1:15" s="52" customFormat="1" ht="13.2">
      <c r="A203" s="49">
        <v>4427</v>
      </c>
      <c r="B203" s="50" t="s">
        <v>122</v>
      </c>
      <c r="C203" s="51"/>
      <c r="D203" s="50">
        <v>44849</v>
      </c>
      <c r="E203" s="50" t="str">
        <f t="shared" si="4"/>
        <v>Albatros 3</v>
      </c>
      <c r="F203" s="50" t="s">
        <v>123</v>
      </c>
      <c r="G203" s="50" t="s">
        <v>14</v>
      </c>
      <c r="H203" s="50" t="s">
        <v>265</v>
      </c>
      <c r="I203" s="50" t="str">
        <f t="shared" si="0"/>
        <v>Albatros 3 - Sporting Delta 3</v>
      </c>
      <c r="J203" s="51">
        <v>0.72916666666666663</v>
      </c>
      <c r="K203" s="50" t="s">
        <v>30</v>
      </c>
      <c r="L203" s="50" t="s">
        <v>31</v>
      </c>
      <c r="M203" s="50"/>
      <c r="N203" s="50" t="s">
        <v>289</v>
      </c>
      <c r="O203" s="50"/>
    </row>
    <row r="204" spans="1:15" s="52" customFormat="1" ht="13.2">
      <c r="A204" s="49">
        <v>8526</v>
      </c>
      <c r="B204" s="50" t="s">
        <v>125</v>
      </c>
      <c r="C204" s="51"/>
      <c r="D204" s="50">
        <v>44853</v>
      </c>
      <c r="E204" s="50" t="str">
        <f t="shared" si="4"/>
        <v>Albatros/Conventus MW1</v>
      </c>
      <c r="F204" s="50" t="s">
        <v>177</v>
      </c>
      <c r="G204" s="50" t="s">
        <v>14</v>
      </c>
      <c r="H204" s="50" t="s">
        <v>127</v>
      </c>
      <c r="I204" s="50" t="str">
        <f t="shared" si="0"/>
        <v>Vriendenschaar (H) MW3 - Albatros/Conventus MW1</v>
      </c>
      <c r="J204" s="51">
        <v>0.83333333333333337</v>
      </c>
      <c r="K204" s="50" t="s">
        <v>89</v>
      </c>
      <c r="L204" s="50" t="s">
        <v>59</v>
      </c>
      <c r="M204" s="50"/>
      <c r="N204" s="50"/>
      <c r="O204" s="50"/>
    </row>
    <row r="205" spans="1:15" s="52" customFormat="1" ht="13.2">
      <c r="A205" s="49">
        <v>7848</v>
      </c>
      <c r="B205" s="50" t="s">
        <v>49</v>
      </c>
      <c r="C205" s="51"/>
      <c r="D205" s="50">
        <v>44856</v>
      </c>
      <c r="E205" s="50" t="str">
        <f t="shared" si="4"/>
        <v>Albatros C1</v>
      </c>
      <c r="F205" s="50" t="s">
        <v>50</v>
      </c>
      <c r="G205" s="50" t="s">
        <v>14</v>
      </c>
      <c r="H205" s="50" t="s">
        <v>266</v>
      </c>
      <c r="I205" s="50" t="str">
        <f t="shared" si="0"/>
        <v>Albatros C1 - KCR C1</v>
      </c>
      <c r="J205" s="51">
        <v>0.41666666666666669</v>
      </c>
      <c r="K205" s="50" t="s">
        <v>30</v>
      </c>
      <c r="L205" s="50" t="s">
        <v>31</v>
      </c>
      <c r="M205" s="50"/>
      <c r="N205" s="50" t="s">
        <v>289</v>
      </c>
      <c r="O205" s="50"/>
    </row>
    <row r="206" spans="1:15" s="52" customFormat="1" ht="13.2">
      <c r="A206" s="49">
        <v>7367</v>
      </c>
      <c r="B206" s="50" t="s">
        <v>84</v>
      </c>
      <c r="C206" s="51"/>
      <c r="D206" s="50">
        <v>44856</v>
      </c>
      <c r="E206" s="50" t="str">
        <f t="shared" si="4"/>
        <v>Albatros B1</v>
      </c>
      <c r="F206" s="50" t="s">
        <v>85</v>
      </c>
      <c r="G206" s="50" t="s">
        <v>14</v>
      </c>
      <c r="H206" s="50" t="s">
        <v>267</v>
      </c>
      <c r="I206" s="50" t="str">
        <f t="shared" si="0"/>
        <v>Albatros B1 - Kinderdijk B1</v>
      </c>
      <c r="J206" s="51">
        <v>0.46875</v>
      </c>
      <c r="K206" s="50" t="s">
        <v>30</v>
      </c>
      <c r="L206" s="50" t="s">
        <v>31</v>
      </c>
      <c r="M206" s="50"/>
      <c r="N206" s="50" t="s">
        <v>289</v>
      </c>
      <c r="O206" s="50"/>
    </row>
    <row r="207" spans="1:15" s="52" customFormat="1" ht="13.2">
      <c r="A207" s="49">
        <v>7000</v>
      </c>
      <c r="B207" s="50" t="s">
        <v>81</v>
      </c>
      <c r="C207" s="51"/>
      <c r="D207" s="50">
        <v>44856</v>
      </c>
      <c r="E207" s="50" t="str">
        <f t="shared" si="4"/>
        <v>Albatros A2</v>
      </c>
      <c r="F207" s="50" t="s">
        <v>268</v>
      </c>
      <c r="G207" s="50" t="s">
        <v>14</v>
      </c>
      <c r="H207" s="50" t="s">
        <v>82</v>
      </c>
      <c r="I207" s="50" t="str">
        <f t="shared" si="0"/>
        <v>PKC/Vertom A3 - Albatros A2</v>
      </c>
      <c r="J207" s="51">
        <v>0.52083333333333337</v>
      </c>
      <c r="K207" s="50" t="s">
        <v>16</v>
      </c>
      <c r="L207" s="50" t="s">
        <v>31</v>
      </c>
      <c r="M207" s="50"/>
      <c r="N207" s="50"/>
      <c r="O207" s="50"/>
    </row>
    <row r="208" spans="1:15" s="52" customFormat="1" ht="13.2">
      <c r="A208" s="49">
        <v>4437</v>
      </c>
      <c r="B208" s="50" t="s">
        <v>77</v>
      </c>
      <c r="C208" s="51"/>
      <c r="D208" s="50">
        <v>44856</v>
      </c>
      <c r="E208" s="50" t="str">
        <f t="shared" si="4"/>
        <v>Albatros 5</v>
      </c>
      <c r="F208" s="50" t="s">
        <v>79</v>
      </c>
      <c r="G208" s="50" t="s">
        <v>14</v>
      </c>
      <c r="H208" s="50" t="s">
        <v>269</v>
      </c>
      <c r="I208" s="50" t="str">
        <f t="shared" si="0"/>
        <v>Albatros 5 - Twist 4</v>
      </c>
      <c r="J208" s="51">
        <v>0.54166666666666663</v>
      </c>
      <c r="K208" s="50" t="s">
        <v>30</v>
      </c>
      <c r="L208" s="50" t="s">
        <v>31</v>
      </c>
      <c r="M208" s="50"/>
      <c r="N208" s="50" t="s">
        <v>289</v>
      </c>
      <c r="O208" s="50"/>
    </row>
    <row r="209" spans="1:29" s="52" customFormat="1" ht="13.2">
      <c r="A209" s="49">
        <v>5062</v>
      </c>
      <c r="B209" s="50" t="s">
        <v>122</v>
      </c>
      <c r="C209" s="51"/>
      <c r="D209" s="50">
        <v>44856</v>
      </c>
      <c r="E209" s="50" t="str">
        <f t="shared" si="4"/>
        <v>Albatros 3</v>
      </c>
      <c r="F209" s="50" t="s">
        <v>270</v>
      </c>
      <c r="G209" s="50" t="s">
        <v>14</v>
      </c>
      <c r="H209" s="50" t="s">
        <v>123</v>
      </c>
      <c r="I209" s="50" t="str">
        <f t="shared" si="0"/>
        <v>PKC/Vertom 4 - Albatros 3</v>
      </c>
      <c r="J209" s="51">
        <v>0.58333333333333337</v>
      </c>
      <c r="K209" s="50" t="s">
        <v>16</v>
      </c>
      <c r="L209" s="50" t="s">
        <v>31</v>
      </c>
      <c r="M209" s="50"/>
      <c r="N209" s="50"/>
      <c r="O209" s="50"/>
    </row>
    <row r="210" spans="1:29" s="52" customFormat="1" ht="13.2">
      <c r="A210" s="49">
        <v>2980</v>
      </c>
      <c r="B210" s="50" t="s">
        <v>108</v>
      </c>
      <c r="C210" s="51"/>
      <c r="D210" s="50">
        <v>44856</v>
      </c>
      <c r="E210" s="50" t="str">
        <f t="shared" si="4"/>
        <v>Albatros 2</v>
      </c>
      <c r="F210" s="50" t="s">
        <v>271</v>
      </c>
      <c r="G210" s="50" t="s">
        <v>14</v>
      </c>
      <c r="H210" s="50" t="s">
        <v>109</v>
      </c>
      <c r="I210" s="50" t="str">
        <f t="shared" si="0"/>
        <v>Rust Roest 2 - Albatros 2</v>
      </c>
      <c r="J210" s="51">
        <v>0.60416666666666663</v>
      </c>
      <c r="K210" s="50" t="s">
        <v>272</v>
      </c>
      <c r="L210" s="50" t="s">
        <v>31</v>
      </c>
      <c r="M210" s="50"/>
      <c r="N210" s="50"/>
      <c r="O210" s="50"/>
    </row>
    <row r="211" spans="1:29" s="52" customFormat="1" ht="13.2">
      <c r="A211" s="49">
        <v>4433</v>
      </c>
      <c r="B211" s="50" t="s">
        <v>77</v>
      </c>
      <c r="C211" s="51"/>
      <c r="D211" s="50">
        <v>44856</v>
      </c>
      <c r="E211" s="50" t="str">
        <f t="shared" si="4"/>
        <v>Albatros 4</v>
      </c>
      <c r="F211" s="50" t="s">
        <v>88</v>
      </c>
      <c r="G211" s="50" t="s">
        <v>14</v>
      </c>
      <c r="H211" s="50" t="s">
        <v>273</v>
      </c>
      <c r="I211" s="50" t="str">
        <f t="shared" si="0"/>
        <v>Albatros 4 - Kinderdijk 3</v>
      </c>
      <c r="J211" s="51">
        <v>0.60416666666666663</v>
      </c>
      <c r="K211" s="50" t="s">
        <v>30</v>
      </c>
      <c r="L211" s="50" t="s">
        <v>31</v>
      </c>
      <c r="M211" s="50"/>
      <c r="N211" s="50" t="s">
        <v>289</v>
      </c>
      <c r="O211" s="50"/>
    </row>
    <row r="212" spans="1:29" s="52" customFormat="1" ht="13.2">
      <c r="A212" s="49">
        <v>6550</v>
      </c>
      <c r="B212" s="50" t="s">
        <v>90</v>
      </c>
      <c r="C212" s="51"/>
      <c r="D212" s="50">
        <v>44856</v>
      </c>
      <c r="E212" s="50" t="str">
        <f t="shared" si="4"/>
        <v>Albatros A1</v>
      </c>
      <c r="F212" s="50" t="s">
        <v>274</v>
      </c>
      <c r="G212" s="50" t="s">
        <v>14</v>
      </c>
      <c r="H212" s="50" t="s">
        <v>91</v>
      </c>
      <c r="I212" s="50" t="str">
        <f t="shared" si="0"/>
        <v>TOP/IAA fresh A1 - Albatros A1</v>
      </c>
      <c r="J212" s="51">
        <v>0.64583333333333337</v>
      </c>
      <c r="K212" s="50" t="s">
        <v>275</v>
      </c>
      <c r="L212" s="50" t="s">
        <v>276</v>
      </c>
      <c r="M212" s="50"/>
      <c r="N212" s="50"/>
      <c r="O212" s="50"/>
    </row>
    <row r="213" spans="1:29" s="52" customFormat="1" ht="13.2">
      <c r="A213" s="49">
        <v>1454</v>
      </c>
      <c r="B213" s="50" t="s">
        <v>117</v>
      </c>
      <c r="C213" s="51"/>
      <c r="D213" s="50">
        <v>44856</v>
      </c>
      <c r="E213" s="50" t="str">
        <f t="shared" si="4"/>
        <v>Albatros 1</v>
      </c>
      <c r="F213" s="50" t="s">
        <v>277</v>
      </c>
      <c r="G213" s="50" t="s">
        <v>14</v>
      </c>
      <c r="H213" s="50" t="s">
        <v>118</v>
      </c>
      <c r="I213" s="50" t="str">
        <f t="shared" si="0"/>
        <v>Rust Roest 1 - Albatros 1</v>
      </c>
      <c r="J213" s="51">
        <v>0.66666666666666663</v>
      </c>
      <c r="K213" s="50" t="s">
        <v>272</v>
      </c>
      <c r="L213" s="50" t="s">
        <v>31</v>
      </c>
      <c r="M213" s="50"/>
      <c r="N213" s="50"/>
      <c r="O213" s="50"/>
    </row>
    <row r="214" spans="1:29" s="52" customFormat="1" ht="13.2">
      <c r="A214" s="49">
        <v>7756</v>
      </c>
      <c r="B214" s="50" t="s">
        <v>49</v>
      </c>
      <c r="C214" s="51"/>
      <c r="D214" s="50">
        <v>44863</v>
      </c>
      <c r="E214" s="50" t="str">
        <f t="shared" si="4"/>
        <v>Albatros C1</v>
      </c>
      <c r="F214" s="50" t="s">
        <v>51</v>
      </c>
      <c r="G214" s="50" t="s">
        <v>14</v>
      </c>
      <c r="H214" s="50" t="s">
        <v>50</v>
      </c>
      <c r="I214" s="50" t="str">
        <f t="shared" si="0"/>
        <v>Die Haghe C1 - Albatros C1</v>
      </c>
      <c r="J214" s="51">
        <v>0.41666666666666669</v>
      </c>
      <c r="K214" s="50" t="s">
        <v>244</v>
      </c>
      <c r="L214" s="50" t="s">
        <v>31</v>
      </c>
      <c r="M214" s="50"/>
      <c r="N214" s="50"/>
      <c r="O214" s="50"/>
    </row>
    <row r="215" spans="1:29" s="52" customFormat="1" ht="13.2">
      <c r="A215" s="49">
        <v>7395</v>
      </c>
      <c r="B215" s="50" t="s">
        <v>84</v>
      </c>
      <c r="C215" s="51"/>
      <c r="D215" s="50">
        <v>44863</v>
      </c>
      <c r="E215" s="50" t="str">
        <f t="shared" si="4"/>
        <v>Albatros B1</v>
      </c>
      <c r="F215" s="50" t="s">
        <v>86</v>
      </c>
      <c r="G215" s="50" t="s">
        <v>14</v>
      </c>
      <c r="H215" s="50" t="s">
        <v>85</v>
      </c>
      <c r="I215" s="50" t="str">
        <f t="shared" si="0"/>
        <v>Vriendenschaar (H) B1 - Albatros B1</v>
      </c>
      <c r="J215" s="51">
        <v>0.46875</v>
      </c>
      <c r="K215" s="50" t="s">
        <v>89</v>
      </c>
      <c r="L215" s="50" t="s">
        <v>31</v>
      </c>
      <c r="M215" s="50"/>
      <c r="N215" s="50"/>
      <c r="O215" s="50"/>
    </row>
    <row r="216" spans="1:29" s="52" customFormat="1" ht="13.2">
      <c r="A216" s="49">
        <v>4012</v>
      </c>
      <c r="B216" s="50" t="s">
        <v>122</v>
      </c>
      <c r="C216" s="51"/>
      <c r="D216" s="50">
        <v>44863</v>
      </c>
      <c r="E216" s="50" t="str">
        <f t="shared" si="4"/>
        <v>Albatros 3</v>
      </c>
      <c r="F216" s="50" t="s">
        <v>124</v>
      </c>
      <c r="G216" s="50" t="s">
        <v>14</v>
      </c>
      <c r="H216" s="50" t="s">
        <v>123</v>
      </c>
      <c r="I216" s="50" t="str">
        <f t="shared" si="0"/>
        <v>VEO 4 - Albatros 3</v>
      </c>
      <c r="J216" s="51">
        <v>0.52083333333333337</v>
      </c>
      <c r="K216" s="50" t="s">
        <v>278</v>
      </c>
      <c r="L216" s="50" t="s">
        <v>31</v>
      </c>
      <c r="M216" s="50"/>
      <c r="N216" s="50"/>
      <c r="O216" s="50"/>
    </row>
    <row r="217" spans="1:29" s="52" customFormat="1" ht="13.2">
      <c r="A217" s="49">
        <v>7042</v>
      </c>
      <c r="B217" s="50" t="s">
        <v>81</v>
      </c>
      <c r="C217" s="51"/>
      <c r="D217" s="50">
        <v>44863</v>
      </c>
      <c r="E217" s="50" t="str">
        <f t="shared" si="4"/>
        <v>Albatros A2</v>
      </c>
      <c r="F217" s="50" t="s">
        <v>83</v>
      </c>
      <c r="G217" s="50" t="s">
        <v>14</v>
      </c>
      <c r="H217" s="50" t="s">
        <v>82</v>
      </c>
      <c r="I217" s="50" t="str">
        <f t="shared" si="0"/>
        <v>TOP (A) A1 - Albatros A2</v>
      </c>
      <c r="J217" s="51">
        <v>0.52083333333333337</v>
      </c>
      <c r="K217" s="50" t="s">
        <v>143</v>
      </c>
      <c r="L217" s="50" t="s">
        <v>31</v>
      </c>
      <c r="M217" s="50"/>
      <c r="N217" s="50"/>
      <c r="O217" s="50"/>
    </row>
    <row r="218" spans="1:29" s="52" customFormat="1" ht="13.2">
      <c r="A218" s="49">
        <v>4439</v>
      </c>
      <c r="B218" s="50" t="s">
        <v>77</v>
      </c>
      <c r="C218" s="51"/>
      <c r="D218" s="50">
        <v>44863</v>
      </c>
      <c r="E218" s="50" t="str">
        <f t="shared" si="4"/>
        <v>Albatros 5</v>
      </c>
      <c r="F218" s="50" t="s">
        <v>79</v>
      </c>
      <c r="G218" s="50" t="s">
        <v>14</v>
      </c>
      <c r="H218" s="50" t="s">
        <v>78</v>
      </c>
      <c r="I218" s="50" t="str">
        <f t="shared" si="0"/>
        <v>Albatros 5 - RWA 4</v>
      </c>
      <c r="J218" s="51">
        <v>0.54166666666666663</v>
      </c>
      <c r="K218" s="50" t="s">
        <v>30</v>
      </c>
      <c r="L218" s="50" t="s">
        <v>31</v>
      </c>
      <c r="M218" s="50"/>
      <c r="N218" s="50" t="s">
        <v>289</v>
      </c>
      <c r="O218" s="50"/>
    </row>
    <row r="219" spans="1:29" s="52" customFormat="1" ht="13.2">
      <c r="A219" s="49">
        <v>7094</v>
      </c>
      <c r="B219" s="50" t="s">
        <v>90</v>
      </c>
      <c r="C219" s="51"/>
      <c r="D219" s="50">
        <v>44863</v>
      </c>
      <c r="E219" s="50" t="str">
        <f t="shared" si="4"/>
        <v>Albatros A1</v>
      </c>
      <c r="F219" s="50" t="s">
        <v>92</v>
      </c>
      <c r="G219" s="50" t="s">
        <v>14</v>
      </c>
      <c r="H219" s="50" t="s">
        <v>91</v>
      </c>
      <c r="I219" s="50" t="str">
        <f t="shared" si="0"/>
        <v>Nieuwerkerk A1 - Albatros A1</v>
      </c>
      <c r="J219" s="51">
        <v>0.54166666666666663</v>
      </c>
      <c r="K219" s="50" t="s">
        <v>134</v>
      </c>
      <c r="L219" s="50" t="s">
        <v>31</v>
      </c>
      <c r="M219" s="50"/>
      <c r="N219" s="50"/>
      <c r="O219" s="50"/>
    </row>
    <row r="220" spans="1:29" s="52" customFormat="1" ht="13.2">
      <c r="A220" s="49">
        <v>4955</v>
      </c>
      <c r="B220" s="50" t="s">
        <v>108</v>
      </c>
      <c r="C220" s="51"/>
      <c r="D220" s="50">
        <v>44863</v>
      </c>
      <c r="E220" s="50" t="str">
        <f t="shared" si="4"/>
        <v>Albatros 2</v>
      </c>
      <c r="F220" s="50" t="s">
        <v>110</v>
      </c>
      <c r="G220" s="50" t="s">
        <v>14</v>
      </c>
      <c r="H220" s="50" t="s">
        <v>109</v>
      </c>
      <c r="I220" s="50" t="str">
        <f t="shared" si="0"/>
        <v>Kinderdijk 2 - Albatros 2</v>
      </c>
      <c r="J220" s="51">
        <v>0.58333333333333337</v>
      </c>
      <c r="K220" s="50" t="s">
        <v>253</v>
      </c>
      <c r="L220" s="50" t="s">
        <v>165</v>
      </c>
      <c r="M220" s="50"/>
      <c r="N220" s="50"/>
      <c r="O220" s="50"/>
    </row>
    <row r="221" spans="1:29" s="52" customFormat="1" ht="13.2">
      <c r="A221" s="49">
        <v>4434</v>
      </c>
      <c r="B221" s="50" t="s">
        <v>77</v>
      </c>
      <c r="C221" s="51"/>
      <c r="D221" s="50">
        <v>44863</v>
      </c>
      <c r="E221" s="50" t="str">
        <f t="shared" si="4"/>
        <v>Albatros 4</v>
      </c>
      <c r="F221" s="50" t="s">
        <v>88</v>
      </c>
      <c r="G221" s="50" t="s">
        <v>14</v>
      </c>
      <c r="H221" s="50" t="s">
        <v>87</v>
      </c>
      <c r="I221" s="50" t="str">
        <f t="shared" si="0"/>
        <v>Albatros 4 - Vriendenschaar (H) 3</v>
      </c>
      <c r="J221" s="51">
        <v>0.61458333333333337</v>
      </c>
      <c r="K221" s="50" t="s">
        <v>30</v>
      </c>
      <c r="L221" s="50" t="s">
        <v>31</v>
      </c>
      <c r="M221" s="50"/>
      <c r="N221" s="50" t="s">
        <v>289</v>
      </c>
      <c r="O221" s="50"/>
    </row>
    <row r="222" spans="1:29" s="52" customFormat="1" ht="13.2">
      <c r="A222" s="49">
        <v>1719</v>
      </c>
      <c r="B222" s="50" t="s">
        <v>117</v>
      </c>
      <c r="C222" s="51"/>
      <c r="D222" s="50">
        <v>44863</v>
      </c>
      <c r="E222" s="50" t="str">
        <f t="shared" si="4"/>
        <v>Albatros 1</v>
      </c>
      <c r="F222" s="50" t="s">
        <v>119</v>
      </c>
      <c r="G222" s="50" t="s">
        <v>14</v>
      </c>
      <c r="H222" s="50" t="s">
        <v>118</v>
      </c>
      <c r="I222" s="50" t="str">
        <f t="shared" si="0"/>
        <v>Kinderdijk 1 - Albatros 1</v>
      </c>
      <c r="J222" s="51">
        <v>0.64583333333333337</v>
      </c>
      <c r="K222" s="50" t="s">
        <v>253</v>
      </c>
      <c r="L222" s="50" t="s">
        <v>165</v>
      </c>
      <c r="M222" s="50"/>
      <c r="N222" s="50"/>
      <c r="O222" s="50"/>
    </row>
    <row r="223" spans="1:29" ht="14.4">
      <c r="A223" s="26"/>
      <c r="B223" s="22"/>
      <c r="C223" s="23"/>
      <c r="D223" s="27"/>
      <c r="E223" s="27"/>
      <c r="F223" s="22"/>
      <c r="G223" s="28"/>
      <c r="H223" s="22"/>
      <c r="I223" s="22"/>
      <c r="J223" s="29"/>
      <c r="K223" s="20"/>
      <c r="L223" s="22"/>
      <c r="M223" s="20"/>
      <c r="N223" s="20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</row>
    <row r="224" spans="1:29" ht="14.4">
      <c r="A224" s="26"/>
      <c r="B224" s="22"/>
      <c r="C224" s="23"/>
      <c r="D224" s="27"/>
      <c r="E224" s="27"/>
      <c r="F224" s="22"/>
      <c r="G224" s="28"/>
      <c r="H224" s="22"/>
      <c r="I224" s="22"/>
      <c r="J224" s="29"/>
      <c r="K224" s="20"/>
      <c r="L224" s="22"/>
      <c r="M224" s="20"/>
      <c r="N224" s="20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</row>
    <row r="225" spans="1:29" ht="14.4">
      <c r="A225" s="26"/>
      <c r="B225" s="22"/>
      <c r="C225" s="23"/>
      <c r="D225" s="27"/>
      <c r="E225" s="27"/>
      <c r="F225" s="22"/>
      <c r="G225" s="28"/>
      <c r="H225" s="22"/>
      <c r="I225" s="22"/>
      <c r="J225" s="29"/>
      <c r="K225" s="22"/>
      <c r="L225" s="22"/>
      <c r="M225" s="22"/>
      <c r="N225" s="22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</row>
    <row r="226" spans="1:29" ht="14.4">
      <c r="A226" s="26"/>
      <c r="B226" s="22"/>
      <c r="C226" s="23"/>
      <c r="D226" s="27"/>
      <c r="E226" s="27"/>
      <c r="F226" s="22"/>
      <c r="G226" s="28"/>
      <c r="H226" s="22"/>
      <c r="I226" s="22"/>
      <c r="J226" s="29"/>
      <c r="K226" s="22"/>
      <c r="L226" s="22"/>
      <c r="M226" s="22"/>
      <c r="N226" s="22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</row>
    <row r="227" spans="1:29" ht="14.4">
      <c r="A227" s="26"/>
      <c r="B227" s="22"/>
      <c r="C227" s="23"/>
      <c r="D227" s="27"/>
      <c r="E227" s="27"/>
      <c r="F227" s="22"/>
      <c r="G227" s="28"/>
      <c r="H227" s="22"/>
      <c r="I227" s="22"/>
      <c r="J227" s="29"/>
      <c r="K227" s="20"/>
      <c r="L227" s="22"/>
      <c r="M227" s="20"/>
      <c r="N227" s="20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</row>
    <row r="228" spans="1:29" ht="14.4">
      <c r="A228" s="26"/>
      <c r="B228" s="22"/>
      <c r="C228" s="23"/>
      <c r="D228" s="27"/>
      <c r="E228" s="27"/>
      <c r="F228" s="22"/>
      <c r="G228" s="28"/>
      <c r="H228" s="22"/>
      <c r="I228" s="22"/>
      <c r="J228" s="29"/>
      <c r="K228" s="20"/>
      <c r="L228" s="22"/>
      <c r="M228" s="20"/>
      <c r="N228" s="20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</row>
    <row r="229" spans="1:29" ht="14.4">
      <c r="A229" s="26"/>
      <c r="B229" s="22"/>
      <c r="C229" s="23"/>
      <c r="D229" s="27"/>
      <c r="E229" s="27"/>
      <c r="F229" s="22"/>
      <c r="G229" s="28"/>
      <c r="H229" s="22"/>
      <c r="I229" s="22"/>
      <c r="J229" s="29"/>
      <c r="K229" s="20"/>
      <c r="L229" s="22"/>
      <c r="M229" s="20"/>
      <c r="N229" s="20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</row>
    <row r="230" spans="1:29" ht="14.4">
      <c r="A230" s="26"/>
      <c r="B230" s="22"/>
      <c r="C230" s="23"/>
      <c r="D230" s="27"/>
      <c r="E230" s="27"/>
      <c r="F230" s="22"/>
      <c r="G230" s="28"/>
      <c r="H230" s="22"/>
      <c r="I230" s="22"/>
      <c r="J230" s="29"/>
      <c r="K230" s="22"/>
      <c r="L230" s="22"/>
      <c r="M230" s="22"/>
      <c r="N230" s="22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</row>
    <row r="231" spans="1:29" ht="14.4">
      <c r="A231" s="26"/>
      <c r="B231" s="22"/>
      <c r="C231" s="23"/>
      <c r="D231" s="27"/>
      <c r="E231" s="27"/>
      <c r="F231" s="22"/>
      <c r="G231" s="28"/>
      <c r="H231" s="22"/>
      <c r="I231" s="22"/>
      <c r="J231" s="29"/>
      <c r="K231" s="20"/>
      <c r="L231" s="22"/>
      <c r="M231" s="20"/>
      <c r="N231" s="20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</row>
    <row r="232" spans="1:29" ht="14.4">
      <c r="A232" s="26"/>
      <c r="B232" s="22"/>
      <c r="C232" s="23"/>
      <c r="D232" s="27"/>
      <c r="E232" s="27"/>
      <c r="F232" s="22"/>
      <c r="G232" s="28"/>
      <c r="H232" s="22"/>
      <c r="I232" s="22"/>
      <c r="J232" s="29"/>
      <c r="K232" s="20"/>
      <c r="L232" s="22"/>
      <c r="M232" s="20"/>
      <c r="N232" s="20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</row>
    <row r="233" spans="1:29" ht="14.4">
      <c r="A233" s="26"/>
      <c r="B233" s="22"/>
      <c r="C233" s="23"/>
      <c r="D233" s="27"/>
      <c r="E233" s="27"/>
      <c r="F233" s="22"/>
      <c r="G233" s="28"/>
      <c r="H233" s="22"/>
      <c r="I233" s="22"/>
      <c r="J233" s="29"/>
      <c r="K233" s="22"/>
      <c r="L233" s="22"/>
      <c r="M233" s="22"/>
      <c r="N233" s="22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</row>
    <row r="234" spans="1:29" ht="14.4">
      <c r="A234" s="26"/>
      <c r="B234" s="22"/>
      <c r="C234" s="23"/>
      <c r="D234" s="27"/>
      <c r="E234" s="27"/>
      <c r="F234" s="22"/>
      <c r="G234" s="28"/>
      <c r="H234" s="22"/>
      <c r="I234" s="22"/>
      <c r="J234" s="29"/>
      <c r="K234" s="20"/>
      <c r="L234" s="22"/>
      <c r="M234" s="20"/>
      <c r="N234" s="20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</row>
    <row r="235" spans="1:29" ht="14.4">
      <c r="A235" s="26"/>
      <c r="B235" s="22"/>
      <c r="C235" s="23"/>
      <c r="D235" s="27"/>
      <c r="E235" s="27"/>
      <c r="F235" s="22"/>
      <c r="G235" s="28"/>
      <c r="H235" s="22"/>
      <c r="I235" s="22"/>
      <c r="J235" s="29"/>
      <c r="K235" s="20"/>
      <c r="L235" s="22"/>
      <c r="M235" s="20"/>
      <c r="N235" s="20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</row>
    <row r="236" spans="1:29" ht="14.4">
      <c r="A236" s="26"/>
      <c r="B236" s="22"/>
      <c r="C236" s="23"/>
      <c r="D236" s="27"/>
      <c r="E236" s="27"/>
      <c r="F236" s="22"/>
      <c r="G236" s="28"/>
      <c r="H236" s="22"/>
      <c r="I236" s="22"/>
      <c r="J236" s="29"/>
      <c r="K236" s="22"/>
      <c r="L236" s="22"/>
      <c r="M236" s="22"/>
      <c r="N236" s="22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</row>
    <row r="237" spans="1:29" ht="14.4">
      <c r="A237" s="26"/>
      <c r="B237" s="22"/>
      <c r="C237" s="23"/>
      <c r="D237" s="27"/>
      <c r="E237" s="27"/>
      <c r="F237" s="22"/>
      <c r="G237" s="28"/>
      <c r="H237" s="22"/>
      <c r="I237" s="22"/>
      <c r="J237" s="29"/>
      <c r="K237" s="20"/>
      <c r="L237" s="22"/>
      <c r="M237" s="20"/>
      <c r="N237" s="20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</row>
    <row r="238" spans="1:29" ht="14.4">
      <c r="A238" s="26"/>
      <c r="B238" s="22"/>
      <c r="C238" s="23"/>
      <c r="D238" s="27"/>
      <c r="E238" s="27"/>
      <c r="F238" s="22"/>
      <c r="G238" s="28"/>
      <c r="H238" s="22"/>
      <c r="I238" s="22"/>
      <c r="J238" s="29"/>
      <c r="K238" s="20"/>
      <c r="L238" s="22"/>
      <c r="M238" s="20"/>
      <c r="N238" s="20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</row>
    <row r="239" spans="1:29" ht="14.4">
      <c r="A239" s="26"/>
      <c r="B239" s="22"/>
      <c r="C239" s="23"/>
      <c r="D239" s="27"/>
      <c r="E239" s="27"/>
      <c r="F239" s="22"/>
      <c r="G239" s="28"/>
      <c r="H239" s="22"/>
      <c r="I239" s="22"/>
      <c r="J239" s="29"/>
      <c r="K239" s="20"/>
      <c r="L239" s="22"/>
      <c r="M239" s="20"/>
      <c r="N239" s="20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</row>
    <row r="240" spans="1:29" ht="14.4">
      <c r="A240" s="26"/>
      <c r="B240" s="22"/>
      <c r="C240" s="23"/>
      <c r="D240" s="27"/>
      <c r="E240" s="27"/>
      <c r="F240" s="22"/>
      <c r="G240" s="28"/>
      <c r="H240" s="22"/>
      <c r="I240" s="22"/>
      <c r="J240" s="29"/>
      <c r="K240" s="20"/>
      <c r="L240" s="22"/>
      <c r="M240" s="20"/>
      <c r="N240" s="20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</row>
    <row r="241" spans="1:29" ht="14.4">
      <c r="A241" s="26"/>
      <c r="B241" s="22"/>
      <c r="C241" s="23"/>
      <c r="D241" s="27"/>
      <c r="E241" s="27"/>
      <c r="F241" s="22"/>
      <c r="G241" s="28"/>
      <c r="H241" s="22"/>
      <c r="I241" s="22"/>
      <c r="J241" s="29"/>
      <c r="K241" s="20"/>
      <c r="L241" s="22"/>
      <c r="M241" s="20"/>
      <c r="N241" s="20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</row>
    <row r="242" spans="1:29" ht="14.4">
      <c r="A242" s="26"/>
      <c r="B242" s="22"/>
      <c r="C242" s="23"/>
      <c r="D242" s="27"/>
      <c r="E242" s="27"/>
      <c r="F242" s="22"/>
      <c r="G242" s="28"/>
      <c r="H242" s="22"/>
      <c r="I242" s="22"/>
      <c r="J242" s="29"/>
      <c r="K242" s="22"/>
      <c r="L242" s="22"/>
      <c r="M242" s="22"/>
      <c r="N242" s="22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</row>
    <row r="243" spans="1:29" ht="14.4">
      <c r="A243" s="26"/>
      <c r="B243" s="22"/>
      <c r="C243" s="23"/>
      <c r="D243" s="27"/>
      <c r="E243" s="27"/>
      <c r="F243" s="22"/>
      <c r="G243" s="28"/>
      <c r="H243" s="22"/>
      <c r="I243" s="22"/>
      <c r="J243" s="29"/>
      <c r="K243" s="22"/>
      <c r="L243" s="22"/>
      <c r="M243" s="22"/>
      <c r="N243" s="22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</row>
    <row r="244" spans="1:29" ht="14.4">
      <c r="A244" s="26"/>
      <c r="B244" s="22"/>
      <c r="C244" s="23"/>
      <c r="D244" s="27"/>
      <c r="E244" s="27"/>
      <c r="F244" s="22"/>
      <c r="G244" s="28"/>
      <c r="H244" s="22"/>
      <c r="I244" s="22"/>
      <c r="J244" s="29"/>
      <c r="K244" s="22"/>
      <c r="L244" s="22"/>
      <c r="M244" s="22"/>
      <c r="N244" s="22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</row>
    <row r="245" spans="1:29" ht="14.4">
      <c r="A245" s="26"/>
      <c r="B245" s="22"/>
      <c r="C245" s="23"/>
      <c r="D245" s="27"/>
      <c r="E245" s="27"/>
      <c r="F245" s="22"/>
      <c r="G245" s="28"/>
      <c r="H245" s="22"/>
      <c r="I245" s="22"/>
      <c r="J245" s="29"/>
      <c r="K245" s="22"/>
      <c r="L245" s="22"/>
      <c r="M245" s="22"/>
      <c r="N245" s="22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</row>
    <row r="246" spans="1:29" ht="14.4">
      <c r="A246" s="26"/>
      <c r="B246" s="22"/>
      <c r="C246" s="23"/>
      <c r="D246" s="27"/>
      <c r="E246" s="27"/>
      <c r="F246" s="22"/>
      <c r="G246" s="28"/>
      <c r="H246" s="22"/>
      <c r="I246" s="22"/>
      <c r="J246" s="29"/>
      <c r="K246" s="20"/>
      <c r="L246" s="22"/>
      <c r="M246" s="20"/>
      <c r="N246" s="20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</row>
    <row r="247" spans="1:29" ht="14.4">
      <c r="A247" s="26"/>
      <c r="B247" s="22"/>
      <c r="C247" s="23"/>
      <c r="D247" s="27"/>
      <c r="E247" s="27"/>
      <c r="F247" s="22"/>
      <c r="G247" s="28"/>
      <c r="H247" s="22"/>
      <c r="I247" s="22"/>
      <c r="J247" s="29"/>
      <c r="K247" s="20"/>
      <c r="L247" s="22"/>
      <c r="M247" s="20"/>
      <c r="N247" s="20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</row>
    <row r="248" spans="1:29" ht="14.4">
      <c r="A248" s="26"/>
      <c r="B248" s="22"/>
      <c r="C248" s="23"/>
      <c r="D248" s="27"/>
      <c r="E248" s="27"/>
      <c r="F248" s="22"/>
      <c r="G248" s="28"/>
      <c r="H248" s="22"/>
      <c r="I248" s="22"/>
      <c r="J248" s="29"/>
      <c r="K248" s="20"/>
      <c r="L248" s="22"/>
      <c r="M248" s="20"/>
      <c r="N248" s="20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</row>
    <row r="249" spans="1:29" ht="14.4">
      <c r="A249" s="26"/>
      <c r="B249" s="22"/>
      <c r="C249" s="23"/>
      <c r="D249" s="27"/>
      <c r="E249" s="27"/>
      <c r="F249" s="22"/>
      <c r="G249" s="28"/>
      <c r="H249" s="22"/>
      <c r="I249" s="22"/>
      <c r="J249" s="29"/>
      <c r="K249" s="22"/>
      <c r="L249" s="22"/>
      <c r="M249" s="22"/>
      <c r="N249" s="22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</row>
    <row r="250" spans="1:29" ht="14.4">
      <c r="A250" s="26"/>
      <c r="B250" s="22"/>
      <c r="C250" s="23"/>
      <c r="D250" s="27"/>
      <c r="E250" s="27"/>
      <c r="F250" s="22"/>
      <c r="G250" s="28"/>
      <c r="H250" s="22"/>
      <c r="I250" s="22"/>
      <c r="J250" s="29"/>
      <c r="K250" s="22"/>
      <c r="L250" s="22"/>
      <c r="M250" s="22"/>
      <c r="N250" s="22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</row>
    <row r="251" spans="1:29" ht="14.4">
      <c r="A251" s="26"/>
      <c r="B251" s="22"/>
      <c r="C251" s="23"/>
      <c r="D251" s="27"/>
      <c r="E251" s="27"/>
      <c r="F251" s="22"/>
      <c r="G251" s="28"/>
      <c r="H251" s="22"/>
      <c r="I251" s="22"/>
      <c r="J251" s="29"/>
      <c r="K251" s="22"/>
      <c r="L251" s="22"/>
      <c r="M251" s="22"/>
      <c r="N251" s="22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</row>
    <row r="252" spans="1:29" ht="14.4">
      <c r="A252" s="26"/>
      <c r="B252" s="22"/>
      <c r="C252" s="23"/>
      <c r="D252" s="27"/>
      <c r="E252" s="27"/>
      <c r="F252" s="22"/>
      <c r="G252" s="28"/>
      <c r="H252" s="22"/>
      <c r="I252" s="22"/>
      <c r="J252" s="29"/>
      <c r="K252" s="22"/>
      <c r="L252" s="22"/>
      <c r="M252" s="22"/>
      <c r="N252" s="22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</row>
    <row r="253" spans="1:29" ht="14.4">
      <c r="A253" s="26"/>
      <c r="B253" s="22"/>
      <c r="C253" s="23"/>
      <c r="D253" s="27"/>
      <c r="E253" s="27"/>
      <c r="F253" s="22"/>
      <c r="G253" s="28"/>
      <c r="H253" s="22"/>
      <c r="I253" s="22"/>
      <c r="J253" s="29"/>
      <c r="K253" s="22"/>
      <c r="L253" s="22"/>
      <c r="M253" s="22"/>
      <c r="N253" s="22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</row>
    <row r="254" spans="1:29" ht="14.4">
      <c r="A254" s="26"/>
      <c r="B254" s="22"/>
      <c r="C254" s="23"/>
      <c r="D254" s="27"/>
      <c r="E254" s="27"/>
      <c r="F254" s="22"/>
      <c r="G254" s="28"/>
      <c r="H254" s="22"/>
      <c r="I254" s="22"/>
      <c r="J254" s="29"/>
      <c r="K254" s="20"/>
      <c r="L254" s="30"/>
      <c r="M254" s="20"/>
      <c r="N254" s="20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</row>
    <row r="255" spans="1:29" ht="14.4">
      <c r="A255" s="26"/>
      <c r="B255" s="22"/>
      <c r="C255" s="23"/>
      <c r="D255" s="27"/>
      <c r="E255" s="27"/>
      <c r="F255" s="22"/>
      <c r="G255" s="28"/>
      <c r="H255" s="22"/>
      <c r="I255" s="22"/>
      <c r="J255" s="29"/>
      <c r="K255" s="20"/>
      <c r="L255" s="22"/>
      <c r="M255" s="20"/>
      <c r="N255" s="20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</row>
    <row r="256" spans="1:29" ht="14.4">
      <c r="A256" s="26"/>
      <c r="B256" s="22"/>
      <c r="C256" s="23"/>
      <c r="D256" s="27"/>
      <c r="E256" s="27"/>
      <c r="F256" s="22"/>
      <c r="G256" s="28"/>
      <c r="H256" s="22"/>
      <c r="I256" s="22"/>
      <c r="J256" s="29"/>
      <c r="K256" s="20"/>
      <c r="L256" s="31"/>
      <c r="M256" s="20"/>
      <c r="N256" s="20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</row>
    <row r="257" spans="1:29" ht="14.4">
      <c r="A257" s="26"/>
      <c r="B257" s="22"/>
      <c r="C257" s="23"/>
      <c r="D257" s="27"/>
      <c r="E257" s="27"/>
      <c r="F257" s="22"/>
      <c r="G257" s="28"/>
      <c r="H257" s="22"/>
      <c r="I257" s="22"/>
      <c r="J257" s="29"/>
      <c r="K257" s="20"/>
      <c r="L257" s="22"/>
      <c r="M257" s="20"/>
      <c r="N257" s="20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</row>
    <row r="258" spans="1:29" ht="14.4">
      <c r="A258" s="26"/>
      <c r="B258" s="22"/>
      <c r="C258" s="23"/>
      <c r="D258" s="27"/>
      <c r="E258" s="27"/>
      <c r="F258" s="22"/>
      <c r="G258" s="28"/>
      <c r="H258" s="22"/>
      <c r="I258" s="22"/>
      <c r="J258" s="29"/>
      <c r="K258" s="20"/>
      <c r="L258" s="22"/>
      <c r="M258" s="20"/>
      <c r="N258" s="20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</row>
    <row r="259" spans="1:29" ht="14.4">
      <c r="A259" s="26"/>
      <c r="B259" s="22"/>
      <c r="C259" s="23"/>
      <c r="D259" s="27"/>
      <c r="E259" s="27"/>
      <c r="F259" s="22"/>
      <c r="G259" s="28"/>
      <c r="H259" s="22"/>
      <c r="I259" s="22"/>
      <c r="J259" s="29"/>
      <c r="K259" s="22"/>
      <c r="L259" s="22"/>
      <c r="M259" s="22"/>
      <c r="N259" s="22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</row>
    <row r="260" spans="1:29" ht="14.4">
      <c r="A260" s="26"/>
      <c r="B260" s="22"/>
      <c r="C260" s="23"/>
      <c r="D260" s="27"/>
      <c r="E260" s="27"/>
      <c r="F260" s="22"/>
      <c r="G260" s="28"/>
      <c r="H260" s="22"/>
      <c r="I260" s="22"/>
      <c r="J260" s="29"/>
      <c r="K260" s="20"/>
      <c r="L260" s="22"/>
      <c r="M260" s="20"/>
      <c r="N260" s="20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</row>
    <row r="261" spans="1:29" ht="14.4">
      <c r="A261" s="26"/>
      <c r="B261" s="22"/>
      <c r="C261" s="23"/>
      <c r="D261" s="27"/>
      <c r="E261" s="27"/>
      <c r="F261" s="22"/>
      <c r="G261" s="28"/>
      <c r="H261" s="22"/>
      <c r="I261" s="22"/>
      <c r="J261" s="29"/>
      <c r="K261" s="20"/>
      <c r="L261" s="22"/>
      <c r="M261" s="20"/>
      <c r="N261" s="20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</row>
    <row r="262" spans="1:29" ht="14.4">
      <c r="A262" s="26"/>
      <c r="B262" s="22"/>
      <c r="C262" s="23"/>
      <c r="D262" s="27"/>
      <c r="E262" s="27"/>
      <c r="F262" s="22"/>
      <c r="G262" s="28"/>
      <c r="H262" s="22"/>
      <c r="I262" s="22"/>
      <c r="J262" s="29"/>
      <c r="K262" s="22"/>
      <c r="L262" s="22"/>
      <c r="M262" s="22"/>
      <c r="N262" s="22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</row>
    <row r="263" spans="1:29" ht="14.4">
      <c r="A263" s="26"/>
      <c r="B263" s="22"/>
      <c r="C263" s="23"/>
      <c r="D263" s="27"/>
      <c r="E263" s="27"/>
      <c r="F263" s="22"/>
      <c r="G263" s="28"/>
      <c r="H263" s="22"/>
      <c r="I263" s="22"/>
      <c r="J263" s="29"/>
      <c r="K263" s="20"/>
      <c r="L263" s="22"/>
      <c r="M263" s="20"/>
      <c r="N263" s="20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</row>
    <row r="264" spans="1:29" ht="14.4">
      <c r="A264" s="26"/>
      <c r="B264" s="22"/>
      <c r="C264" s="23"/>
      <c r="D264" s="27"/>
      <c r="E264" s="27"/>
      <c r="F264" s="22"/>
      <c r="G264" s="28"/>
      <c r="H264" s="22"/>
      <c r="I264" s="22"/>
      <c r="J264" s="29"/>
      <c r="K264" s="22"/>
      <c r="L264" s="22"/>
      <c r="M264" s="22"/>
      <c r="N264" s="22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</row>
    <row r="265" spans="1:29" ht="14.4">
      <c r="A265" s="26"/>
      <c r="B265" s="22"/>
      <c r="C265" s="23"/>
      <c r="D265" s="27"/>
      <c r="E265" s="27"/>
      <c r="F265" s="22"/>
      <c r="G265" s="28"/>
      <c r="H265" s="22"/>
      <c r="I265" s="22"/>
      <c r="J265" s="29"/>
      <c r="K265" s="22"/>
      <c r="L265" s="22"/>
      <c r="M265" s="22"/>
      <c r="N265" s="22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</row>
    <row r="266" spans="1:29" ht="14.4">
      <c r="A266" s="26"/>
      <c r="B266" s="22"/>
      <c r="C266" s="23"/>
      <c r="D266" s="27"/>
      <c r="E266" s="27"/>
      <c r="F266" s="22"/>
      <c r="G266" s="28"/>
      <c r="H266" s="22"/>
      <c r="I266" s="22"/>
      <c r="J266" s="29"/>
      <c r="K266" s="22"/>
      <c r="L266" s="22"/>
      <c r="M266" s="22"/>
      <c r="N266" s="22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</row>
    <row r="267" spans="1:29" ht="14.4">
      <c r="A267" s="26"/>
      <c r="B267" s="22"/>
      <c r="C267" s="23"/>
      <c r="D267" s="27"/>
      <c r="E267" s="27"/>
      <c r="F267" s="22"/>
      <c r="G267" s="28"/>
      <c r="H267" s="22"/>
      <c r="I267" s="22"/>
      <c r="J267" s="29"/>
      <c r="K267" s="22"/>
      <c r="L267" s="22"/>
      <c r="M267" s="22"/>
      <c r="N267" s="22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</row>
    <row r="268" spans="1:29" ht="14.4">
      <c r="A268" s="26"/>
      <c r="B268" s="22"/>
      <c r="C268" s="23"/>
      <c r="D268" s="27"/>
      <c r="E268" s="27"/>
      <c r="F268" s="22"/>
      <c r="G268" s="28"/>
      <c r="H268" s="22"/>
      <c r="I268" s="22"/>
      <c r="J268" s="29"/>
      <c r="K268" s="20"/>
      <c r="L268" s="22"/>
      <c r="M268" s="20"/>
      <c r="N268" s="20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</row>
    <row r="269" spans="1:29" ht="14.4">
      <c r="A269" s="26"/>
      <c r="B269" s="22"/>
      <c r="C269" s="23"/>
      <c r="D269" s="27"/>
      <c r="E269" s="27"/>
      <c r="F269" s="22"/>
      <c r="G269" s="28"/>
      <c r="H269" s="22"/>
      <c r="I269" s="22"/>
      <c r="J269" s="29"/>
      <c r="K269" s="22"/>
      <c r="L269" s="22"/>
      <c r="M269" s="22"/>
      <c r="N269" s="22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</row>
    <row r="270" spans="1:29" ht="14.4">
      <c r="A270" s="26"/>
      <c r="B270" s="22"/>
      <c r="C270" s="23"/>
      <c r="D270" s="27"/>
      <c r="E270" s="27"/>
      <c r="F270" s="22"/>
      <c r="G270" s="28"/>
      <c r="H270" s="22"/>
      <c r="I270" s="22"/>
      <c r="J270" s="29"/>
      <c r="K270" s="22"/>
      <c r="L270" s="22"/>
      <c r="M270" s="22"/>
      <c r="N270" s="22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</row>
    <row r="271" spans="1:29" ht="14.4">
      <c r="A271" s="26"/>
      <c r="B271" s="22"/>
      <c r="C271" s="23"/>
      <c r="D271" s="27"/>
      <c r="E271" s="27"/>
      <c r="F271" s="22"/>
      <c r="G271" s="28"/>
      <c r="H271" s="22"/>
      <c r="I271" s="22"/>
      <c r="J271" s="29"/>
      <c r="K271" s="20"/>
      <c r="L271" s="22"/>
      <c r="M271" s="20"/>
      <c r="N271" s="20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</row>
    <row r="272" spans="1:29" ht="14.4">
      <c r="A272" s="21"/>
      <c r="B272" s="22"/>
      <c r="C272" s="23"/>
      <c r="D272" s="24"/>
      <c r="E272" s="27"/>
      <c r="F272" s="20"/>
      <c r="G272" s="28"/>
      <c r="H272" s="20"/>
      <c r="I272" s="22" t="str">
        <f t="shared" ref="I272:I281" si="5">CONCATENATE(F272," - ",H272)</f>
        <v xml:space="preserve"> - </v>
      </c>
      <c r="J272" s="25"/>
      <c r="K272" s="20"/>
      <c r="L272" s="20"/>
      <c r="M272" s="20"/>
      <c r="N272" s="20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</row>
    <row r="273" spans="1:29" ht="14.4">
      <c r="A273" s="21"/>
      <c r="B273" s="22"/>
      <c r="C273" s="23"/>
      <c r="D273" s="24"/>
      <c r="E273" s="27"/>
      <c r="F273" s="20"/>
      <c r="G273" s="28"/>
      <c r="H273" s="20"/>
      <c r="I273" s="22" t="str">
        <f t="shared" si="5"/>
        <v xml:space="preserve"> - </v>
      </c>
      <c r="J273" s="25"/>
      <c r="K273" s="20"/>
      <c r="L273" s="20"/>
      <c r="M273" s="20"/>
      <c r="N273" s="20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</row>
    <row r="274" spans="1:29" ht="14.4">
      <c r="A274" s="21"/>
      <c r="B274" s="22"/>
      <c r="C274" s="23"/>
      <c r="D274" s="24"/>
      <c r="E274" s="27"/>
      <c r="F274" s="20"/>
      <c r="G274" s="28"/>
      <c r="H274" s="20"/>
      <c r="I274" s="22" t="str">
        <f t="shared" si="5"/>
        <v xml:space="preserve"> - </v>
      </c>
      <c r="J274" s="25"/>
      <c r="K274" s="20"/>
      <c r="L274" s="20"/>
      <c r="M274" s="20"/>
      <c r="N274" s="20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</row>
    <row r="275" spans="1:29" ht="14.4">
      <c r="A275" s="21"/>
      <c r="B275" s="22"/>
      <c r="C275" s="23"/>
      <c r="D275" s="24"/>
      <c r="E275" s="27"/>
      <c r="F275" s="20"/>
      <c r="G275" s="28"/>
      <c r="H275" s="20"/>
      <c r="I275" s="22" t="str">
        <f t="shared" si="5"/>
        <v xml:space="preserve"> - </v>
      </c>
      <c r="J275" s="25"/>
      <c r="K275" s="20"/>
      <c r="L275" s="20"/>
      <c r="M275" s="20"/>
      <c r="N275" s="20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</row>
    <row r="276" spans="1:29" ht="14.4">
      <c r="A276" s="21"/>
      <c r="B276" s="22"/>
      <c r="C276" s="23"/>
      <c r="D276" s="24"/>
      <c r="E276" s="27"/>
      <c r="F276" s="20"/>
      <c r="G276" s="28"/>
      <c r="H276" s="20"/>
      <c r="I276" s="22" t="str">
        <f t="shared" si="5"/>
        <v xml:space="preserve"> - </v>
      </c>
      <c r="J276" s="25"/>
      <c r="K276" s="20"/>
      <c r="L276" s="20"/>
      <c r="M276" s="20"/>
      <c r="N276" s="20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</row>
    <row r="277" spans="1:29" ht="14.4">
      <c r="A277" s="21"/>
      <c r="B277" s="22"/>
      <c r="C277" s="23"/>
      <c r="D277" s="24"/>
      <c r="E277" s="27"/>
      <c r="F277" s="20"/>
      <c r="G277" s="28"/>
      <c r="H277" s="20"/>
      <c r="I277" s="22" t="str">
        <f t="shared" si="5"/>
        <v xml:space="preserve"> - </v>
      </c>
      <c r="J277" s="25"/>
      <c r="K277" s="20"/>
      <c r="L277" s="20"/>
      <c r="M277" s="20"/>
      <c r="N277" s="20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</row>
    <row r="278" spans="1:29" ht="14.4">
      <c r="A278" s="21"/>
      <c r="B278" s="22"/>
      <c r="C278" s="23"/>
      <c r="D278" s="24"/>
      <c r="E278" s="27"/>
      <c r="F278" s="20"/>
      <c r="G278" s="28"/>
      <c r="H278" s="20"/>
      <c r="I278" s="22" t="str">
        <f t="shared" si="5"/>
        <v xml:space="preserve"> - </v>
      </c>
      <c r="J278" s="25"/>
      <c r="K278" s="20"/>
      <c r="L278" s="20"/>
      <c r="M278" s="20"/>
      <c r="N278" s="20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</row>
    <row r="279" spans="1:29" ht="14.4">
      <c r="A279" s="21"/>
      <c r="B279" s="22"/>
      <c r="C279" s="23"/>
      <c r="D279" s="24"/>
      <c r="E279" s="27"/>
      <c r="F279" s="20"/>
      <c r="G279" s="28"/>
      <c r="H279" s="20"/>
      <c r="I279" s="22" t="str">
        <f t="shared" si="5"/>
        <v xml:space="preserve"> - </v>
      </c>
      <c r="J279" s="25"/>
      <c r="K279" s="20"/>
      <c r="L279" s="20"/>
      <c r="M279" s="20"/>
      <c r="N279" s="20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</row>
    <row r="280" spans="1:29" ht="14.4">
      <c r="A280" s="21"/>
      <c r="B280" s="22"/>
      <c r="C280" s="23"/>
      <c r="D280" s="24"/>
      <c r="E280" s="27"/>
      <c r="F280" s="20"/>
      <c r="G280" s="28"/>
      <c r="H280" s="20"/>
      <c r="I280" s="22" t="str">
        <f t="shared" si="5"/>
        <v xml:space="preserve"> - </v>
      </c>
      <c r="J280" s="25"/>
      <c r="K280" s="20"/>
      <c r="L280" s="20"/>
      <c r="M280" s="20"/>
      <c r="N280" s="20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</row>
    <row r="281" spans="1:29" ht="14.4">
      <c r="A281" s="21"/>
      <c r="B281" s="22"/>
      <c r="C281" s="23"/>
      <c r="D281" s="24"/>
      <c r="E281" s="27"/>
      <c r="F281" s="20"/>
      <c r="G281" s="28"/>
      <c r="H281" s="20"/>
      <c r="I281" s="22" t="str">
        <f t="shared" si="5"/>
        <v xml:space="preserve"> - </v>
      </c>
      <c r="J281" s="25"/>
      <c r="K281" s="20"/>
      <c r="L281" s="20"/>
      <c r="M281" s="20"/>
      <c r="N281" s="20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</row>
  </sheetData>
  <autoFilter ref="A1:N222" xr:uid="{00000000-0009-0000-0000-000005000000}"/>
  <customSheetViews>
    <customSheetView guid="{699370C3-7B05-45EC-A01E-9EDE34BE234E}" filter="1" showAutoFilter="1">
      <pageMargins left="0.7" right="0.7" top="0.75" bottom="0.75" header="0.3" footer="0.3"/>
      <autoFilter ref="A1:E273" xr:uid="{8B056D9A-8DB8-4306-9399-3151428DE9F6}"/>
    </customSheetView>
  </customSheetViews>
  <conditionalFormatting sqref="A2:D2 F2:XFD2 E61:E222">
    <cfRule type="expression" dxfId="6" priority="8">
      <formula>ISNUMBER(SEARCH("Albatros", $H2))</formula>
    </cfRule>
  </conditionalFormatting>
  <conditionalFormatting sqref="A3:D14 F3:XFD14">
    <cfRule type="expression" dxfId="5" priority="7">
      <formula>ISNUMBER(SEARCH("Albatros", $H3))</formula>
    </cfRule>
  </conditionalFormatting>
  <conditionalFormatting sqref="A15:D222 F15:XFD19 F22:XFD22 F20:M21 O20:XFD21 F24:XFD27 F23:M23 O23:XFD23 F29:XFD30 F28:M28 O28:XFD28 F32:XFD32 F31:M31 O31:XFD31 F34:XFD35 F33:M33 O33:XFD33 F37:XFD40 F36:M36 O36:XFD36 F42:XFD52 F41:M41 O41:XFD41 F54:XFD64 F53:M53 O53:XFD53 F66:XFD66 F65:M65 O65:XFD65 F68:XFD75 F67:M67 O67:XFD67 F77:XFD78 F76:M76 O76:XFD76 F80:XFD86 F79:M79 O79:XFD79 F88:XFD88 F87:M87 O87:XFD87 F90:XFD92 F89:M89 O89:XFD89 F94:XFD94 F93:M93 O93:XFD93 F96:XFD99 F95:M95 O95:XFD95 F100:M102 O100:XFD102 F111:XFD111 F110:M110 O110:XFD110 F113:XFD117 F112:M112 O112:XFD112 F119:XFD120 F118:M118 O118:XFD118 F122:XFD123 F121:M121 O121:XFD121 F125:XFD125 F124:M124 O124:XFD124 F127:XFD128 F126:M126 O126:XFD126 F130:XFD132 F129:M129 O129:XFD129 F134:XFD135 F133:M133 O133:XFD133 F136:M136 O136:XFD136 F147:XFD167 F146:M146 O146:XFD146 F168:M168 O168:XFD168 F179:XFD186 F178:M178 O178:XFD178 F188:XFD190 F187:M187 O187:XFD187 F192:XFD194 F191:M191 O191:XFD191 F196:XFD197 F195:M195 O195:XFD195 F199:XFD200 F198:M198 O198:XFD198 F202:XFD202 F201:M201 O201:XFD201 F204:XFD204 F203:M203 O203:XFD203 F207:XFD207 F205:M206 O205:XFD206 F209:XFD210 F208:M208 O208:XFD208 F212:XFD217 F211:M211 O211:XFD211 F219:XFD220 F218:M218 O218:XFD218 F222:XFD222 F221:M221 O221:XFD221 F103:XFD109 F137:XFD145 F169:XFD177">
    <cfRule type="expression" dxfId="4" priority="6">
      <formula>ISNUMBER(SEARCH("Albatros", $H15))</formula>
    </cfRule>
  </conditionalFormatting>
  <conditionalFormatting sqref="E2:E59">
    <cfRule type="expression" dxfId="3" priority="5">
      <formula>ISNUMBER(SEARCH("Albatros", $H2))</formula>
    </cfRule>
  </conditionalFormatting>
  <conditionalFormatting sqref="N221 N218 N211 N208 N205:N206 N203 N201 N198 N195 N191 N187 N178 N168 N146 N136 N133 N129 N126 N124 N121 N118 N112 N110 N100:N102 N95 N93 N89 N87 N79 N76 N67 N65 N53 N41 N36 N33 N31 N28 N23 N20:N21">
    <cfRule type="expression" dxfId="2" priority="2">
      <formula>ISNUMBER(SEARCH("Albatros", $H20))</formula>
    </cfRule>
  </conditionalFormatting>
  <conditionalFormatting sqref="E60">
    <cfRule type="expression" dxfId="1" priority="1">
      <formula>ISNUMBER(SEARCH("Albatros", $H60))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D5AA-BE83-4358-A83B-1A2D39579B0E}">
  <dimension ref="A1:XFD445"/>
  <sheetViews>
    <sheetView tabSelected="1" workbookViewId="0">
      <selection activeCell="E165" sqref="E165"/>
    </sheetView>
  </sheetViews>
  <sheetFormatPr defaultRowHeight="13.2"/>
  <cols>
    <col min="1" max="1" width="8.88671875" style="52"/>
    <col min="2" max="2" width="10.33203125" style="52" bestFit="1" customWidth="1"/>
    <col min="3" max="3" width="10.44140625" style="52" bestFit="1" customWidth="1"/>
    <col min="4" max="5" width="23.33203125" style="52" bestFit="1" customWidth="1"/>
    <col min="6" max="6" width="8.33203125" style="54" bestFit="1" customWidth="1"/>
    <col min="7" max="7" width="20.77734375" style="52" bestFit="1" customWidth="1"/>
    <col min="8" max="8" width="26.88671875" style="52" bestFit="1" customWidth="1"/>
    <col min="9" max="9" width="17.33203125" style="52" customWidth="1"/>
    <col min="10" max="10" width="16.109375" style="52" bestFit="1" customWidth="1"/>
    <col min="11" max="16384" width="8.88671875" style="52"/>
  </cols>
  <sheetData>
    <row r="1" spans="1:13 16383:16384">
      <c r="A1" s="10" t="s">
        <v>2137</v>
      </c>
      <c r="B1" s="10" t="s">
        <v>3</v>
      </c>
      <c r="C1" s="10" t="s">
        <v>2133</v>
      </c>
      <c r="D1" s="10" t="s">
        <v>2138</v>
      </c>
      <c r="E1" s="10" t="s">
        <v>2139</v>
      </c>
      <c r="F1" s="53" t="s">
        <v>7</v>
      </c>
      <c r="G1" s="10" t="s">
        <v>282</v>
      </c>
      <c r="H1" s="10" t="s">
        <v>2140</v>
      </c>
      <c r="I1" s="13" t="s">
        <v>11</v>
      </c>
      <c r="J1" s="10" t="s">
        <v>10</v>
      </c>
    </row>
    <row r="2" spans="1:13 16383:16384">
      <c r="A2" s="49">
        <v>25765</v>
      </c>
      <c r="B2" s="50">
        <v>44884</v>
      </c>
      <c r="C2" s="50" t="s">
        <v>47</v>
      </c>
      <c r="D2" s="50" t="s">
        <v>2141</v>
      </c>
      <c r="E2" s="50" t="s">
        <v>47</v>
      </c>
      <c r="F2" s="51">
        <v>0.41666666666666669</v>
      </c>
      <c r="G2" s="50" t="s">
        <v>653</v>
      </c>
      <c r="H2" s="50" t="s">
        <v>2142</v>
      </c>
      <c r="I2" s="51"/>
      <c r="J2" s="50"/>
      <c r="K2" s="50"/>
      <c r="L2" s="50"/>
      <c r="M2" s="50"/>
      <c r="XFC2" s="49"/>
      <c r="XFD2" s="50"/>
    </row>
    <row r="3" spans="1:13 16383:16384">
      <c r="A3" s="49">
        <v>18123</v>
      </c>
      <c r="B3" s="50">
        <v>44891</v>
      </c>
      <c r="C3" s="50" t="s">
        <v>67</v>
      </c>
      <c r="D3" s="50" t="s">
        <v>67</v>
      </c>
      <c r="E3" s="50" t="s">
        <v>2143</v>
      </c>
      <c r="F3" s="51">
        <v>0.375</v>
      </c>
      <c r="G3" s="50" t="s">
        <v>287</v>
      </c>
      <c r="H3" s="50" t="s">
        <v>2144</v>
      </c>
      <c r="I3" s="55" t="s">
        <v>2132</v>
      </c>
      <c r="J3" s="50" t="s">
        <v>67</v>
      </c>
      <c r="K3" s="50"/>
      <c r="L3" s="50"/>
      <c r="M3" s="50"/>
      <c r="XFC3" s="49"/>
      <c r="XFD3" s="50"/>
    </row>
    <row r="4" spans="1:13 16383:16384">
      <c r="A4" s="49">
        <v>33845</v>
      </c>
      <c r="B4" s="50">
        <v>44891</v>
      </c>
      <c r="C4" s="50" t="s">
        <v>711</v>
      </c>
      <c r="D4" s="50" t="s">
        <v>711</v>
      </c>
      <c r="E4" s="50" t="s">
        <v>2145</v>
      </c>
      <c r="F4" s="51">
        <v>0.375</v>
      </c>
      <c r="G4" s="50" t="s">
        <v>287</v>
      </c>
      <c r="H4" s="50" t="s">
        <v>2144</v>
      </c>
      <c r="I4" s="55" t="s">
        <v>788</v>
      </c>
      <c r="J4" s="50" t="s">
        <v>711</v>
      </c>
      <c r="K4" s="50"/>
      <c r="L4" s="50"/>
      <c r="M4" s="50"/>
      <c r="XFC4" s="49"/>
      <c r="XFD4" s="50"/>
    </row>
    <row r="5" spans="1:13 16383:16384">
      <c r="A5" s="49">
        <v>14352</v>
      </c>
      <c r="B5" s="50">
        <v>44891</v>
      </c>
      <c r="C5" s="50" t="s">
        <v>43</v>
      </c>
      <c r="D5" s="50" t="s">
        <v>43</v>
      </c>
      <c r="E5" s="50" t="s">
        <v>2146</v>
      </c>
      <c r="F5" s="51">
        <v>0.375</v>
      </c>
      <c r="G5" s="50" t="s">
        <v>287</v>
      </c>
      <c r="H5" s="50" t="s">
        <v>2144</v>
      </c>
      <c r="I5" s="55" t="s">
        <v>2131</v>
      </c>
      <c r="J5" s="50" t="s">
        <v>43</v>
      </c>
      <c r="K5" s="50"/>
      <c r="L5" s="50"/>
      <c r="M5" s="50"/>
      <c r="XFC5" s="49"/>
      <c r="XFD5" s="50"/>
    </row>
    <row r="6" spans="1:13 16383:16384">
      <c r="A6" s="49">
        <v>21779</v>
      </c>
      <c r="B6" s="50">
        <v>44891</v>
      </c>
      <c r="C6" s="50" t="s">
        <v>28</v>
      </c>
      <c r="D6" s="50" t="s">
        <v>179</v>
      </c>
      <c r="E6" s="50" t="s">
        <v>28</v>
      </c>
      <c r="F6" s="51">
        <v>0.41666666666666669</v>
      </c>
      <c r="G6" s="50" t="s">
        <v>320</v>
      </c>
      <c r="H6" s="50" t="s">
        <v>2148</v>
      </c>
      <c r="I6" s="51"/>
      <c r="J6" s="50"/>
      <c r="K6" s="50"/>
      <c r="L6" s="50"/>
      <c r="M6" s="50"/>
      <c r="XFC6" s="49"/>
      <c r="XFD6" s="50"/>
    </row>
    <row r="7" spans="1:13 16383:16384">
      <c r="A7" s="49">
        <v>18047</v>
      </c>
      <c r="B7" s="50">
        <v>44891</v>
      </c>
      <c r="C7" s="50" t="s">
        <v>64</v>
      </c>
      <c r="D7" s="50" t="s">
        <v>64</v>
      </c>
      <c r="E7" s="50" t="s">
        <v>2149</v>
      </c>
      <c r="F7" s="51">
        <v>0.41666666666666669</v>
      </c>
      <c r="G7" s="50" t="s">
        <v>305</v>
      </c>
      <c r="H7" s="50" t="s">
        <v>2144</v>
      </c>
      <c r="I7" s="55" t="s">
        <v>456</v>
      </c>
      <c r="J7" s="50" t="s">
        <v>64</v>
      </c>
      <c r="K7" s="50"/>
      <c r="L7" s="50"/>
      <c r="M7" s="50"/>
      <c r="XFC7" s="49"/>
      <c r="XFD7" s="50"/>
    </row>
    <row r="8" spans="1:13 16383:16384">
      <c r="A8" s="49">
        <v>18124</v>
      </c>
      <c r="B8" s="50">
        <v>44891</v>
      </c>
      <c r="C8" s="50" t="s">
        <v>36</v>
      </c>
      <c r="D8" s="50" t="s">
        <v>36</v>
      </c>
      <c r="E8" s="50" t="s">
        <v>793</v>
      </c>
      <c r="F8" s="51">
        <v>0.41666666666666669</v>
      </c>
      <c r="G8" s="50" t="s">
        <v>305</v>
      </c>
      <c r="H8" s="50" t="s">
        <v>2144</v>
      </c>
      <c r="I8" s="55" t="s">
        <v>785</v>
      </c>
      <c r="J8" s="50" t="s">
        <v>36</v>
      </c>
      <c r="K8" s="50"/>
      <c r="L8" s="50"/>
      <c r="M8" s="50"/>
      <c r="XFC8" s="49"/>
      <c r="XFD8" s="50"/>
    </row>
    <row r="9" spans="1:13 16383:16384">
      <c r="A9" s="49">
        <v>20776</v>
      </c>
      <c r="B9" s="50">
        <v>44891</v>
      </c>
      <c r="C9" s="50" t="s">
        <v>99</v>
      </c>
      <c r="D9" s="50" t="s">
        <v>99</v>
      </c>
      <c r="E9" s="50" t="s">
        <v>2147</v>
      </c>
      <c r="F9" s="51">
        <v>0.41666666666666669</v>
      </c>
      <c r="G9" s="50" t="s">
        <v>287</v>
      </c>
      <c r="H9" s="50" t="s">
        <v>2144</v>
      </c>
      <c r="I9" s="51" t="s">
        <v>289</v>
      </c>
      <c r="J9" s="60" t="s">
        <v>584</v>
      </c>
      <c r="K9" s="50"/>
      <c r="L9" s="50"/>
      <c r="M9" s="50"/>
      <c r="XFC9" s="49"/>
      <c r="XFD9" s="50"/>
    </row>
    <row r="10" spans="1:13 16383:16384">
      <c r="A10" s="49">
        <v>34067</v>
      </c>
      <c r="B10" s="50">
        <v>44891</v>
      </c>
      <c r="C10" s="50" t="s">
        <v>346</v>
      </c>
      <c r="D10" s="50" t="s">
        <v>2150</v>
      </c>
      <c r="E10" s="50" t="s">
        <v>346</v>
      </c>
      <c r="F10" s="51">
        <v>0.4201388888888889</v>
      </c>
      <c r="G10" s="50" t="s">
        <v>334</v>
      </c>
      <c r="H10" s="50" t="s">
        <v>2151</v>
      </c>
      <c r="I10" s="51"/>
      <c r="J10" s="50"/>
      <c r="K10" s="50"/>
      <c r="L10" s="50"/>
      <c r="M10" s="50"/>
      <c r="XFC10" s="49"/>
      <c r="XFD10" s="50"/>
    </row>
    <row r="11" spans="1:13 16383:16384">
      <c r="A11" s="49">
        <v>18046</v>
      </c>
      <c r="B11" s="50">
        <v>44891</v>
      </c>
      <c r="C11" s="50" t="s">
        <v>20</v>
      </c>
      <c r="D11" s="50" t="s">
        <v>20</v>
      </c>
      <c r="E11" s="50" t="s">
        <v>193</v>
      </c>
      <c r="F11" s="51">
        <v>0.45833333333333331</v>
      </c>
      <c r="G11" s="50" t="s">
        <v>305</v>
      </c>
      <c r="H11" s="50" t="s">
        <v>2144</v>
      </c>
      <c r="I11" s="55" t="s">
        <v>2080</v>
      </c>
      <c r="J11" s="50" t="s">
        <v>20</v>
      </c>
      <c r="K11" s="50"/>
      <c r="L11" s="50"/>
      <c r="M11" s="50"/>
      <c r="XFC11" s="49"/>
      <c r="XFD11" s="50"/>
    </row>
    <row r="12" spans="1:13 16383:16384">
      <c r="A12" s="49">
        <v>15684</v>
      </c>
      <c r="B12" s="50">
        <v>44891</v>
      </c>
      <c r="C12" s="50" t="s">
        <v>85</v>
      </c>
      <c r="D12" s="50" t="s">
        <v>85</v>
      </c>
      <c r="E12" s="50" t="s">
        <v>225</v>
      </c>
      <c r="F12" s="51">
        <v>0.46527777777777773</v>
      </c>
      <c r="G12" s="50" t="s">
        <v>287</v>
      </c>
      <c r="H12" s="50" t="s">
        <v>2144</v>
      </c>
      <c r="I12" s="51" t="s">
        <v>289</v>
      </c>
      <c r="J12" s="60" t="s">
        <v>584</v>
      </c>
      <c r="K12" s="50"/>
      <c r="L12" s="50"/>
      <c r="M12" s="50"/>
      <c r="XFC12" s="49"/>
      <c r="XFD12" s="50"/>
    </row>
    <row r="13" spans="1:13 16383:16384">
      <c r="A13" s="49">
        <v>23236</v>
      </c>
      <c r="B13" s="50">
        <v>44891</v>
      </c>
      <c r="C13" s="50" t="s">
        <v>74</v>
      </c>
      <c r="D13" s="50" t="s">
        <v>74</v>
      </c>
      <c r="E13" s="50" t="s">
        <v>2155</v>
      </c>
      <c r="F13" s="51">
        <v>0.50694444444444442</v>
      </c>
      <c r="G13" s="50" t="s">
        <v>305</v>
      </c>
      <c r="H13" s="50" t="s">
        <v>2144</v>
      </c>
      <c r="I13" s="55" t="s">
        <v>550</v>
      </c>
      <c r="J13" s="50" t="s">
        <v>74</v>
      </c>
      <c r="K13" s="50"/>
      <c r="L13" s="50"/>
      <c r="M13" s="50"/>
      <c r="XFC13" s="49"/>
      <c r="XFD13" s="50"/>
    </row>
    <row r="14" spans="1:13 16383:16384">
      <c r="A14" s="49">
        <v>30121</v>
      </c>
      <c r="B14" s="50">
        <v>44891</v>
      </c>
      <c r="C14" s="50" t="s">
        <v>569</v>
      </c>
      <c r="D14" s="50" t="s">
        <v>2153</v>
      </c>
      <c r="E14" s="50" t="s">
        <v>569</v>
      </c>
      <c r="F14" s="51">
        <v>0.50694444444444442</v>
      </c>
      <c r="G14" s="50" t="s">
        <v>757</v>
      </c>
      <c r="H14" s="50" t="s">
        <v>2154</v>
      </c>
      <c r="I14" s="51"/>
      <c r="J14" s="50"/>
      <c r="K14" s="50"/>
      <c r="L14" s="50"/>
      <c r="M14" s="50"/>
      <c r="XFC14" s="49"/>
      <c r="XFD14" s="50"/>
    </row>
    <row r="15" spans="1:13 16383:16384">
      <c r="A15" s="49">
        <v>17937</v>
      </c>
      <c r="B15" s="50">
        <v>44891</v>
      </c>
      <c r="C15" s="50" t="s">
        <v>82</v>
      </c>
      <c r="D15" s="50" t="s">
        <v>82</v>
      </c>
      <c r="E15" s="50" t="s">
        <v>163</v>
      </c>
      <c r="F15" s="51">
        <v>0.52083333333333337</v>
      </c>
      <c r="G15" s="50" t="s">
        <v>287</v>
      </c>
      <c r="H15" s="50" t="s">
        <v>2144</v>
      </c>
      <c r="I15" s="51" t="s">
        <v>289</v>
      </c>
      <c r="J15" s="60" t="s">
        <v>567</v>
      </c>
      <c r="K15" s="50"/>
      <c r="L15" s="50"/>
      <c r="M15" s="50"/>
      <c r="XFC15" s="49"/>
      <c r="XFD15" s="50"/>
    </row>
    <row r="16" spans="1:13 16383:16384">
      <c r="A16" s="49">
        <v>19434</v>
      </c>
      <c r="B16" s="50">
        <v>44891</v>
      </c>
      <c r="C16" s="50" t="s">
        <v>62</v>
      </c>
      <c r="D16" s="50" t="s">
        <v>62</v>
      </c>
      <c r="E16" s="50" t="s">
        <v>2156</v>
      </c>
      <c r="F16" s="51">
        <v>0.54861111111111105</v>
      </c>
      <c r="G16" s="50" t="s">
        <v>305</v>
      </c>
      <c r="H16" s="50" t="s">
        <v>2144</v>
      </c>
      <c r="I16" s="51" t="s">
        <v>289</v>
      </c>
      <c r="J16" s="60" t="s">
        <v>328</v>
      </c>
      <c r="K16" s="50"/>
      <c r="L16" s="50"/>
      <c r="M16" s="50"/>
      <c r="XFC16" s="49"/>
      <c r="XFD16" s="50"/>
    </row>
    <row r="17" spans="1:13 16383:16384">
      <c r="A17" s="49">
        <v>15783</v>
      </c>
      <c r="B17" s="50">
        <v>44891</v>
      </c>
      <c r="C17" s="50" t="s">
        <v>50</v>
      </c>
      <c r="D17" s="50" t="s">
        <v>2157</v>
      </c>
      <c r="E17" s="50" t="s">
        <v>50</v>
      </c>
      <c r="F17" s="51">
        <v>0.55208333333333337</v>
      </c>
      <c r="G17" s="50" t="s">
        <v>454</v>
      </c>
      <c r="H17" s="50" t="s">
        <v>2158</v>
      </c>
      <c r="I17" s="51"/>
      <c r="J17" s="50"/>
      <c r="K17" s="50"/>
      <c r="L17" s="50"/>
      <c r="M17" s="50"/>
      <c r="XFC17" s="49"/>
      <c r="XFD17" s="50"/>
    </row>
    <row r="18" spans="1:13 16383:16384">
      <c r="A18" s="49">
        <v>15468</v>
      </c>
      <c r="B18" s="50">
        <v>44891</v>
      </c>
      <c r="C18" s="50" t="s">
        <v>91</v>
      </c>
      <c r="D18" s="50" t="s">
        <v>91</v>
      </c>
      <c r="E18" s="50" t="s">
        <v>2159</v>
      </c>
      <c r="F18" s="51">
        <v>0.57638888888888895</v>
      </c>
      <c r="G18" s="50" t="s">
        <v>287</v>
      </c>
      <c r="H18" s="50" t="s">
        <v>2144</v>
      </c>
      <c r="I18" s="51" t="s">
        <v>289</v>
      </c>
      <c r="J18" s="60" t="s">
        <v>567</v>
      </c>
      <c r="K18" s="50"/>
      <c r="L18" s="50"/>
      <c r="M18" s="50"/>
      <c r="XFC18" s="49"/>
      <c r="XFD18" s="50"/>
    </row>
    <row r="19" spans="1:13 16383:16384">
      <c r="A19" s="49">
        <v>24432</v>
      </c>
      <c r="B19" s="50">
        <v>44891</v>
      </c>
      <c r="C19" s="50" t="s">
        <v>71</v>
      </c>
      <c r="D19" s="50" t="s">
        <v>2160</v>
      </c>
      <c r="E19" s="50" t="s">
        <v>71</v>
      </c>
      <c r="F19" s="51">
        <v>0.58680555555555558</v>
      </c>
      <c r="G19" s="50" t="s">
        <v>295</v>
      </c>
      <c r="H19" s="50" t="s">
        <v>2161</v>
      </c>
      <c r="I19" s="51"/>
      <c r="J19" s="50"/>
      <c r="K19" s="50"/>
      <c r="L19" s="50"/>
      <c r="M19" s="50"/>
      <c r="XFC19" s="49"/>
      <c r="XFD19" s="50"/>
    </row>
    <row r="20" spans="1:13 16383:16384">
      <c r="A20" s="49">
        <v>28337</v>
      </c>
      <c r="B20" s="50">
        <v>44891</v>
      </c>
      <c r="C20" s="50" t="s">
        <v>95</v>
      </c>
      <c r="D20" s="50" t="s">
        <v>95</v>
      </c>
      <c r="E20" s="50" t="s">
        <v>2162</v>
      </c>
      <c r="F20" s="51">
        <v>0.59027777777777779</v>
      </c>
      <c r="G20" s="50" t="s">
        <v>305</v>
      </c>
      <c r="H20" s="50" t="s">
        <v>2144</v>
      </c>
      <c r="I20" s="55" t="s">
        <v>567</v>
      </c>
      <c r="J20" s="50" t="s">
        <v>95</v>
      </c>
      <c r="K20" s="50"/>
      <c r="L20" s="50"/>
      <c r="M20" s="50"/>
      <c r="XFC20" s="49"/>
      <c r="XFD20" s="50"/>
    </row>
    <row r="21" spans="1:13 16383:16384">
      <c r="A21" s="49">
        <v>14150</v>
      </c>
      <c r="B21" s="50">
        <v>44891</v>
      </c>
      <c r="C21" s="50" t="s">
        <v>88</v>
      </c>
      <c r="D21" s="50" t="s">
        <v>259</v>
      </c>
      <c r="E21" s="50" t="s">
        <v>88</v>
      </c>
      <c r="F21" s="51">
        <v>0.60416666666666663</v>
      </c>
      <c r="G21" s="50" t="s">
        <v>376</v>
      </c>
      <c r="H21" s="50" t="s">
        <v>2158</v>
      </c>
      <c r="I21" s="51"/>
      <c r="J21" s="50"/>
      <c r="K21" s="50"/>
      <c r="L21" s="50"/>
      <c r="M21" s="50"/>
      <c r="XFC21" s="49"/>
      <c r="XFD21" s="50"/>
    </row>
    <row r="22" spans="1:13 16383:16384">
      <c r="A22" s="49">
        <v>13694</v>
      </c>
      <c r="B22" s="50">
        <v>44891</v>
      </c>
      <c r="C22" s="50" t="s">
        <v>123</v>
      </c>
      <c r="D22" s="50" t="s">
        <v>123</v>
      </c>
      <c r="E22" s="50" t="s">
        <v>210</v>
      </c>
      <c r="F22" s="51">
        <v>0.63541666666666663</v>
      </c>
      <c r="G22" s="50" t="s">
        <v>287</v>
      </c>
      <c r="H22" s="50" t="s">
        <v>2144</v>
      </c>
      <c r="I22" s="51" t="s">
        <v>289</v>
      </c>
      <c r="J22" s="60" t="s">
        <v>306</v>
      </c>
      <c r="K22" s="50"/>
      <c r="L22" s="50"/>
      <c r="M22" s="50"/>
      <c r="XFC22" s="49"/>
      <c r="XFD22" s="50"/>
    </row>
    <row r="23" spans="1:13 16383:16384">
      <c r="A23" s="49">
        <v>30680</v>
      </c>
      <c r="B23" s="50">
        <v>44891</v>
      </c>
      <c r="C23" s="50" t="s">
        <v>115</v>
      </c>
      <c r="D23" s="50" t="s">
        <v>115</v>
      </c>
      <c r="E23" s="50" t="s">
        <v>2163</v>
      </c>
      <c r="F23" s="51">
        <v>0.63888888888888895</v>
      </c>
      <c r="G23" s="50" t="s">
        <v>305</v>
      </c>
      <c r="H23" s="50" t="s">
        <v>2144</v>
      </c>
      <c r="I23" s="55" t="s">
        <v>1964</v>
      </c>
      <c r="J23" s="50" t="s">
        <v>115</v>
      </c>
      <c r="K23" s="50"/>
      <c r="L23" s="50"/>
      <c r="M23" s="50"/>
      <c r="XFC23" s="49"/>
      <c r="XFD23" s="50"/>
    </row>
    <row r="24" spans="1:13 16383:16384">
      <c r="A24" s="49">
        <v>20618</v>
      </c>
      <c r="B24" s="50">
        <v>44891</v>
      </c>
      <c r="C24" s="50" t="s">
        <v>57</v>
      </c>
      <c r="D24" s="50" t="s">
        <v>56</v>
      </c>
      <c r="E24" s="50" t="s">
        <v>57</v>
      </c>
      <c r="F24" s="51">
        <v>0.65625</v>
      </c>
      <c r="G24" s="50" t="s">
        <v>331</v>
      </c>
      <c r="H24" s="50" t="s">
        <v>2164</v>
      </c>
      <c r="I24" s="51"/>
      <c r="J24" s="50"/>
      <c r="K24" s="50"/>
      <c r="L24" s="50"/>
      <c r="M24" s="50"/>
      <c r="XFC24" s="49"/>
      <c r="XFD24" s="50"/>
    </row>
    <row r="25" spans="1:13 16383:16384">
      <c r="A25" s="49">
        <v>12984</v>
      </c>
      <c r="B25" s="50">
        <v>44891</v>
      </c>
      <c r="C25" s="50" t="s">
        <v>109</v>
      </c>
      <c r="D25" s="50" t="s">
        <v>109</v>
      </c>
      <c r="E25" s="50" t="s">
        <v>250</v>
      </c>
      <c r="F25" s="51">
        <v>0.69097222222222221</v>
      </c>
      <c r="G25" s="50" t="s">
        <v>287</v>
      </c>
      <c r="H25" s="50" t="s">
        <v>2144</v>
      </c>
      <c r="I25" s="51" t="s">
        <v>289</v>
      </c>
      <c r="J25" s="60" t="s">
        <v>306</v>
      </c>
      <c r="K25" s="50"/>
      <c r="L25" s="50"/>
      <c r="M25" s="50"/>
      <c r="XFC25" s="49"/>
      <c r="XFD25" s="50"/>
    </row>
    <row r="26" spans="1:13 16383:16384">
      <c r="A26" s="49">
        <v>10863</v>
      </c>
      <c r="B26" s="50">
        <v>44891</v>
      </c>
      <c r="C26" s="50" t="s">
        <v>118</v>
      </c>
      <c r="D26" s="50" t="s">
        <v>118</v>
      </c>
      <c r="E26" s="50" t="s">
        <v>252</v>
      </c>
      <c r="F26" s="51">
        <v>0.75</v>
      </c>
      <c r="G26" s="50" t="s">
        <v>287</v>
      </c>
      <c r="H26" s="50" t="s">
        <v>2144</v>
      </c>
      <c r="I26" s="51" t="s">
        <v>289</v>
      </c>
      <c r="J26" s="60" t="s">
        <v>306</v>
      </c>
      <c r="K26" s="50"/>
      <c r="L26" s="50"/>
      <c r="M26" s="50"/>
      <c r="XFC26" s="49"/>
      <c r="XFD26" s="50"/>
    </row>
    <row r="27" spans="1:13 16383:16384">
      <c r="A27" s="49">
        <v>30659</v>
      </c>
      <c r="B27" s="50">
        <v>44891</v>
      </c>
      <c r="C27" s="50" t="s">
        <v>112</v>
      </c>
      <c r="D27" s="50" t="s">
        <v>640</v>
      </c>
      <c r="E27" s="50" t="s">
        <v>112</v>
      </c>
      <c r="F27" s="51">
        <v>0.75694444444444453</v>
      </c>
      <c r="G27" s="50" t="s">
        <v>454</v>
      </c>
      <c r="H27" s="50" t="s">
        <v>2158</v>
      </c>
      <c r="I27" s="51"/>
      <c r="J27" s="50"/>
      <c r="K27" s="50"/>
      <c r="L27" s="50"/>
      <c r="M27" s="50"/>
      <c r="XFC27" s="49"/>
      <c r="XFD27" s="50"/>
    </row>
    <row r="28" spans="1:13 16383:16384">
      <c r="A28" s="49">
        <v>31101</v>
      </c>
      <c r="B28" s="50">
        <v>44891</v>
      </c>
      <c r="C28" s="50" t="s">
        <v>120</v>
      </c>
      <c r="D28" s="50" t="s">
        <v>2165</v>
      </c>
      <c r="E28" s="50" t="s">
        <v>120</v>
      </c>
      <c r="F28" s="51">
        <v>0.79166666666666663</v>
      </c>
      <c r="G28" s="50" t="s">
        <v>358</v>
      </c>
      <c r="H28" s="50" t="s">
        <v>2166</v>
      </c>
      <c r="I28" s="51"/>
      <c r="J28" s="50"/>
      <c r="K28" s="50"/>
      <c r="L28" s="50"/>
      <c r="M28" s="50"/>
      <c r="XFC28" s="49"/>
      <c r="XFD28" s="50"/>
    </row>
    <row r="29" spans="1:13 16383:16384">
      <c r="A29" s="49">
        <v>27509</v>
      </c>
      <c r="B29" s="50">
        <v>44891</v>
      </c>
      <c r="C29" s="50" t="s">
        <v>102</v>
      </c>
      <c r="D29" s="50" t="s">
        <v>102</v>
      </c>
      <c r="E29" s="50" t="s">
        <v>2167</v>
      </c>
      <c r="F29" s="51">
        <v>0.80902777777777779</v>
      </c>
      <c r="G29" s="50" t="s">
        <v>287</v>
      </c>
      <c r="H29" s="50" t="s">
        <v>2144</v>
      </c>
      <c r="I29" s="55" t="s">
        <v>2082</v>
      </c>
      <c r="J29" s="50" t="s">
        <v>102</v>
      </c>
      <c r="K29" s="50"/>
      <c r="L29" s="50"/>
      <c r="M29" s="50"/>
      <c r="XFC29" s="49"/>
      <c r="XFD29" s="50"/>
    </row>
    <row r="30" spans="1:13 16383:16384">
      <c r="A30" s="49">
        <v>14154</v>
      </c>
      <c r="B30" s="50">
        <v>44891</v>
      </c>
      <c r="C30" s="50" t="s">
        <v>79</v>
      </c>
      <c r="D30" s="50" t="s">
        <v>211</v>
      </c>
      <c r="E30" s="50" t="s">
        <v>79</v>
      </c>
      <c r="F30" s="51">
        <v>0.83333333333333337</v>
      </c>
      <c r="G30" s="50" t="s">
        <v>376</v>
      </c>
      <c r="H30" s="50" t="s">
        <v>2158</v>
      </c>
      <c r="I30" s="51"/>
      <c r="J30" s="50"/>
      <c r="K30" s="50"/>
      <c r="L30" s="50"/>
      <c r="M30" s="50"/>
      <c r="XFC30" s="49"/>
      <c r="XFD30" s="50"/>
    </row>
    <row r="31" spans="1:13 16383:16384">
      <c r="A31" s="49">
        <v>30684</v>
      </c>
      <c r="B31" s="50">
        <v>44891</v>
      </c>
      <c r="C31" s="50" t="s">
        <v>105</v>
      </c>
      <c r="D31" s="50" t="s">
        <v>105</v>
      </c>
      <c r="E31" s="50" t="s">
        <v>111</v>
      </c>
      <c r="F31" s="51">
        <v>0.85763888888888884</v>
      </c>
      <c r="G31" s="50" t="s">
        <v>287</v>
      </c>
      <c r="H31" s="50" t="s">
        <v>2144</v>
      </c>
      <c r="I31" s="55" t="s">
        <v>301</v>
      </c>
      <c r="J31" s="50" t="s">
        <v>105</v>
      </c>
      <c r="K31" s="50"/>
      <c r="L31" s="50"/>
      <c r="M31" s="50"/>
      <c r="XFC31" s="49"/>
      <c r="XFD31" s="50"/>
    </row>
    <row r="32" spans="1:13 16383:16384">
      <c r="A32" s="49">
        <v>15471</v>
      </c>
      <c r="B32" s="50">
        <v>44898</v>
      </c>
      <c r="C32" s="50" t="s">
        <v>40</v>
      </c>
      <c r="D32" s="50" t="s">
        <v>139</v>
      </c>
      <c r="E32" s="50" t="s">
        <v>40</v>
      </c>
      <c r="F32" s="51">
        <v>0.375</v>
      </c>
      <c r="G32" s="50" t="s">
        <v>546</v>
      </c>
      <c r="H32" s="50" t="s">
        <v>2169</v>
      </c>
      <c r="I32" s="51"/>
      <c r="J32" s="50"/>
      <c r="K32" s="50"/>
      <c r="L32" s="50"/>
      <c r="M32" s="50"/>
      <c r="XFC32" s="49"/>
      <c r="XFD32" s="50"/>
    </row>
    <row r="33" spans="1:13 16383:16384">
      <c r="A33" s="49">
        <v>12883</v>
      </c>
      <c r="B33" s="50">
        <v>44898</v>
      </c>
      <c r="C33" s="50" t="s">
        <v>43</v>
      </c>
      <c r="D33" s="50" t="s">
        <v>2171</v>
      </c>
      <c r="E33" s="50" t="s">
        <v>43</v>
      </c>
      <c r="F33" s="51">
        <v>0.375</v>
      </c>
      <c r="G33" s="50" t="s">
        <v>467</v>
      </c>
      <c r="H33" s="50" t="s">
        <v>2158</v>
      </c>
      <c r="I33" s="51"/>
      <c r="J33" s="50"/>
      <c r="K33" s="50"/>
      <c r="L33" s="50"/>
      <c r="M33" s="50"/>
      <c r="XFC33" s="49"/>
      <c r="XFD33" s="50"/>
    </row>
    <row r="34" spans="1:13 16383:16384">
      <c r="A34" s="49">
        <v>14787</v>
      </c>
      <c r="B34" s="50">
        <v>44898</v>
      </c>
      <c r="C34" s="50" t="s">
        <v>53</v>
      </c>
      <c r="D34" s="50" t="s">
        <v>53</v>
      </c>
      <c r="E34" s="50" t="s">
        <v>52</v>
      </c>
      <c r="F34" s="51">
        <v>0.375</v>
      </c>
      <c r="G34" s="50" t="s">
        <v>287</v>
      </c>
      <c r="H34" s="50" t="s">
        <v>2144</v>
      </c>
      <c r="I34" s="55" t="s">
        <v>1955</v>
      </c>
      <c r="J34" s="50" t="s">
        <v>53</v>
      </c>
      <c r="K34" s="50"/>
      <c r="L34" s="50"/>
      <c r="M34" s="50"/>
      <c r="XFC34" s="49"/>
      <c r="XFD34" s="50"/>
    </row>
    <row r="35" spans="1:13 16383:16384">
      <c r="A35" s="49">
        <v>15669</v>
      </c>
      <c r="B35" s="50">
        <v>44898</v>
      </c>
      <c r="C35" s="50" t="s">
        <v>67</v>
      </c>
      <c r="D35" s="50" t="s">
        <v>2170</v>
      </c>
      <c r="E35" s="50" t="s">
        <v>67</v>
      </c>
      <c r="F35" s="51">
        <v>0.375</v>
      </c>
      <c r="G35" s="50" t="s">
        <v>376</v>
      </c>
      <c r="H35" s="50" t="s">
        <v>2158</v>
      </c>
      <c r="I35" s="51"/>
      <c r="J35" s="50"/>
      <c r="K35" s="50"/>
      <c r="L35" s="50"/>
      <c r="M35" s="50"/>
      <c r="XFC35" s="49"/>
      <c r="XFD35" s="50"/>
    </row>
    <row r="36" spans="1:13 16383:16384">
      <c r="A36" s="49">
        <v>15412</v>
      </c>
      <c r="B36" s="50">
        <v>44898</v>
      </c>
      <c r="C36" s="50" t="s">
        <v>20</v>
      </c>
      <c r="D36" s="50" t="s">
        <v>2168</v>
      </c>
      <c r="E36" s="50" t="s">
        <v>20</v>
      </c>
      <c r="F36" s="51">
        <v>0.375</v>
      </c>
      <c r="G36" s="50" t="s">
        <v>295</v>
      </c>
      <c r="H36" s="50" t="s">
        <v>2161</v>
      </c>
      <c r="I36" s="51"/>
      <c r="J36" s="50"/>
      <c r="K36" s="50"/>
      <c r="L36" s="50"/>
      <c r="M36" s="50"/>
      <c r="XFC36" s="49"/>
      <c r="XFD36" s="50"/>
    </row>
    <row r="37" spans="1:13 16383:16384">
      <c r="A37" s="49">
        <v>15446</v>
      </c>
      <c r="B37" s="50">
        <v>44898</v>
      </c>
      <c r="C37" s="50" t="s">
        <v>64</v>
      </c>
      <c r="D37" s="50" t="s">
        <v>2172</v>
      </c>
      <c r="E37" s="50" t="s">
        <v>64</v>
      </c>
      <c r="F37" s="51">
        <v>0.41666666666666669</v>
      </c>
      <c r="G37" s="50" t="s">
        <v>2173</v>
      </c>
      <c r="H37" s="50" t="s">
        <v>2174</v>
      </c>
      <c r="I37" s="51"/>
      <c r="J37" s="50"/>
      <c r="K37" s="50"/>
      <c r="L37" s="50"/>
      <c r="M37" s="50"/>
      <c r="XFC37" s="49"/>
      <c r="XFD37" s="50"/>
    </row>
    <row r="38" spans="1:13 16383:16384">
      <c r="A38" s="49">
        <v>34021</v>
      </c>
      <c r="B38" s="50">
        <v>44898</v>
      </c>
      <c r="C38" s="50" t="s">
        <v>25</v>
      </c>
      <c r="D38" s="50" t="s">
        <v>2175</v>
      </c>
      <c r="E38" s="50" t="s">
        <v>25</v>
      </c>
      <c r="F38" s="51">
        <v>0.41666666666666669</v>
      </c>
      <c r="G38" s="50" t="s">
        <v>1658</v>
      </c>
      <c r="H38" s="50" t="s">
        <v>2176</v>
      </c>
      <c r="I38" s="51"/>
      <c r="J38" s="50"/>
      <c r="K38" s="50"/>
      <c r="L38" s="50"/>
      <c r="M38" s="50"/>
      <c r="XFC38" s="49"/>
      <c r="XFD38" s="50"/>
    </row>
    <row r="39" spans="1:13 16383:16384">
      <c r="A39" s="49">
        <v>15661</v>
      </c>
      <c r="B39" s="50">
        <v>44898</v>
      </c>
      <c r="C39" s="50" t="s">
        <v>36</v>
      </c>
      <c r="D39" s="50" t="s">
        <v>2179</v>
      </c>
      <c r="E39" s="50" t="s">
        <v>36</v>
      </c>
      <c r="F39" s="51">
        <v>0.45833333333333331</v>
      </c>
      <c r="G39" s="50" t="s">
        <v>381</v>
      </c>
      <c r="H39" s="50" t="s">
        <v>2180</v>
      </c>
      <c r="I39" s="51"/>
      <c r="J39" s="50"/>
      <c r="K39" s="50"/>
      <c r="L39" s="50"/>
      <c r="M39" s="50"/>
      <c r="XFC39" s="49"/>
      <c r="XFD39" s="50"/>
    </row>
    <row r="40" spans="1:13 16383:16384">
      <c r="A40" s="49">
        <v>20551</v>
      </c>
      <c r="B40" s="50">
        <v>44898</v>
      </c>
      <c r="C40" s="50" t="s">
        <v>28</v>
      </c>
      <c r="D40" s="50" t="s">
        <v>2177</v>
      </c>
      <c r="E40" s="50" t="s">
        <v>28</v>
      </c>
      <c r="F40" s="51">
        <v>0.45833333333333331</v>
      </c>
      <c r="G40" s="50" t="s">
        <v>546</v>
      </c>
      <c r="H40" s="50" t="s">
        <v>2169</v>
      </c>
      <c r="I40" s="51"/>
      <c r="J40" s="50"/>
      <c r="K40" s="50"/>
      <c r="L40" s="50"/>
      <c r="M40" s="50"/>
      <c r="XFC40" s="49"/>
      <c r="XFD40" s="50"/>
    </row>
    <row r="41" spans="1:13 16383:16384">
      <c r="A41" s="49">
        <v>20253</v>
      </c>
      <c r="B41" s="50">
        <v>44898</v>
      </c>
      <c r="C41" s="50" t="s">
        <v>15</v>
      </c>
      <c r="D41" s="50" t="s">
        <v>15</v>
      </c>
      <c r="E41" s="50" t="s">
        <v>2178</v>
      </c>
      <c r="F41" s="51">
        <v>0.45833333333333331</v>
      </c>
      <c r="G41" s="50" t="s">
        <v>287</v>
      </c>
      <c r="H41" s="50" t="s">
        <v>2144</v>
      </c>
      <c r="I41" s="55" t="s">
        <v>2082</v>
      </c>
      <c r="J41" s="50" t="s">
        <v>15</v>
      </c>
      <c r="K41" s="50"/>
      <c r="L41" s="50"/>
      <c r="M41" s="50"/>
      <c r="XFC41" s="49"/>
      <c r="XFD41" s="50"/>
    </row>
    <row r="42" spans="1:13 16383:16384">
      <c r="A42" s="49">
        <v>33853</v>
      </c>
      <c r="B42" s="50">
        <v>44898</v>
      </c>
      <c r="C42" s="50" t="s">
        <v>711</v>
      </c>
      <c r="D42" s="50" t="s">
        <v>711</v>
      </c>
      <c r="E42" s="50" t="s">
        <v>2182</v>
      </c>
      <c r="F42" s="51">
        <v>0.5</v>
      </c>
      <c r="G42" s="50" t="s">
        <v>305</v>
      </c>
      <c r="H42" s="50" t="s">
        <v>2144</v>
      </c>
      <c r="I42" s="55" t="s">
        <v>2134</v>
      </c>
      <c r="J42" s="50" t="s">
        <v>711</v>
      </c>
      <c r="K42" s="50"/>
      <c r="L42" s="50"/>
      <c r="M42" s="50"/>
      <c r="XFC42" s="49"/>
      <c r="XFD42" s="50"/>
    </row>
    <row r="43" spans="1:13 16383:16384">
      <c r="A43" s="49">
        <v>34068</v>
      </c>
      <c r="B43" s="50">
        <v>44898</v>
      </c>
      <c r="C43" s="50" t="s">
        <v>346</v>
      </c>
      <c r="D43" s="50" t="s">
        <v>346</v>
      </c>
      <c r="E43" s="50" t="s">
        <v>2183</v>
      </c>
      <c r="F43" s="51">
        <v>0.5</v>
      </c>
      <c r="G43" s="50" t="s">
        <v>305</v>
      </c>
      <c r="H43" s="50" t="s">
        <v>2144</v>
      </c>
      <c r="I43" s="55" t="s">
        <v>444</v>
      </c>
      <c r="J43" s="50" t="s">
        <v>346</v>
      </c>
      <c r="K43" s="50"/>
      <c r="L43" s="50"/>
      <c r="M43" s="50"/>
      <c r="XFC43" s="49"/>
      <c r="XFD43" s="50"/>
    </row>
    <row r="44" spans="1:13 16383:16384">
      <c r="A44" s="49">
        <v>20264</v>
      </c>
      <c r="B44" s="50">
        <v>44898</v>
      </c>
      <c r="C44" s="50" t="s">
        <v>32</v>
      </c>
      <c r="D44" s="50" t="s">
        <v>32</v>
      </c>
      <c r="E44" s="50" t="s">
        <v>2181</v>
      </c>
      <c r="F44" s="51">
        <v>0.5</v>
      </c>
      <c r="G44" s="50" t="s">
        <v>287</v>
      </c>
      <c r="H44" s="50" t="s">
        <v>2144</v>
      </c>
      <c r="I44" s="55" t="s">
        <v>306</v>
      </c>
      <c r="J44" s="50" t="s">
        <v>32</v>
      </c>
      <c r="K44" s="50"/>
      <c r="L44" s="50"/>
      <c r="M44" s="50"/>
      <c r="XFC44" s="49"/>
      <c r="XFD44" s="50"/>
    </row>
    <row r="45" spans="1:13 16383:16384">
      <c r="A45" s="49">
        <v>20773</v>
      </c>
      <c r="B45" s="50">
        <v>44898</v>
      </c>
      <c r="C45" s="50" t="s">
        <v>99</v>
      </c>
      <c r="D45" s="50" t="s">
        <v>2184</v>
      </c>
      <c r="E45" s="50" t="s">
        <v>99</v>
      </c>
      <c r="F45" s="51">
        <v>0.50347222222222221</v>
      </c>
      <c r="G45" s="50" t="s">
        <v>295</v>
      </c>
      <c r="H45" s="50" t="s">
        <v>2161</v>
      </c>
      <c r="I45" s="51"/>
      <c r="J45" s="50"/>
      <c r="K45" s="50"/>
      <c r="L45" s="50"/>
      <c r="M45" s="50"/>
      <c r="XFC45" s="49"/>
      <c r="XFD45" s="50"/>
    </row>
    <row r="46" spans="1:13 16383:16384">
      <c r="A46" s="49">
        <v>15569</v>
      </c>
      <c r="B46" s="50">
        <v>44898</v>
      </c>
      <c r="C46" s="50" t="s">
        <v>85</v>
      </c>
      <c r="D46" s="50" t="s">
        <v>142</v>
      </c>
      <c r="E46" s="50" t="s">
        <v>85</v>
      </c>
      <c r="F46" s="51">
        <v>0.51388888888888895</v>
      </c>
      <c r="G46" s="50" t="s">
        <v>968</v>
      </c>
      <c r="H46" s="50" t="s">
        <v>2185</v>
      </c>
      <c r="I46" s="51"/>
      <c r="J46" s="50"/>
      <c r="K46" s="50"/>
      <c r="L46" s="50"/>
      <c r="M46" s="50"/>
      <c r="XFC46" s="49"/>
      <c r="XFD46" s="50"/>
    </row>
    <row r="47" spans="1:13 16383:16384">
      <c r="A47" s="49">
        <v>23065</v>
      </c>
      <c r="B47" s="50">
        <v>44898</v>
      </c>
      <c r="C47" s="50" t="s">
        <v>74</v>
      </c>
      <c r="D47" s="50" t="s">
        <v>74</v>
      </c>
      <c r="E47" s="50" t="s">
        <v>2187</v>
      </c>
      <c r="F47" s="51">
        <v>0.54166666666666663</v>
      </c>
      <c r="G47" s="50" t="s">
        <v>305</v>
      </c>
      <c r="H47" s="50" t="s">
        <v>2144</v>
      </c>
      <c r="I47" s="55" t="s">
        <v>2344</v>
      </c>
      <c r="J47" s="50" t="s">
        <v>74</v>
      </c>
      <c r="K47" s="50"/>
      <c r="L47" s="50"/>
      <c r="M47" s="50"/>
      <c r="XFC47" s="49"/>
      <c r="XFD47" s="50"/>
    </row>
    <row r="48" spans="1:13 16383:16384">
      <c r="A48" s="49">
        <v>20505</v>
      </c>
      <c r="B48" s="50">
        <v>44898</v>
      </c>
      <c r="C48" s="50" t="s">
        <v>57</v>
      </c>
      <c r="D48" s="50" t="s">
        <v>57</v>
      </c>
      <c r="E48" s="50" t="s">
        <v>2186</v>
      </c>
      <c r="F48" s="51">
        <v>0.54166666666666663</v>
      </c>
      <c r="G48" s="50" t="s">
        <v>287</v>
      </c>
      <c r="H48" s="50" t="s">
        <v>2144</v>
      </c>
      <c r="I48" s="51" t="s">
        <v>289</v>
      </c>
      <c r="J48" s="60" t="s">
        <v>301</v>
      </c>
      <c r="K48" s="50"/>
      <c r="L48" s="50"/>
      <c r="M48" s="50"/>
      <c r="XFC48" s="49"/>
      <c r="XFD48" s="50"/>
    </row>
    <row r="49" spans="1:13 16383:16384">
      <c r="A49" s="49">
        <v>17690</v>
      </c>
      <c r="B49" s="50">
        <v>44898</v>
      </c>
      <c r="C49" s="50" t="s">
        <v>82</v>
      </c>
      <c r="D49" s="50" t="s">
        <v>255</v>
      </c>
      <c r="E49" s="50" t="s">
        <v>82</v>
      </c>
      <c r="F49" s="51">
        <v>0.55208333333333337</v>
      </c>
      <c r="G49" s="50" t="s">
        <v>320</v>
      </c>
      <c r="H49" s="50" t="s">
        <v>2148</v>
      </c>
      <c r="I49" s="51"/>
      <c r="J49" s="50"/>
      <c r="K49" s="50"/>
      <c r="L49" s="50"/>
      <c r="M49" s="50"/>
      <c r="XFC49" s="49"/>
      <c r="XFD49" s="50"/>
    </row>
    <row r="50" spans="1:13 16383:16384">
      <c r="A50" s="49">
        <v>15344</v>
      </c>
      <c r="B50" s="50">
        <v>44898</v>
      </c>
      <c r="C50" s="50" t="s">
        <v>91</v>
      </c>
      <c r="D50" s="50" t="s">
        <v>2188</v>
      </c>
      <c r="E50" s="50" t="s">
        <v>91</v>
      </c>
      <c r="F50" s="51">
        <v>0.55555555555555558</v>
      </c>
      <c r="G50" s="50" t="s">
        <v>721</v>
      </c>
      <c r="H50" s="50" t="s">
        <v>2189</v>
      </c>
      <c r="I50" s="51"/>
      <c r="J50" s="50"/>
      <c r="K50" s="50"/>
      <c r="L50" s="50"/>
      <c r="M50" s="50"/>
      <c r="XFC50" s="49"/>
      <c r="XFD50" s="50"/>
    </row>
    <row r="51" spans="1:13 16383:16384">
      <c r="A51" s="49">
        <v>19423</v>
      </c>
      <c r="B51" s="50">
        <v>44898</v>
      </c>
      <c r="C51" s="50" t="s">
        <v>62</v>
      </c>
      <c r="D51" s="50" t="s">
        <v>1096</v>
      </c>
      <c r="E51" s="50" t="s">
        <v>62</v>
      </c>
      <c r="F51" s="51">
        <v>0.58333333333333337</v>
      </c>
      <c r="G51" s="50" t="s">
        <v>985</v>
      </c>
      <c r="H51" s="50" t="s">
        <v>2190</v>
      </c>
      <c r="I51" s="51"/>
      <c r="J51" s="50"/>
      <c r="K51" s="50"/>
      <c r="L51" s="50"/>
      <c r="M51" s="50"/>
      <c r="XFC51" s="49"/>
      <c r="XFD51" s="50"/>
    </row>
    <row r="52" spans="1:13 16383:16384">
      <c r="A52" s="49">
        <v>15927</v>
      </c>
      <c r="B52" s="50">
        <v>44898</v>
      </c>
      <c r="C52" s="50" t="s">
        <v>50</v>
      </c>
      <c r="D52" s="50" t="s">
        <v>50</v>
      </c>
      <c r="E52" s="50" t="s">
        <v>1079</v>
      </c>
      <c r="F52" s="51">
        <v>0.58333333333333337</v>
      </c>
      <c r="G52" s="50" t="s">
        <v>305</v>
      </c>
      <c r="H52" s="50" t="s">
        <v>2144</v>
      </c>
      <c r="I52" s="51" t="s">
        <v>289</v>
      </c>
      <c r="J52" s="60" t="s">
        <v>288</v>
      </c>
      <c r="K52" s="50"/>
      <c r="L52" s="50"/>
      <c r="M52" s="50"/>
      <c r="XFC52" s="49"/>
      <c r="XFD52" s="50"/>
    </row>
    <row r="53" spans="1:13 16383:16384">
      <c r="A53" s="49">
        <v>25556</v>
      </c>
      <c r="B53" s="50">
        <v>44898</v>
      </c>
      <c r="C53" s="50" t="s">
        <v>47</v>
      </c>
      <c r="D53" s="50" t="s">
        <v>47</v>
      </c>
      <c r="E53" s="50" t="s">
        <v>2191</v>
      </c>
      <c r="F53" s="51">
        <v>0.58333333333333337</v>
      </c>
      <c r="G53" s="50" t="s">
        <v>287</v>
      </c>
      <c r="H53" s="50" t="s">
        <v>2144</v>
      </c>
      <c r="I53" s="55" t="s">
        <v>1480</v>
      </c>
      <c r="J53" s="50" t="s">
        <v>47</v>
      </c>
      <c r="K53" s="50"/>
      <c r="L53" s="50"/>
      <c r="M53" s="50"/>
      <c r="XFC53" s="49"/>
      <c r="XFD53" s="50"/>
    </row>
    <row r="54" spans="1:13 16383:16384">
      <c r="A54" s="49">
        <v>27376</v>
      </c>
      <c r="B54" s="50">
        <v>44898</v>
      </c>
      <c r="C54" s="50" t="s">
        <v>95</v>
      </c>
      <c r="D54" s="50" t="s">
        <v>2193</v>
      </c>
      <c r="E54" s="50" t="s">
        <v>95</v>
      </c>
      <c r="F54" s="51">
        <v>0.625</v>
      </c>
      <c r="G54" s="50" t="s">
        <v>546</v>
      </c>
      <c r="H54" s="50" t="s">
        <v>2169</v>
      </c>
      <c r="I54" s="51"/>
      <c r="J54" s="50"/>
      <c r="K54" s="50"/>
      <c r="L54" s="50"/>
      <c r="M54" s="50"/>
      <c r="XFC54" s="49"/>
      <c r="XFD54" s="50"/>
    </row>
    <row r="55" spans="1:13 16383:16384">
      <c r="A55" s="49">
        <v>14978</v>
      </c>
      <c r="B55" s="50">
        <v>44898</v>
      </c>
      <c r="C55" s="50" t="s">
        <v>79</v>
      </c>
      <c r="D55" s="50" t="s">
        <v>79</v>
      </c>
      <c r="E55" s="50" t="s">
        <v>212</v>
      </c>
      <c r="F55" s="51">
        <v>0.625</v>
      </c>
      <c r="G55" s="50" t="s">
        <v>305</v>
      </c>
      <c r="H55" s="50" t="s">
        <v>2144</v>
      </c>
      <c r="I55" s="55" t="s">
        <v>289</v>
      </c>
      <c r="J55" s="60" t="s">
        <v>288</v>
      </c>
      <c r="K55" s="50"/>
      <c r="L55" s="50"/>
      <c r="M55" s="50"/>
      <c r="XFC55" s="49"/>
      <c r="XFD55" s="50"/>
    </row>
    <row r="56" spans="1:13 16383:16384">
      <c r="A56" s="49">
        <v>12748</v>
      </c>
      <c r="B56" s="50">
        <v>44898</v>
      </c>
      <c r="C56" s="50" t="s">
        <v>109</v>
      </c>
      <c r="D56" s="50" t="s">
        <v>2192</v>
      </c>
      <c r="E56" s="50" t="s">
        <v>109</v>
      </c>
      <c r="F56" s="51">
        <v>0.625</v>
      </c>
      <c r="G56" s="50" t="s">
        <v>721</v>
      </c>
      <c r="H56" s="50" t="s">
        <v>2189</v>
      </c>
      <c r="I56" s="51"/>
      <c r="J56" s="50"/>
      <c r="K56" s="50"/>
      <c r="L56" s="50"/>
      <c r="M56" s="50"/>
      <c r="XFC56" s="49"/>
      <c r="XFD56" s="50"/>
    </row>
    <row r="57" spans="1:13 16383:16384">
      <c r="A57" s="49">
        <v>27489</v>
      </c>
      <c r="B57" s="50">
        <v>44898</v>
      </c>
      <c r="C57" s="50" t="s">
        <v>102</v>
      </c>
      <c r="D57" s="50" t="s">
        <v>2194</v>
      </c>
      <c r="E57" s="50" t="s">
        <v>102</v>
      </c>
      <c r="F57" s="51">
        <v>0.67361111111111116</v>
      </c>
      <c r="G57" s="50" t="s">
        <v>2173</v>
      </c>
      <c r="H57" s="50" t="s">
        <v>2174</v>
      </c>
      <c r="I57" s="51"/>
      <c r="J57" s="50"/>
      <c r="K57" s="50"/>
      <c r="L57" s="50"/>
      <c r="M57" s="50"/>
      <c r="XFC57" s="49"/>
      <c r="XFD57" s="50"/>
    </row>
    <row r="58" spans="1:13 16383:16384">
      <c r="A58" s="49">
        <v>29037</v>
      </c>
      <c r="B58" s="50">
        <v>44898</v>
      </c>
      <c r="C58" s="50" t="s">
        <v>112</v>
      </c>
      <c r="D58" s="50" t="s">
        <v>112</v>
      </c>
      <c r="E58" s="50" t="s">
        <v>214</v>
      </c>
      <c r="F58" s="51">
        <v>0.67361111111111116</v>
      </c>
      <c r="G58" s="50" t="s">
        <v>305</v>
      </c>
      <c r="H58" s="50" t="s">
        <v>2144</v>
      </c>
      <c r="I58" s="55" t="s">
        <v>328</v>
      </c>
      <c r="J58" s="50" t="s">
        <v>112</v>
      </c>
      <c r="K58" s="50"/>
      <c r="L58" s="50"/>
      <c r="M58" s="50"/>
      <c r="XFC58" s="49"/>
      <c r="XFD58" s="50"/>
    </row>
    <row r="59" spans="1:13 16383:16384">
      <c r="A59" s="49">
        <v>10622</v>
      </c>
      <c r="B59" s="50">
        <v>44898</v>
      </c>
      <c r="C59" s="50" t="s">
        <v>118</v>
      </c>
      <c r="D59" s="50" t="s">
        <v>2195</v>
      </c>
      <c r="E59" s="50" t="s">
        <v>118</v>
      </c>
      <c r="F59" s="51">
        <v>0.6875</v>
      </c>
      <c r="G59" s="50" t="s">
        <v>721</v>
      </c>
      <c r="H59" s="50" t="s">
        <v>2189</v>
      </c>
      <c r="I59" s="51"/>
      <c r="J59" s="50"/>
      <c r="K59" s="50"/>
      <c r="L59" s="50"/>
      <c r="M59" s="50"/>
      <c r="XFC59" s="49"/>
      <c r="XFD59" s="50"/>
    </row>
    <row r="60" spans="1:13 16383:16384">
      <c r="A60" s="49">
        <v>13211</v>
      </c>
      <c r="B60" s="50">
        <v>44898</v>
      </c>
      <c r="C60" s="50" t="s">
        <v>123</v>
      </c>
      <c r="D60" s="50" t="s">
        <v>270</v>
      </c>
      <c r="E60" s="50" t="s">
        <v>123</v>
      </c>
      <c r="F60" s="51">
        <v>0.72569444444444453</v>
      </c>
      <c r="G60" s="50" t="s">
        <v>295</v>
      </c>
      <c r="H60" s="50" t="s">
        <v>2161</v>
      </c>
      <c r="I60" s="51"/>
      <c r="J60" s="50"/>
      <c r="K60" s="50"/>
      <c r="L60" s="50"/>
      <c r="M60" s="50"/>
      <c r="XFC60" s="49"/>
      <c r="XFD60" s="50"/>
    </row>
    <row r="61" spans="1:13 16383:16384">
      <c r="A61" s="49">
        <v>29149</v>
      </c>
      <c r="B61" s="50">
        <v>44898</v>
      </c>
      <c r="C61" s="50" t="s">
        <v>115</v>
      </c>
      <c r="D61" s="50" t="s">
        <v>2196</v>
      </c>
      <c r="E61" s="50" t="s">
        <v>115</v>
      </c>
      <c r="F61" s="51">
        <v>0.76736111111111116</v>
      </c>
      <c r="G61" s="50" t="s">
        <v>467</v>
      </c>
      <c r="H61" s="50" t="s">
        <v>2158</v>
      </c>
      <c r="I61" s="51"/>
      <c r="J61" s="50"/>
      <c r="K61" s="50"/>
      <c r="L61" s="50"/>
      <c r="M61" s="50"/>
      <c r="XFC61" s="49"/>
      <c r="XFD61" s="50"/>
    </row>
    <row r="62" spans="1:13 16383:16384">
      <c r="A62" s="49">
        <v>29170</v>
      </c>
      <c r="B62" s="50">
        <v>44898</v>
      </c>
      <c r="C62" s="50" t="s">
        <v>105</v>
      </c>
      <c r="D62" s="50" t="s">
        <v>2197</v>
      </c>
      <c r="E62" s="50" t="s">
        <v>105</v>
      </c>
      <c r="F62" s="51">
        <v>0.78125</v>
      </c>
      <c r="G62" s="50" t="s">
        <v>295</v>
      </c>
      <c r="H62" s="50" t="s">
        <v>2161</v>
      </c>
      <c r="I62" s="51"/>
      <c r="J62" s="50"/>
      <c r="K62" s="50"/>
      <c r="L62" s="50"/>
      <c r="M62" s="50"/>
      <c r="XFC62" s="49"/>
      <c r="XFD62" s="50"/>
    </row>
    <row r="63" spans="1:13 16383:16384">
      <c r="A63" s="49">
        <v>28997</v>
      </c>
      <c r="B63" s="50">
        <v>44898</v>
      </c>
      <c r="C63" s="50" t="s">
        <v>569</v>
      </c>
      <c r="D63" s="50" t="s">
        <v>569</v>
      </c>
      <c r="E63" s="50" t="s">
        <v>2198</v>
      </c>
      <c r="F63" s="51">
        <v>0.80902777777777779</v>
      </c>
      <c r="G63" s="50" t="s">
        <v>287</v>
      </c>
      <c r="H63" s="50" t="s">
        <v>2144</v>
      </c>
      <c r="I63" s="55" t="s">
        <v>288</v>
      </c>
      <c r="J63" s="50" t="s">
        <v>569</v>
      </c>
      <c r="K63" s="50"/>
      <c r="L63" s="50"/>
      <c r="M63" s="50"/>
      <c r="XFC63" s="49"/>
      <c r="XFD63" s="50"/>
    </row>
    <row r="64" spans="1:13 16383:16384">
      <c r="A64" s="49">
        <v>13063</v>
      </c>
      <c r="B64" s="50">
        <v>44905</v>
      </c>
      <c r="C64" s="50" t="s">
        <v>53</v>
      </c>
      <c r="D64" s="50" t="s">
        <v>2202</v>
      </c>
      <c r="E64" s="50" t="s">
        <v>53</v>
      </c>
      <c r="F64" s="51">
        <v>0.375</v>
      </c>
      <c r="G64" s="50" t="s">
        <v>678</v>
      </c>
      <c r="H64" s="50" t="s">
        <v>2151</v>
      </c>
      <c r="I64" s="51"/>
      <c r="J64" s="50"/>
      <c r="K64" s="50"/>
      <c r="L64" s="50"/>
      <c r="M64" s="50"/>
      <c r="XFC64" s="49"/>
      <c r="XFD64" s="50"/>
    </row>
    <row r="65" spans="1:13 16383:16384">
      <c r="A65" s="49">
        <v>34069</v>
      </c>
      <c r="B65" s="50">
        <v>44905</v>
      </c>
      <c r="C65" s="50" t="s">
        <v>346</v>
      </c>
      <c r="D65" s="50" t="s">
        <v>2205</v>
      </c>
      <c r="E65" s="50" t="s">
        <v>346</v>
      </c>
      <c r="F65" s="51">
        <v>0.375</v>
      </c>
      <c r="G65" s="50" t="s">
        <v>678</v>
      </c>
      <c r="H65" s="50" t="s">
        <v>2151</v>
      </c>
      <c r="I65" s="51"/>
      <c r="J65" s="50"/>
      <c r="K65" s="50"/>
      <c r="L65" s="50"/>
      <c r="M65" s="50"/>
      <c r="XFC65" s="49"/>
      <c r="XFD65" s="50"/>
    </row>
    <row r="66" spans="1:13 16383:16384">
      <c r="A66" s="49">
        <v>15910</v>
      </c>
      <c r="B66" s="50">
        <v>44905</v>
      </c>
      <c r="C66" s="50" t="s">
        <v>40</v>
      </c>
      <c r="D66" s="50" t="s">
        <v>739</v>
      </c>
      <c r="E66" s="50" t="s">
        <v>40</v>
      </c>
      <c r="F66" s="51">
        <v>0.375</v>
      </c>
      <c r="G66" s="50" t="s">
        <v>454</v>
      </c>
      <c r="H66" s="50" t="s">
        <v>2158</v>
      </c>
      <c r="I66" s="51"/>
      <c r="J66" s="50"/>
      <c r="K66" s="50"/>
      <c r="L66" s="50"/>
      <c r="M66" s="50"/>
      <c r="XFC66" s="49"/>
      <c r="XFD66" s="50"/>
    </row>
    <row r="67" spans="1:13 16383:16384">
      <c r="A67" s="49">
        <v>20464</v>
      </c>
      <c r="B67" s="50">
        <v>44905</v>
      </c>
      <c r="C67" s="50" t="s">
        <v>28</v>
      </c>
      <c r="D67" s="50" t="s">
        <v>28</v>
      </c>
      <c r="E67" s="50" t="s">
        <v>29</v>
      </c>
      <c r="F67" s="51">
        <v>0.375</v>
      </c>
      <c r="G67" s="50" t="s">
        <v>287</v>
      </c>
      <c r="H67" s="50" t="s">
        <v>2144</v>
      </c>
      <c r="I67" s="55" t="s">
        <v>506</v>
      </c>
      <c r="J67" s="50" t="s">
        <v>28</v>
      </c>
      <c r="K67" s="50"/>
      <c r="L67" s="50"/>
      <c r="M67" s="50"/>
      <c r="XFC67" s="49"/>
      <c r="XFD67" s="50"/>
    </row>
    <row r="68" spans="1:13 16383:16384">
      <c r="A68" s="49">
        <v>15908</v>
      </c>
      <c r="B68" s="50">
        <v>44905</v>
      </c>
      <c r="C68" s="50" t="s">
        <v>64</v>
      </c>
      <c r="D68" s="50" t="s">
        <v>2199</v>
      </c>
      <c r="E68" s="50" t="s">
        <v>64</v>
      </c>
      <c r="F68" s="51">
        <v>0.375</v>
      </c>
      <c r="G68" s="50" t="s">
        <v>1854</v>
      </c>
      <c r="H68" s="50" t="s">
        <v>2200</v>
      </c>
      <c r="I68" s="51"/>
      <c r="J68" s="50"/>
      <c r="K68" s="50"/>
      <c r="L68" s="50"/>
      <c r="M68" s="50"/>
      <c r="XFC68" s="49"/>
      <c r="XFD68" s="50"/>
    </row>
    <row r="69" spans="1:13 16383:16384">
      <c r="A69" s="49">
        <v>15949</v>
      </c>
      <c r="B69" s="50">
        <v>44905</v>
      </c>
      <c r="C69" s="50" t="s">
        <v>20</v>
      </c>
      <c r="D69" s="50" t="s">
        <v>2201</v>
      </c>
      <c r="E69" s="50" t="s">
        <v>20</v>
      </c>
      <c r="F69" s="51">
        <v>0.375</v>
      </c>
      <c r="G69" s="50" t="s">
        <v>757</v>
      </c>
      <c r="H69" s="50" t="s">
        <v>2154</v>
      </c>
      <c r="I69" s="51"/>
      <c r="J69" s="50"/>
      <c r="K69" s="50"/>
      <c r="L69" s="50"/>
      <c r="M69" s="50"/>
      <c r="XFC69" s="49"/>
      <c r="XFD69" s="50"/>
    </row>
    <row r="70" spans="1:13 16383:16384">
      <c r="A70" s="49">
        <v>34022</v>
      </c>
      <c r="B70" s="50">
        <v>44905</v>
      </c>
      <c r="C70" s="50" t="s">
        <v>25</v>
      </c>
      <c r="D70" s="50" t="s">
        <v>2203</v>
      </c>
      <c r="E70" s="50" t="s">
        <v>25</v>
      </c>
      <c r="F70" s="51">
        <v>0.375</v>
      </c>
      <c r="G70" s="50" t="s">
        <v>874</v>
      </c>
      <c r="H70" s="50" t="s">
        <v>2204</v>
      </c>
      <c r="I70" s="51"/>
      <c r="J70" s="50"/>
      <c r="K70" s="50"/>
      <c r="L70" s="50"/>
      <c r="M70" s="50"/>
      <c r="XFC70" s="49"/>
      <c r="XFD70" s="50"/>
    </row>
    <row r="71" spans="1:13 16383:16384">
      <c r="A71" s="49">
        <v>15924</v>
      </c>
      <c r="B71" s="50">
        <v>44905</v>
      </c>
      <c r="C71" s="50" t="s">
        <v>36</v>
      </c>
      <c r="D71" s="50" t="s">
        <v>36</v>
      </c>
      <c r="E71" s="50" t="s">
        <v>2206</v>
      </c>
      <c r="F71" s="51">
        <v>0.41666666666666669</v>
      </c>
      <c r="G71" s="50" t="s">
        <v>305</v>
      </c>
      <c r="H71" s="50" t="s">
        <v>2144</v>
      </c>
      <c r="I71" s="55" t="s">
        <v>2132</v>
      </c>
      <c r="J71" s="50" t="s">
        <v>36</v>
      </c>
      <c r="K71" s="50"/>
      <c r="L71" s="50"/>
      <c r="M71" s="50"/>
      <c r="XFC71" s="49"/>
      <c r="XFD71" s="50"/>
    </row>
    <row r="72" spans="1:13 16383:16384">
      <c r="A72" s="49">
        <v>33847</v>
      </c>
      <c r="B72" s="50">
        <v>44905</v>
      </c>
      <c r="C72" s="50" t="s">
        <v>711</v>
      </c>
      <c r="D72" s="50" t="s">
        <v>711</v>
      </c>
      <c r="E72" s="50" t="s">
        <v>716</v>
      </c>
      <c r="F72" s="51">
        <v>0.41666666666666669</v>
      </c>
      <c r="G72" s="50" t="s">
        <v>305</v>
      </c>
      <c r="H72" s="50" t="s">
        <v>2144</v>
      </c>
      <c r="I72" s="55" t="s">
        <v>800</v>
      </c>
      <c r="J72" s="50" t="s">
        <v>711</v>
      </c>
      <c r="K72" s="50"/>
      <c r="L72" s="50"/>
      <c r="M72" s="50"/>
      <c r="XFC72" s="49"/>
      <c r="XFD72" s="50"/>
    </row>
    <row r="73" spans="1:13 16383:16384">
      <c r="A73" s="49">
        <v>20929</v>
      </c>
      <c r="B73" s="50">
        <v>44905</v>
      </c>
      <c r="C73" s="50" t="s">
        <v>99</v>
      </c>
      <c r="D73" s="50" t="s">
        <v>99</v>
      </c>
      <c r="E73" s="50" t="s">
        <v>2211</v>
      </c>
      <c r="F73" s="51">
        <v>0.41666666666666669</v>
      </c>
      <c r="G73" s="50" t="s">
        <v>287</v>
      </c>
      <c r="H73" s="50" t="s">
        <v>2144</v>
      </c>
      <c r="I73" s="51" t="s">
        <v>289</v>
      </c>
      <c r="J73" s="60" t="s">
        <v>606</v>
      </c>
      <c r="K73" s="50"/>
      <c r="L73" s="50"/>
      <c r="M73" s="50"/>
      <c r="XFC73" s="49"/>
      <c r="XFD73" s="50"/>
    </row>
    <row r="74" spans="1:13 16383:16384">
      <c r="A74" s="49">
        <v>15923</v>
      </c>
      <c r="B74" s="50">
        <v>44905</v>
      </c>
      <c r="C74" s="50" t="s">
        <v>67</v>
      </c>
      <c r="D74" s="50" t="s">
        <v>67</v>
      </c>
      <c r="E74" s="50" t="s">
        <v>2207</v>
      </c>
      <c r="F74" s="51">
        <v>0.45833333333333331</v>
      </c>
      <c r="G74" s="50" t="s">
        <v>305</v>
      </c>
      <c r="H74" s="50" t="s">
        <v>2144</v>
      </c>
      <c r="I74" s="55" t="s">
        <v>338</v>
      </c>
      <c r="J74" s="50" t="s">
        <v>67</v>
      </c>
      <c r="K74" s="50"/>
      <c r="L74" s="50"/>
      <c r="M74" s="50"/>
      <c r="XFC74" s="49"/>
      <c r="XFD74" s="50"/>
    </row>
    <row r="75" spans="1:13 16383:16384">
      <c r="A75" s="49">
        <v>13032</v>
      </c>
      <c r="B75" s="50">
        <v>44905</v>
      </c>
      <c r="C75" s="50" t="s">
        <v>43</v>
      </c>
      <c r="D75" s="50" t="s">
        <v>43</v>
      </c>
      <c r="E75" s="50" t="s">
        <v>2208</v>
      </c>
      <c r="F75" s="51">
        <v>0.45833333333333331</v>
      </c>
      <c r="G75" s="50" t="s">
        <v>305</v>
      </c>
      <c r="H75" s="50" t="s">
        <v>2144</v>
      </c>
      <c r="I75" s="55" t="s">
        <v>2080</v>
      </c>
      <c r="J75" s="50" t="s">
        <v>43</v>
      </c>
      <c r="K75" s="50"/>
      <c r="L75" s="50"/>
      <c r="M75" s="50"/>
      <c r="XFC75" s="49"/>
      <c r="XFD75" s="50"/>
    </row>
    <row r="76" spans="1:13 16383:16384">
      <c r="A76" s="49">
        <v>28684</v>
      </c>
      <c r="B76" s="50">
        <v>44905</v>
      </c>
      <c r="C76" s="50" t="s">
        <v>102</v>
      </c>
      <c r="D76" s="50" t="s">
        <v>102</v>
      </c>
      <c r="E76" s="50" t="s">
        <v>2209</v>
      </c>
      <c r="F76" s="51">
        <v>0.46527777777777773</v>
      </c>
      <c r="G76" s="50" t="s">
        <v>287</v>
      </c>
      <c r="H76" s="50" t="s">
        <v>2144</v>
      </c>
      <c r="I76" s="55" t="s">
        <v>1964</v>
      </c>
      <c r="J76" s="50" t="s">
        <v>102</v>
      </c>
      <c r="K76" s="50"/>
      <c r="L76" s="50"/>
      <c r="M76" s="50"/>
      <c r="XFC76" s="49"/>
      <c r="XFD76" s="50"/>
    </row>
    <row r="77" spans="1:13 16383:16384">
      <c r="A77" s="49">
        <v>27539</v>
      </c>
      <c r="B77" s="50">
        <v>44905</v>
      </c>
      <c r="C77" s="50" t="s">
        <v>95</v>
      </c>
      <c r="D77" s="50" t="s">
        <v>158</v>
      </c>
      <c r="E77" s="50" t="s">
        <v>95</v>
      </c>
      <c r="F77" s="51">
        <v>0.5</v>
      </c>
      <c r="G77" s="50" t="s">
        <v>441</v>
      </c>
      <c r="H77" s="50" t="s">
        <v>2210</v>
      </c>
      <c r="I77" s="51"/>
      <c r="J77" s="50"/>
      <c r="K77" s="50"/>
      <c r="L77" s="50"/>
      <c r="M77" s="50"/>
      <c r="XFC77" s="49"/>
      <c r="XFD77" s="50"/>
    </row>
    <row r="78" spans="1:13 16383:16384">
      <c r="A78" s="49">
        <v>20452</v>
      </c>
      <c r="B78" s="50">
        <v>44905</v>
      </c>
      <c r="C78" s="50" t="s">
        <v>15</v>
      </c>
      <c r="D78" s="50" t="s">
        <v>15</v>
      </c>
      <c r="E78" s="50" t="s">
        <v>1056</v>
      </c>
      <c r="F78" s="51">
        <v>0.5</v>
      </c>
      <c r="G78" s="60" t="s">
        <v>305</v>
      </c>
      <c r="H78" s="50" t="s">
        <v>2144</v>
      </c>
      <c r="I78" s="55" t="s">
        <v>550</v>
      </c>
      <c r="J78" s="50" t="s">
        <v>15</v>
      </c>
      <c r="K78" s="50"/>
      <c r="L78" s="50"/>
      <c r="M78" s="50"/>
      <c r="XFC78" s="49"/>
      <c r="XFD78" s="50"/>
    </row>
    <row r="79" spans="1:13 16383:16384">
      <c r="A79" s="49">
        <v>15577</v>
      </c>
      <c r="B79" s="50">
        <v>44905</v>
      </c>
      <c r="C79" s="50" t="s">
        <v>85</v>
      </c>
      <c r="D79" s="50" t="s">
        <v>85</v>
      </c>
      <c r="E79" s="50" t="s">
        <v>2212</v>
      </c>
      <c r="F79" s="51">
        <v>0.52083333333333337</v>
      </c>
      <c r="G79" s="50" t="s">
        <v>287</v>
      </c>
      <c r="H79" s="50" t="s">
        <v>2144</v>
      </c>
      <c r="I79" s="51" t="s">
        <v>289</v>
      </c>
      <c r="J79" s="60" t="s">
        <v>584</v>
      </c>
      <c r="K79" s="50"/>
      <c r="L79" s="50"/>
      <c r="M79" s="50"/>
      <c r="XFC79" s="49"/>
      <c r="XFD79" s="50"/>
    </row>
    <row r="80" spans="1:13 16383:16384">
      <c r="A80" s="49">
        <v>20463</v>
      </c>
      <c r="B80" s="50">
        <v>44905</v>
      </c>
      <c r="C80" s="50" t="s">
        <v>32</v>
      </c>
      <c r="D80" s="50" t="s">
        <v>32</v>
      </c>
      <c r="E80" s="50" t="s">
        <v>2213</v>
      </c>
      <c r="F80" s="51">
        <v>0.54166666666666663</v>
      </c>
      <c r="G80" s="50" t="s">
        <v>305</v>
      </c>
      <c r="H80" s="50" t="s">
        <v>2144</v>
      </c>
      <c r="I80" s="55" t="s">
        <v>584</v>
      </c>
      <c r="J80" s="50" t="s">
        <v>32</v>
      </c>
      <c r="K80" s="50"/>
      <c r="L80" s="50"/>
      <c r="M80" s="50"/>
      <c r="XFC80" s="49"/>
      <c r="XFD80" s="50"/>
    </row>
    <row r="81" spans="1:13 16383:16384">
      <c r="A81" s="49">
        <v>15793</v>
      </c>
      <c r="B81" s="50">
        <v>44905</v>
      </c>
      <c r="C81" s="50" t="s">
        <v>50</v>
      </c>
      <c r="D81" s="50" t="s">
        <v>256</v>
      </c>
      <c r="E81" s="50" t="s">
        <v>50</v>
      </c>
      <c r="F81" s="51">
        <v>0.55902777777777779</v>
      </c>
      <c r="G81" s="50" t="s">
        <v>1771</v>
      </c>
      <c r="H81" s="50" t="s">
        <v>2214</v>
      </c>
      <c r="I81" s="51"/>
      <c r="J81" s="50"/>
      <c r="K81" s="50"/>
      <c r="L81" s="50"/>
      <c r="M81" s="50"/>
      <c r="XFC81" s="49"/>
      <c r="XFD81" s="50"/>
    </row>
    <row r="82" spans="1:13 16383:16384">
      <c r="A82" s="49">
        <v>17718</v>
      </c>
      <c r="B82" s="50">
        <v>44905</v>
      </c>
      <c r="C82" s="50" t="s">
        <v>82</v>
      </c>
      <c r="D82" s="50" t="s">
        <v>82</v>
      </c>
      <c r="E82" s="50" t="s">
        <v>227</v>
      </c>
      <c r="F82" s="51">
        <v>0.57291666666666663</v>
      </c>
      <c r="G82" s="50" t="s">
        <v>287</v>
      </c>
      <c r="H82" s="50" t="s">
        <v>2144</v>
      </c>
      <c r="I82" s="51" t="s">
        <v>289</v>
      </c>
      <c r="J82" s="60" t="s">
        <v>584</v>
      </c>
      <c r="K82" s="50"/>
      <c r="L82" s="50"/>
      <c r="M82" s="50"/>
      <c r="XFC82" s="49"/>
      <c r="XFD82" s="50"/>
    </row>
    <row r="83" spans="1:13 16383:16384">
      <c r="A83" s="49">
        <v>20520</v>
      </c>
      <c r="B83" s="50">
        <v>44905</v>
      </c>
      <c r="C83" s="50" t="s">
        <v>57</v>
      </c>
      <c r="D83" s="50" t="s">
        <v>57</v>
      </c>
      <c r="E83" s="50" t="s">
        <v>2215</v>
      </c>
      <c r="F83" s="51">
        <v>0.58333333333333337</v>
      </c>
      <c r="G83" s="50" t="s">
        <v>305</v>
      </c>
      <c r="H83" s="50" t="s">
        <v>2144</v>
      </c>
      <c r="I83" s="51" t="s">
        <v>289</v>
      </c>
      <c r="J83" s="60" t="s">
        <v>567</v>
      </c>
      <c r="K83" s="50"/>
      <c r="L83" s="50"/>
      <c r="M83" s="50"/>
      <c r="XFC83" s="49"/>
      <c r="XFD83" s="50"/>
    </row>
    <row r="84" spans="1:13 16383:16384">
      <c r="A84" s="49">
        <v>29937</v>
      </c>
      <c r="B84" s="50">
        <v>44905</v>
      </c>
      <c r="C84" s="50" t="s">
        <v>115</v>
      </c>
      <c r="D84" s="50" t="s">
        <v>2216</v>
      </c>
      <c r="E84" s="50" t="s">
        <v>115</v>
      </c>
      <c r="F84" s="51">
        <v>0.625</v>
      </c>
      <c r="G84" s="50" t="s">
        <v>381</v>
      </c>
      <c r="H84" s="50" t="s">
        <v>2180</v>
      </c>
      <c r="I84" s="51"/>
      <c r="J84" s="50"/>
      <c r="K84" s="50"/>
      <c r="L84" s="50"/>
      <c r="M84" s="50"/>
      <c r="XFC84" s="49"/>
      <c r="XFD84" s="50"/>
    </row>
    <row r="85" spans="1:13 16383:16384">
      <c r="A85" s="49">
        <v>23274</v>
      </c>
      <c r="B85" s="50">
        <v>44905</v>
      </c>
      <c r="C85" s="50" t="s">
        <v>71</v>
      </c>
      <c r="D85" s="50" t="s">
        <v>71</v>
      </c>
      <c r="E85" s="50" t="s">
        <v>2217</v>
      </c>
      <c r="F85" s="51">
        <v>0.625</v>
      </c>
      <c r="G85" s="50" t="s">
        <v>305</v>
      </c>
      <c r="H85" s="50" t="s">
        <v>2144</v>
      </c>
      <c r="I85" s="55" t="s">
        <v>566</v>
      </c>
      <c r="J85" s="50" t="s">
        <v>71</v>
      </c>
      <c r="K85" s="50"/>
      <c r="L85" s="50"/>
      <c r="M85" s="50"/>
      <c r="XFC85" s="49"/>
      <c r="XFD85" s="50"/>
    </row>
    <row r="86" spans="1:13 16383:16384">
      <c r="A86" s="49">
        <v>15356</v>
      </c>
      <c r="B86" s="50">
        <v>44905</v>
      </c>
      <c r="C86" s="50" t="s">
        <v>91</v>
      </c>
      <c r="D86" s="50" t="s">
        <v>91</v>
      </c>
      <c r="E86" s="50" t="s">
        <v>2218</v>
      </c>
      <c r="F86" s="51">
        <v>0.62847222222222221</v>
      </c>
      <c r="G86" s="50" t="s">
        <v>287</v>
      </c>
      <c r="H86" s="50" t="s">
        <v>2144</v>
      </c>
      <c r="I86" s="51" t="s">
        <v>289</v>
      </c>
      <c r="J86" s="60" t="s">
        <v>301</v>
      </c>
      <c r="K86" s="50"/>
      <c r="L86" s="50"/>
      <c r="M86" s="50"/>
      <c r="XFC86" s="49"/>
      <c r="XFD86" s="50"/>
    </row>
    <row r="87" spans="1:13 16383:16384">
      <c r="A87" s="49">
        <v>19439</v>
      </c>
      <c r="B87" s="50">
        <v>44905</v>
      </c>
      <c r="C87" s="50" t="s">
        <v>62</v>
      </c>
      <c r="D87" s="50" t="s">
        <v>267</v>
      </c>
      <c r="E87" s="50" t="s">
        <v>62</v>
      </c>
      <c r="F87" s="51">
        <v>0.62847222222222221</v>
      </c>
      <c r="G87" s="50" t="s">
        <v>2219</v>
      </c>
      <c r="H87" s="50" t="s">
        <v>2220</v>
      </c>
      <c r="I87" s="51"/>
      <c r="J87" s="50"/>
      <c r="K87" s="50"/>
      <c r="L87" s="50"/>
      <c r="M87" s="50"/>
      <c r="XFC87" s="49"/>
      <c r="XFD87" s="50"/>
    </row>
    <row r="88" spans="1:13 16383:16384">
      <c r="A88" s="49">
        <v>14205</v>
      </c>
      <c r="B88" s="50">
        <v>44905</v>
      </c>
      <c r="C88" s="50" t="s">
        <v>88</v>
      </c>
      <c r="D88" s="50" t="s">
        <v>251</v>
      </c>
      <c r="E88" s="50" t="s">
        <v>88</v>
      </c>
      <c r="F88" s="51">
        <v>0.64583333333333337</v>
      </c>
      <c r="G88" s="50" t="s">
        <v>589</v>
      </c>
      <c r="H88" s="50" t="s">
        <v>2221</v>
      </c>
      <c r="I88" s="51"/>
      <c r="J88" s="50"/>
      <c r="K88" s="50"/>
      <c r="L88" s="50"/>
      <c r="M88" s="50"/>
      <c r="XFC88" s="49"/>
      <c r="XFD88" s="50"/>
    </row>
    <row r="89" spans="1:13 16383:16384">
      <c r="A89" s="49">
        <v>14206</v>
      </c>
      <c r="B89" s="50">
        <v>44905</v>
      </c>
      <c r="C89" s="50" t="s">
        <v>79</v>
      </c>
      <c r="D89" s="50" t="s">
        <v>2222</v>
      </c>
      <c r="E89" s="50" t="s">
        <v>79</v>
      </c>
      <c r="F89" s="51">
        <v>0.65625</v>
      </c>
      <c r="G89" s="50" t="s">
        <v>334</v>
      </c>
      <c r="H89" s="50" t="s">
        <v>2151</v>
      </c>
      <c r="I89" s="51"/>
      <c r="J89" s="50"/>
      <c r="K89" s="50"/>
      <c r="L89" s="50"/>
      <c r="M89" s="50"/>
      <c r="XFC89" s="49"/>
      <c r="XFD89" s="50"/>
    </row>
    <row r="90" spans="1:13 16383:16384">
      <c r="A90" s="49">
        <v>25692</v>
      </c>
      <c r="B90" s="50">
        <v>44905</v>
      </c>
      <c r="C90" s="50" t="s">
        <v>47</v>
      </c>
      <c r="D90" s="50" t="s">
        <v>47</v>
      </c>
      <c r="E90" s="50" t="s">
        <v>2223</v>
      </c>
      <c r="F90" s="51">
        <v>0.66666666666666663</v>
      </c>
      <c r="G90" s="50" t="s">
        <v>305</v>
      </c>
      <c r="H90" s="50" t="s">
        <v>2144</v>
      </c>
      <c r="I90" s="55" t="s">
        <v>301</v>
      </c>
      <c r="J90" s="50" t="s">
        <v>47</v>
      </c>
      <c r="K90" s="50"/>
      <c r="L90" s="50"/>
      <c r="M90" s="50"/>
      <c r="XFC90" s="49"/>
      <c r="XFD90" s="50"/>
    </row>
    <row r="91" spans="1:13 16383:16384">
      <c r="A91" s="49">
        <v>12766</v>
      </c>
      <c r="B91" s="50">
        <v>44905</v>
      </c>
      <c r="C91" s="50" t="s">
        <v>109</v>
      </c>
      <c r="D91" s="50" t="s">
        <v>109</v>
      </c>
      <c r="E91" s="50" t="s">
        <v>234</v>
      </c>
      <c r="F91" s="51">
        <v>0.69444444444444453</v>
      </c>
      <c r="G91" s="50" t="s">
        <v>287</v>
      </c>
      <c r="H91" s="50" t="s">
        <v>2144</v>
      </c>
      <c r="I91" s="51" t="s">
        <v>289</v>
      </c>
      <c r="J91" s="60" t="s">
        <v>301</v>
      </c>
      <c r="K91" s="50"/>
      <c r="L91" s="50"/>
      <c r="M91" s="50"/>
      <c r="XFC91" s="49"/>
      <c r="XFD91" s="50"/>
    </row>
    <row r="92" spans="1:13 16383:16384">
      <c r="A92" s="49">
        <v>10639</v>
      </c>
      <c r="B92" s="50">
        <v>44905</v>
      </c>
      <c r="C92" s="50" t="s">
        <v>118</v>
      </c>
      <c r="D92" s="50" t="s">
        <v>118</v>
      </c>
      <c r="E92" s="50" t="s">
        <v>2224</v>
      </c>
      <c r="F92" s="51">
        <v>0.75</v>
      </c>
      <c r="G92" s="50" t="s">
        <v>287</v>
      </c>
      <c r="H92" s="50" t="s">
        <v>2144</v>
      </c>
      <c r="I92" s="51" t="s">
        <v>289</v>
      </c>
      <c r="J92" s="60" t="s">
        <v>566</v>
      </c>
      <c r="K92" s="50"/>
      <c r="L92" s="50"/>
      <c r="M92" s="50"/>
      <c r="XFC92" s="49"/>
      <c r="XFD92" s="50"/>
    </row>
    <row r="93" spans="1:13 16383:16384">
      <c r="A93" s="49">
        <v>29399</v>
      </c>
      <c r="B93" s="50">
        <v>44905</v>
      </c>
      <c r="C93" s="50" t="s">
        <v>112</v>
      </c>
      <c r="D93" s="50" t="s">
        <v>2225</v>
      </c>
      <c r="E93" s="50" t="s">
        <v>112</v>
      </c>
      <c r="F93" s="51">
        <v>0.77083333333333337</v>
      </c>
      <c r="G93" s="50" t="s">
        <v>2219</v>
      </c>
      <c r="H93" s="50" t="s">
        <v>2220</v>
      </c>
      <c r="I93" s="51"/>
      <c r="J93" s="50"/>
      <c r="K93" s="50"/>
      <c r="L93" s="50"/>
      <c r="M93" s="50"/>
      <c r="XFC93" s="49"/>
      <c r="XFD93" s="50"/>
    </row>
    <row r="94" spans="1:13 16383:16384">
      <c r="A94" s="49">
        <v>13262</v>
      </c>
      <c r="B94" s="50">
        <v>44905</v>
      </c>
      <c r="C94" s="50" t="s">
        <v>123</v>
      </c>
      <c r="D94" s="50" t="s">
        <v>123</v>
      </c>
      <c r="E94" s="50" t="s">
        <v>291</v>
      </c>
      <c r="F94" s="51">
        <v>0.80902777777777779</v>
      </c>
      <c r="G94" s="50" t="s">
        <v>287</v>
      </c>
      <c r="H94" s="50" t="s">
        <v>2144</v>
      </c>
      <c r="I94" s="51" t="s">
        <v>289</v>
      </c>
      <c r="J94" s="60" t="s">
        <v>566</v>
      </c>
      <c r="K94" s="50"/>
      <c r="L94" s="50"/>
      <c r="M94" s="50"/>
      <c r="XFC94" s="49"/>
      <c r="XFD94" s="50"/>
    </row>
    <row r="95" spans="1:13 16383:16384">
      <c r="A95" s="49">
        <v>29394</v>
      </c>
      <c r="B95" s="50">
        <v>44905</v>
      </c>
      <c r="C95" s="50" t="s">
        <v>120</v>
      </c>
      <c r="D95" s="50" t="s">
        <v>120</v>
      </c>
      <c r="E95" s="50" t="s">
        <v>2226</v>
      </c>
      <c r="F95" s="51">
        <v>0.85763888888888884</v>
      </c>
      <c r="G95" s="50" t="s">
        <v>287</v>
      </c>
      <c r="H95" s="50" t="s">
        <v>2144</v>
      </c>
      <c r="I95" s="55" t="s">
        <v>298</v>
      </c>
      <c r="J95" s="50" t="s">
        <v>120</v>
      </c>
      <c r="K95" s="50"/>
      <c r="L95" s="50"/>
      <c r="M95" s="50"/>
      <c r="XFC95" s="49"/>
      <c r="XFD95" s="50"/>
    </row>
    <row r="96" spans="1:13 16383:16384">
      <c r="A96" s="49">
        <v>18174</v>
      </c>
      <c r="B96" s="50">
        <v>44912</v>
      </c>
      <c r="C96" s="50" t="s">
        <v>67</v>
      </c>
      <c r="D96" s="50" t="s">
        <v>2227</v>
      </c>
      <c r="E96" s="50" t="s">
        <v>67</v>
      </c>
      <c r="F96" s="51">
        <v>0.375</v>
      </c>
      <c r="G96" s="50" t="s">
        <v>295</v>
      </c>
      <c r="H96" s="50" t="s">
        <v>2161</v>
      </c>
      <c r="I96" s="51"/>
      <c r="J96" s="50"/>
      <c r="K96" s="50"/>
      <c r="L96" s="50"/>
      <c r="M96" s="50"/>
      <c r="XFC96" s="49"/>
      <c r="XFD96" s="50"/>
    </row>
    <row r="97" spans="1:13 16383:16384">
      <c r="A97" s="49">
        <v>16247</v>
      </c>
      <c r="B97" s="50">
        <v>44912</v>
      </c>
      <c r="C97" s="50" t="s">
        <v>64</v>
      </c>
      <c r="D97" s="50" t="s">
        <v>64</v>
      </c>
      <c r="E97" s="50" t="s">
        <v>2228</v>
      </c>
      <c r="F97" s="51">
        <v>0.38541666666666669</v>
      </c>
      <c r="G97" s="50" t="s">
        <v>305</v>
      </c>
      <c r="H97" s="50" t="s">
        <v>2144</v>
      </c>
      <c r="I97" s="55" t="s">
        <v>1955</v>
      </c>
      <c r="J97" s="50" t="s">
        <v>64</v>
      </c>
      <c r="K97" s="50"/>
      <c r="L97" s="50"/>
      <c r="M97" s="50"/>
      <c r="XFC97" s="49"/>
      <c r="XFD97" s="50"/>
    </row>
    <row r="98" spans="1:13 16383:16384">
      <c r="A98" s="49">
        <v>16246</v>
      </c>
      <c r="B98" s="50">
        <v>44912</v>
      </c>
      <c r="C98" s="50" t="s">
        <v>40</v>
      </c>
      <c r="D98" s="50" t="s">
        <v>40</v>
      </c>
      <c r="E98" s="50" t="s">
        <v>132</v>
      </c>
      <c r="F98" s="51">
        <v>0.38541666666666669</v>
      </c>
      <c r="G98" s="50" t="s">
        <v>305</v>
      </c>
      <c r="H98" s="50" t="s">
        <v>2144</v>
      </c>
      <c r="I98" s="55" t="s">
        <v>785</v>
      </c>
      <c r="J98" s="50" t="s">
        <v>40</v>
      </c>
      <c r="K98" s="50"/>
      <c r="L98" s="50"/>
      <c r="M98" s="50"/>
      <c r="XFC98" s="49"/>
      <c r="XFD98" s="50"/>
    </row>
    <row r="99" spans="1:13 16383:16384">
      <c r="A99" s="49">
        <v>13277</v>
      </c>
      <c r="B99" s="50">
        <v>44912</v>
      </c>
      <c r="C99" s="50" t="s">
        <v>53</v>
      </c>
      <c r="D99" s="50" t="s">
        <v>53</v>
      </c>
      <c r="E99" s="50" t="s">
        <v>861</v>
      </c>
      <c r="F99" s="51">
        <v>0.38541666666666669</v>
      </c>
      <c r="G99" s="50" t="s">
        <v>305</v>
      </c>
      <c r="H99" s="50" t="s">
        <v>2144</v>
      </c>
      <c r="I99" s="55" t="s">
        <v>399</v>
      </c>
      <c r="J99" s="50" t="s">
        <v>53</v>
      </c>
      <c r="K99" s="50"/>
      <c r="L99" s="50"/>
      <c r="M99" s="50"/>
      <c r="XFC99" s="49"/>
      <c r="XFD99" s="50"/>
    </row>
    <row r="100" spans="1:13 16383:16384">
      <c r="A100" s="49">
        <v>23367</v>
      </c>
      <c r="B100" s="50">
        <v>44912</v>
      </c>
      <c r="C100" s="50" t="s">
        <v>71</v>
      </c>
      <c r="D100" s="50" t="s">
        <v>2229</v>
      </c>
      <c r="E100" s="50" t="s">
        <v>71</v>
      </c>
      <c r="F100" s="51">
        <v>0.41666666666666669</v>
      </c>
      <c r="G100" s="50" t="s">
        <v>430</v>
      </c>
      <c r="H100" s="50" t="s">
        <v>2230</v>
      </c>
      <c r="I100" s="51"/>
      <c r="J100" s="50"/>
      <c r="K100" s="50"/>
      <c r="L100" s="50"/>
      <c r="M100" s="50"/>
      <c r="XFC100" s="49"/>
      <c r="XFD100" s="50"/>
    </row>
    <row r="101" spans="1:13 16383:16384">
      <c r="A101" s="49">
        <v>18173</v>
      </c>
      <c r="B101" s="50">
        <v>44912</v>
      </c>
      <c r="C101" s="50" t="s">
        <v>36</v>
      </c>
      <c r="D101" s="50" t="s">
        <v>2231</v>
      </c>
      <c r="E101" s="50" t="s">
        <v>36</v>
      </c>
      <c r="F101" s="51">
        <v>0.41666666666666669</v>
      </c>
      <c r="G101" s="50" t="s">
        <v>295</v>
      </c>
      <c r="H101" s="50" t="s">
        <v>2161</v>
      </c>
      <c r="I101" s="51"/>
      <c r="J101" s="50"/>
      <c r="K101" s="50"/>
      <c r="L101" s="50"/>
      <c r="M101" s="50"/>
      <c r="XFC101" s="49"/>
      <c r="XFD101" s="50"/>
    </row>
    <row r="102" spans="1:13 16383:16384">
      <c r="A102" s="49">
        <v>34023</v>
      </c>
      <c r="B102" s="50">
        <v>44912</v>
      </c>
      <c r="C102" s="50" t="s">
        <v>25</v>
      </c>
      <c r="D102" s="50" t="s">
        <v>25</v>
      </c>
      <c r="E102" s="50" t="s">
        <v>2232</v>
      </c>
      <c r="F102" s="51">
        <v>0.41666666666666669</v>
      </c>
      <c r="G102" s="50" t="s">
        <v>373</v>
      </c>
      <c r="H102" s="50" t="s">
        <v>2144</v>
      </c>
      <c r="I102" s="55" t="s">
        <v>306</v>
      </c>
      <c r="J102" s="50" t="s">
        <v>25</v>
      </c>
      <c r="K102" s="50"/>
      <c r="L102" s="50"/>
      <c r="M102" s="50"/>
      <c r="XFC102" s="49"/>
      <c r="XFD102" s="50"/>
    </row>
    <row r="103" spans="1:13 16383:16384">
      <c r="A103" s="49">
        <v>34070</v>
      </c>
      <c r="B103" s="50">
        <v>44912</v>
      </c>
      <c r="C103" s="50" t="s">
        <v>346</v>
      </c>
      <c r="D103" s="50" t="s">
        <v>346</v>
      </c>
      <c r="E103" s="50" t="s">
        <v>2233</v>
      </c>
      <c r="F103" s="51">
        <v>0.41666666666666669</v>
      </c>
      <c r="G103" s="50" t="s">
        <v>373</v>
      </c>
      <c r="H103" s="50" t="s">
        <v>2144</v>
      </c>
      <c r="I103" s="55" t="s">
        <v>288</v>
      </c>
      <c r="J103" s="50" t="s">
        <v>346</v>
      </c>
      <c r="K103" s="50"/>
      <c r="L103" s="50"/>
      <c r="M103" s="50"/>
      <c r="XFC103" s="49"/>
      <c r="XFD103" s="50"/>
    </row>
    <row r="104" spans="1:13 16383:16384">
      <c r="A104" s="49">
        <v>15808</v>
      </c>
      <c r="B104" s="50">
        <v>44912</v>
      </c>
      <c r="C104" s="50" t="s">
        <v>50</v>
      </c>
      <c r="D104" s="50" t="s">
        <v>50</v>
      </c>
      <c r="E104" s="50" t="s">
        <v>2234</v>
      </c>
      <c r="F104" s="51">
        <v>0.42708333333333331</v>
      </c>
      <c r="G104" s="50" t="s">
        <v>305</v>
      </c>
      <c r="H104" s="50" t="s">
        <v>2144</v>
      </c>
      <c r="I104" s="51" t="s">
        <v>289</v>
      </c>
      <c r="J104" s="60" t="s">
        <v>338</v>
      </c>
      <c r="K104" s="50"/>
      <c r="L104" s="50"/>
      <c r="M104" s="50"/>
      <c r="XFC104" s="49"/>
      <c r="XFD104" s="50"/>
    </row>
    <row r="105" spans="1:13 16383:16384">
      <c r="A105" s="49">
        <v>20794</v>
      </c>
      <c r="B105" s="50">
        <v>44912</v>
      </c>
      <c r="C105" s="50" t="s">
        <v>99</v>
      </c>
      <c r="D105" s="50" t="s">
        <v>1054</v>
      </c>
      <c r="E105" s="50" t="s">
        <v>99</v>
      </c>
      <c r="F105" s="51">
        <v>0.45833333333333331</v>
      </c>
      <c r="G105" s="50" t="s">
        <v>467</v>
      </c>
      <c r="H105" s="50" t="s">
        <v>2158</v>
      </c>
      <c r="I105" s="51"/>
      <c r="J105" s="50"/>
      <c r="K105" s="50"/>
      <c r="L105" s="50"/>
      <c r="M105" s="50"/>
      <c r="XFC105" s="49"/>
      <c r="XFD105" s="50"/>
    </row>
    <row r="106" spans="1:13 16383:16384">
      <c r="A106" s="49">
        <v>33736</v>
      </c>
      <c r="B106" s="50">
        <v>44912</v>
      </c>
      <c r="C106" s="50" t="s">
        <v>95</v>
      </c>
      <c r="D106" s="50" t="s">
        <v>95</v>
      </c>
      <c r="E106" s="50" t="s">
        <v>2235</v>
      </c>
      <c r="F106" s="51">
        <v>0.45833333333333331</v>
      </c>
      <c r="G106" s="50" t="s">
        <v>373</v>
      </c>
      <c r="H106" s="50" t="s">
        <v>2144</v>
      </c>
      <c r="I106" s="55" t="s">
        <v>584</v>
      </c>
      <c r="J106" s="50" t="s">
        <v>95</v>
      </c>
      <c r="K106" s="50"/>
      <c r="L106" s="50"/>
      <c r="M106" s="50"/>
      <c r="XFC106" s="49"/>
      <c r="XFD106" s="50"/>
    </row>
    <row r="107" spans="1:13 16383:16384">
      <c r="A107" s="49">
        <v>34502</v>
      </c>
      <c r="B107" s="50">
        <v>44912</v>
      </c>
      <c r="C107" s="50" t="s">
        <v>152</v>
      </c>
      <c r="D107" s="50" t="s">
        <v>152</v>
      </c>
      <c r="E107" s="50" t="s">
        <v>166</v>
      </c>
      <c r="F107" s="51">
        <v>0.45833333333333331</v>
      </c>
      <c r="G107" s="50" t="s">
        <v>721</v>
      </c>
      <c r="H107" s="50" t="s">
        <v>2189</v>
      </c>
      <c r="I107" s="55" t="s">
        <v>2135</v>
      </c>
      <c r="J107" s="50" t="s">
        <v>152</v>
      </c>
      <c r="K107" s="50"/>
      <c r="L107" s="50"/>
      <c r="M107" s="50"/>
      <c r="XFC107" s="49"/>
      <c r="XFD107" s="50"/>
    </row>
    <row r="108" spans="1:13 16383:16384">
      <c r="A108" s="49">
        <v>19369</v>
      </c>
      <c r="B108" s="50">
        <v>44912</v>
      </c>
      <c r="C108" s="50" t="s">
        <v>62</v>
      </c>
      <c r="D108" s="50" t="s">
        <v>62</v>
      </c>
      <c r="E108" s="50" t="s">
        <v>2236</v>
      </c>
      <c r="F108" s="51">
        <v>0.46875</v>
      </c>
      <c r="G108" s="50" t="s">
        <v>305</v>
      </c>
      <c r="H108" s="50" t="s">
        <v>2144</v>
      </c>
      <c r="I108" s="51" t="s">
        <v>289</v>
      </c>
      <c r="J108" s="60" t="s">
        <v>338</v>
      </c>
      <c r="K108" s="50"/>
      <c r="L108" s="50"/>
      <c r="M108" s="50"/>
      <c r="XFC108" s="49"/>
      <c r="XFD108" s="50"/>
    </row>
    <row r="109" spans="1:13 16383:16384">
      <c r="A109" s="49">
        <v>30694</v>
      </c>
      <c r="B109" s="50">
        <v>44912</v>
      </c>
      <c r="C109" s="50" t="s">
        <v>115</v>
      </c>
      <c r="D109" s="50" t="s">
        <v>2237</v>
      </c>
      <c r="E109" s="50" t="s">
        <v>115</v>
      </c>
      <c r="F109" s="51">
        <v>0.48958333333333331</v>
      </c>
      <c r="G109" s="50" t="s">
        <v>757</v>
      </c>
      <c r="H109" s="50" t="s">
        <v>2154</v>
      </c>
      <c r="I109" s="51"/>
      <c r="J109" s="50"/>
      <c r="K109" s="50"/>
      <c r="L109" s="50"/>
      <c r="M109" s="50"/>
      <c r="XFC109" s="49"/>
      <c r="XFD109" s="50"/>
    </row>
    <row r="110" spans="1:13 16383:16384">
      <c r="A110" s="49">
        <v>33848</v>
      </c>
      <c r="B110" s="50">
        <v>44912</v>
      </c>
      <c r="C110" s="50" t="s">
        <v>711</v>
      </c>
      <c r="D110" s="50" t="s">
        <v>797</v>
      </c>
      <c r="E110" s="50" t="s">
        <v>711</v>
      </c>
      <c r="F110" s="51">
        <v>0.5</v>
      </c>
      <c r="G110" s="50" t="s">
        <v>358</v>
      </c>
      <c r="H110" s="50" t="s">
        <v>2166</v>
      </c>
      <c r="I110" s="51"/>
      <c r="J110" s="50"/>
      <c r="K110" s="50"/>
      <c r="L110" s="50"/>
      <c r="M110" s="50"/>
      <c r="XFC110" s="49"/>
      <c r="XFD110" s="50"/>
    </row>
    <row r="111" spans="1:13 16383:16384">
      <c r="A111" s="49">
        <v>20553</v>
      </c>
      <c r="B111" s="50">
        <v>44912</v>
      </c>
      <c r="C111" s="50" t="s">
        <v>15</v>
      </c>
      <c r="D111" s="50" t="s">
        <v>2239</v>
      </c>
      <c r="E111" s="50" t="s">
        <v>15</v>
      </c>
      <c r="F111" s="51">
        <v>0.51041666666666663</v>
      </c>
      <c r="G111" s="50" t="s">
        <v>334</v>
      </c>
      <c r="H111" s="50" t="s">
        <v>2151</v>
      </c>
      <c r="I111" s="51"/>
      <c r="J111" s="50"/>
      <c r="K111" s="50"/>
      <c r="L111" s="50"/>
      <c r="M111" s="50"/>
      <c r="XFC111" s="49"/>
      <c r="XFD111" s="50"/>
    </row>
    <row r="112" spans="1:13 16383:16384">
      <c r="A112" s="49">
        <v>29441</v>
      </c>
      <c r="B112" s="50">
        <v>44912</v>
      </c>
      <c r="C112" s="50" t="s">
        <v>569</v>
      </c>
      <c r="D112" s="50" t="s">
        <v>569</v>
      </c>
      <c r="E112" s="50" t="s">
        <v>2238</v>
      </c>
      <c r="F112" s="51">
        <v>0.51041666666666663</v>
      </c>
      <c r="G112" s="50" t="s">
        <v>373</v>
      </c>
      <c r="H112" s="50" t="s">
        <v>2144</v>
      </c>
      <c r="I112" s="55" t="s">
        <v>567</v>
      </c>
      <c r="J112" s="50" t="s">
        <v>569</v>
      </c>
      <c r="K112" s="50"/>
      <c r="L112" s="50"/>
      <c r="M112" s="50"/>
      <c r="XFC112" s="49"/>
      <c r="XFD112" s="50"/>
    </row>
    <row r="113" spans="1:13 16383:16384">
      <c r="A113" s="49">
        <v>29575</v>
      </c>
      <c r="B113" s="50">
        <v>44912</v>
      </c>
      <c r="C113" s="50" t="s">
        <v>120</v>
      </c>
      <c r="D113" s="50" t="s">
        <v>2240</v>
      </c>
      <c r="E113" s="50" t="s">
        <v>120</v>
      </c>
      <c r="F113" s="51">
        <v>0.55208333333333337</v>
      </c>
      <c r="G113" s="50" t="s">
        <v>454</v>
      </c>
      <c r="H113" s="50" t="s">
        <v>2158</v>
      </c>
      <c r="I113" s="51"/>
      <c r="J113" s="50"/>
      <c r="K113" s="50"/>
      <c r="L113" s="50"/>
      <c r="M113" s="50"/>
      <c r="XFC113" s="49"/>
      <c r="XFD113" s="50"/>
    </row>
    <row r="114" spans="1:13 16383:16384">
      <c r="A114" s="49">
        <v>20545</v>
      </c>
      <c r="B114" s="50">
        <v>44912</v>
      </c>
      <c r="C114" s="50" t="s">
        <v>32</v>
      </c>
      <c r="D114" s="50" t="s">
        <v>33</v>
      </c>
      <c r="E114" s="50" t="s">
        <v>32</v>
      </c>
      <c r="F114" s="51">
        <v>0.5625</v>
      </c>
      <c r="G114" s="50" t="s">
        <v>376</v>
      </c>
      <c r="H114" s="50" t="s">
        <v>2158</v>
      </c>
      <c r="I114" s="51"/>
      <c r="J114" s="50"/>
      <c r="K114" s="50"/>
      <c r="L114" s="50"/>
      <c r="M114" s="50"/>
      <c r="XFC114" s="49"/>
      <c r="XFD114" s="50"/>
    </row>
    <row r="115" spans="1:13 16383:16384">
      <c r="A115" s="49">
        <v>34516</v>
      </c>
      <c r="B115" s="50">
        <v>44912</v>
      </c>
      <c r="C115" s="50" t="s">
        <v>152</v>
      </c>
      <c r="D115" s="50" t="s">
        <v>151</v>
      </c>
      <c r="E115" s="50" t="s">
        <v>152</v>
      </c>
      <c r="F115" s="51">
        <v>0.5625</v>
      </c>
      <c r="G115" s="50" t="s">
        <v>721</v>
      </c>
      <c r="H115" s="50" t="s">
        <v>2189</v>
      </c>
      <c r="I115" s="51"/>
      <c r="J115" s="50"/>
      <c r="K115" s="50"/>
      <c r="L115" s="50"/>
      <c r="M115" s="50"/>
      <c r="XFC115" s="49"/>
      <c r="XFD115" s="50"/>
    </row>
    <row r="116" spans="1:13 16383:16384">
      <c r="A116" s="49">
        <v>15474</v>
      </c>
      <c r="B116" s="50">
        <v>44912</v>
      </c>
      <c r="C116" s="50" t="s">
        <v>91</v>
      </c>
      <c r="D116" s="50" t="s">
        <v>1134</v>
      </c>
      <c r="E116" s="50" t="s">
        <v>91</v>
      </c>
      <c r="F116" s="51">
        <v>0.59027777777777779</v>
      </c>
      <c r="G116" s="50" t="s">
        <v>2241</v>
      </c>
      <c r="H116" s="50" t="s">
        <v>2242</v>
      </c>
      <c r="I116" s="51"/>
      <c r="J116" s="50"/>
      <c r="K116" s="50"/>
      <c r="L116" s="50"/>
      <c r="M116" s="50"/>
      <c r="XFC116" s="49"/>
      <c r="XFD116" s="50"/>
    </row>
    <row r="117" spans="1:13 16383:16384">
      <c r="A117" s="49">
        <v>15688</v>
      </c>
      <c r="B117" s="50">
        <v>44912</v>
      </c>
      <c r="C117" s="50" t="s">
        <v>85</v>
      </c>
      <c r="D117" s="50" t="s">
        <v>2243</v>
      </c>
      <c r="E117" s="50" t="s">
        <v>85</v>
      </c>
      <c r="F117" s="51">
        <v>0.59722222222222221</v>
      </c>
      <c r="G117" s="50" t="s">
        <v>1668</v>
      </c>
      <c r="H117" s="50" t="s">
        <v>2244</v>
      </c>
      <c r="I117" s="51"/>
      <c r="J117" s="50"/>
      <c r="K117" s="50"/>
      <c r="L117" s="50"/>
      <c r="M117" s="50"/>
      <c r="XFC117" s="49"/>
      <c r="XFD117" s="50"/>
    </row>
    <row r="118" spans="1:13 16383:16384">
      <c r="A118" s="49">
        <v>20524</v>
      </c>
      <c r="B118" s="50">
        <v>44912</v>
      </c>
      <c r="C118" s="50" t="s">
        <v>57</v>
      </c>
      <c r="D118" s="50" t="s">
        <v>2245</v>
      </c>
      <c r="E118" s="50" t="s">
        <v>57</v>
      </c>
      <c r="F118" s="51">
        <v>0.60069444444444442</v>
      </c>
      <c r="G118" s="50" t="s">
        <v>968</v>
      </c>
      <c r="H118" s="50" t="s">
        <v>2185</v>
      </c>
      <c r="I118" s="51"/>
      <c r="J118" s="50"/>
      <c r="K118" s="50"/>
      <c r="L118" s="50"/>
      <c r="M118" s="50"/>
      <c r="XFC118" s="49"/>
      <c r="XFD118" s="50"/>
    </row>
    <row r="119" spans="1:13 16383:16384">
      <c r="A119" s="49">
        <v>27663</v>
      </c>
      <c r="B119" s="50">
        <v>44912</v>
      </c>
      <c r="C119" s="50" t="s">
        <v>102</v>
      </c>
      <c r="D119" s="50" t="s">
        <v>2246</v>
      </c>
      <c r="E119" s="50" t="s">
        <v>102</v>
      </c>
      <c r="F119" s="51">
        <v>0.63194444444444442</v>
      </c>
      <c r="G119" s="50" t="s">
        <v>1882</v>
      </c>
      <c r="H119" s="50" t="s">
        <v>2174</v>
      </c>
      <c r="I119" s="51"/>
      <c r="J119" s="50"/>
      <c r="K119" s="50"/>
      <c r="L119" s="50"/>
      <c r="M119" s="50"/>
      <c r="XFC119" s="49"/>
      <c r="XFD119" s="50"/>
    </row>
    <row r="120" spans="1:13 16383:16384">
      <c r="A120" s="49">
        <v>12993</v>
      </c>
      <c r="B120" s="50">
        <v>44912</v>
      </c>
      <c r="C120" s="50" t="s">
        <v>109</v>
      </c>
      <c r="D120" s="50" t="s">
        <v>2247</v>
      </c>
      <c r="E120" s="50" t="s">
        <v>109</v>
      </c>
      <c r="F120" s="51">
        <v>0.65625</v>
      </c>
      <c r="G120" s="50" t="s">
        <v>520</v>
      </c>
      <c r="H120" s="50" t="s">
        <v>2248</v>
      </c>
      <c r="I120" s="51"/>
      <c r="J120" s="50"/>
      <c r="K120" s="50"/>
      <c r="L120" s="50"/>
      <c r="M120" s="50"/>
      <c r="XFC120" s="49"/>
      <c r="XFD120" s="50"/>
    </row>
    <row r="121" spans="1:13 16383:16384">
      <c r="A121" s="49">
        <v>17944</v>
      </c>
      <c r="B121" s="50">
        <v>44912</v>
      </c>
      <c r="C121" s="50" t="s">
        <v>82</v>
      </c>
      <c r="D121" s="50" t="s">
        <v>199</v>
      </c>
      <c r="E121" s="50" t="s">
        <v>82</v>
      </c>
      <c r="F121" s="51">
        <v>0.67013888888888884</v>
      </c>
      <c r="G121" s="50" t="s">
        <v>985</v>
      </c>
      <c r="H121" s="50" t="s">
        <v>2190</v>
      </c>
      <c r="I121" s="51"/>
      <c r="J121" s="50"/>
      <c r="K121" s="50"/>
      <c r="L121" s="50"/>
      <c r="M121" s="50"/>
      <c r="XFC121" s="49"/>
      <c r="XFD121" s="50"/>
    </row>
    <row r="122" spans="1:13 16383:16384">
      <c r="A122" s="49">
        <v>30707</v>
      </c>
      <c r="B122" s="50">
        <v>44912</v>
      </c>
      <c r="C122" s="50" t="s">
        <v>105</v>
      </c>
      <c r="D122" s="50" t="s">
        <v>2249</v>
      </c>
      <c r="E122" s="50" t="s">
        <v>105</v>
      </c>
      <c r="F122" s="51">
        <v>0.68402777777777779</v>
      </c>
      <c r="G122" s="50" t="s">
        <v>320</v>
      </c>
      <c r="H122" s="50" t="s">
        <v>2148</v>
      </c>
      <c r="I122" s="51"/>
      <c r="J122" s="50"/>
      <c r="K122" s="50"/>
      <c r="L122" s="50"/>
      <c r="M122" s="50"/>
      <c r="XFC122" s="49"/>
      <c r="XFD122" s="50"/>
    </row>
    <row r="123" spans="1:13 16383:16384">
      <c r="A123" s="49">
        <v>29479</v>
      </c>
      <c r="B123" s="50">
        <v>44912</v>
      </c>
      <c r="C123" s="50" t="s">
        <v>112</v>
      </c>
      <c r="D123" s="50" t="s">
        <v>112</v>
      </c>
      <c r="E123" s="50" t="s">
        <v>2250</v>
      </c>
      <c r="F123" s="51">
        <v>0.70486111111111116</v>
      </c>
      <c r="G123" s="50" t="s">
        <v>287</v>
      </c>
      <c r="H123" s="50" t="s">
        <v>2144</v>
      </c>
      <c r="I123" s="55" t="s">
        <v>606</v>
      </c>
      <c r="J123" s="50" t="s">
        <v>112</v>
      </c>
      <c r="K123" s="50"/>
      <c r="L123" s="50"/>
      <c r="M123" s="50"/>
      <c r="XFC123" s="49"/>
      <c r="XFD123" s="50"/>
    </row>
    <row r="124" spans="1:13 16383:16384">
      <c r="A124" s="49">
        <v>10874</v>
      </c>
      <c r="B124" s="50">
        <v>44912</v>
      </c>
      <c r="C124" s="50" t="s">
        <v>118</v>
      </c>
      <c r="D124" s="50" t="s">
        <v>2251</v>
      </c>
      <c r="E124" s="50" t="s">
        <v>118</v>
      </c>
      <c r="F124" s="51">
        <v>0.70833333333333337</v>
      </c>
      <c r="G124" s="50" t="s">
        <v>520</v>
      </c>
      <c r="H124" s="50" t="s">
        <v>2248</v>
      </c>
      <c r="I124" s="51"/>
      <c r="J124" s="50"/>
      <c r="K124" s="50"/>
      <c r="L124" s="50"/>
      <c r="M124" s="50"/>
      <c r="XFC124" s="49"/>
      <c r="XFD124" s="50"/>
    </row>
    <row r="125" spans="1:13 16383:16384">
      <c r="A125" s="49">
        <v>13706</v>
      </c>
      <c r="B125" s="50">
        <v>44912</v>
      </c>
      <c r="C125" s="50" t="s">
        <v>123</v>
      </c>
      <c r="D125" s="50" t="s">
        <v>2252</v>
      </c>
      <c r="E125" s="50" t="s">
        <v>123</v>
      </c>
      <c r="F125" s="51">
        <v>0.73611111111111116</v>
      </c>
      <c r="G125" s="50" t="s">
        <v>320</v>
      </c>
      <c r="H125" s="50" t="s">
        <v>2148</v>
      </c>
      <c r="I125" s="51"/>
      <c r="J125" s="50"/>
      <c r="K125" s="50"/>
      <c r="L125" s="50"/>
      <c r="M125" s="50"/>
      <c r="XFC125" s="49"/>
      <c r="XFD125" s="50"/>
    </row>
    <row r="126" spans="1:13 16383:16384">
      <c r="A126" s="49">
        <v>14292</v>
      </c>
      <c r="B126" s="50">
        <v>44912</v>
      </c>
      <c r="C126" s="50" t="s">
        <v>79</v>
      </c>
      <c r="D126" s="50" t="s">
        <v>79</v>
      </c>
      <c r="E126" s="50" t="s">
        <v>2253</v>
      </c>
      <c r="F126" s="51">
        <v>0.75694444444444453</v>
      </c>
      <c r="G126" s="50" t="s">
        <v>287</v>
      </c>
      <c r="H126" s="50" t="s">
        <v>2144</v>
      </c>
      <c r="I126" s="55" t="s">
        <v>289</v>
      </c>
      <c r="J126" s="60" t="s">
        <v>606</v>
      </c>
      <c r="K126" s="50"/>
      <c r="L126" s="50"/>
      <c r="M126" s="50"/>
      <c r="XFC126" s="49"/>
      <c r="XFD126" s="50"/>
    </row>
    <row r="127" spans="1:13 16383:16384">
      <c r="A127" s="49">
        <v>14293</v>
      </c>
      <c r="B127" s="50">
        <v>44912</v>
      </c>
      <c r="C127" s="50" t="s">
        <v>88</v>
      </c>
      <c r="D127" s="50" t="s">
        <v>88</v>
      </c>
      <c r="E127" s="50" t="s">
        <v>175</v>
      </c>
      <c r="F127" s="51">
        <v>0.80555555555555547</v>
      </c>
      <c r="G127" s="50" t="s">
        <v>287</v>
      </c>
      <c r="H127" s="50" t="s">
        <v>2144</v>
      </c>
      <c r="I127" s="51" t="s">
        <v>289</v>
      </c>
      <c r="J127" s="60" t="s">
        <v>456</v>
      </c>
      <c r="K127" s="50"/>
      <c r="L127" s="50"/>
      <c r="M127" s="50"/>
      <c r="XFC127" s="49"/>
      <c r="XFD127" s="50"/>
    </row>
    <row r="128" spans="1:13 16383:16384">
      <c r="A128" s="49">
        <v>15861</v>
      </c>
      <c r="B128" s="50">
        <v>44919</v>
      </c>
      <c r="C128" s="50" t="s">
        <v>50</v>
      </c>
      <c r="D128" s="50" t="s">
        <v>239</v>
      </c>
      <c r="E128" s="50" t="s">
        <v>50</v>
      </c>
      <c r="F128" s="51">
        <v>0.41666666666666669</v>
      </c>
      <c r="G128" s="50" t="s">
        <v>459</v>
      </c>
      <c r="H128" s="50" t="s">
        <v>2254</v>
      </c>
      <c r="I128" s="51"/>
      <c r="J128" s="50"/>
      <c r="K128" s="50"/>
      <c r="L128" s="50"/>
      <c r="M128" s="50"/>
      <c r="XFC128" s="49"/>
      <c r="XFD128" s="50"/>
    </row>
    <row r="129" spans="1:13 16383:16384">
      <c r="A129" s="49">
        <v>20855</v>
      </c>
      <c r="B129" s="50">
        <v>44919</v>
      </c>
      <c r="C129" s="50" t="s">
        <v>99</v>
      </c>
      <c r="D129" s="50" t="s">
        <v>178</v>
      </c>
      <c r="E129" s="50" t="s">
        <v>99</v>
      </c>
      <c r="F129" s="51">
        <v>0.41666666666666669</v>
      </c>
      <c r="G129" s="50" t="s">
        <v>589</v>
      </c>
      <c r="H129" s="50" t="s">
        <v>2221</v>
      </c>
      <c r="I129" s="51"/>
      <c r="J129" s="50"/>
      <c r="K129" s="50"/>
      <c r="L129" s="50"/>
      <c r="M129" s="50"/>
      <c r="XFC129" s="49"/>
      <c r="XFD129" s="50"/>
    </row>
    <row r="130" spans="1:13 16383:16384">
      <c r="A130" s="49">
        <v>15563</v>
      </c>
      <c r="B130" s="50">
        <v>44919</v>
      </c>
      <c r="C130" s="50" t="s">
        <v>85</v>
      </c>
      <c r="D130" s="50" t="s">
        <v>85</v>
      </c>
      <c r="E130" s="50" t="s">
        <v>241</v>
      </c>
      <c r="F130" s="51">
        <v>0.47222222222222227</v>
      </c>
      <c r="G130" s="50" t="s">
        <v>287</v>
      </c>
      <c r="H130" s="50" t="s">
        <v>2144</v>
      </c>
      <c r="I130" s="51" t="s">
        <v>289</v>
      </c>
      <c r="J130" s="60" t="s">
        <v>506</v>
      </c>
      <c r="K130" s="50"/>
      <c r="L130" s="50"/>
      <c r="M130" s="50"/>
      <c r="XFC130" s="49"/>
      <c r="XFD130" s="50"/>
    </row>
    <row r="131" spans="1:13 16383:16384">
      <c r="A131" s="49">
        <v>22888</v>
      </c>
      <c r="B131" s="50">
        <v>44919</v>
      </c>
      <c r="C131" s="50" t="s">
        <v>74</v>
      </c>
      <c r="D131" s="50" t="s">
        <v>2155</v>
      </c>
      <c r="E131" s="50" t="s">
        <v>74</v>
      </c>
      <c r="F131" s="51">
        <v>0.54166666666666663</v>
      </c>
      <c r="G131" s="50" t="s">
        <v>441</v>
      </c>
      <c r="H131" s="50" t="s">
        <v>2210</v>
      </c>
      <c r="I131" s="51"/>
      <c r="J131" s="50"/>
      <c r="K131" s="50"/>
      <c r="L131" s="50"/>
      <c r="M131" s="50"/>
      <c r="XFC131" s="49"/>
      <c r="XFD131" s="50"/>
    </row>
    <row r="132" spans="1:13 16383:16384">
      <c r="A132" s="56">
        <v>18045</v>
      </c>
      <c r="B132" s="57">
        <v>44933</v>
      </c>
      <c r="C132" s="57" t="s">
        <v>40</v>
      </c>
      <c r="D132" s="50" t="s">
        <v>40</v>
      </c>
      <c r="E132" s="57" t="s">
        <v>2152</v>
      </c>
      <c r="F132" s="58">
        <v>0.45833333333333331</v>
      </c>
      <c r="G132" s="57" t="s">
        <v>305</v>
      </c>
      <c r="H132" s="57" t="s">
        <v>2144</v>
      </c>
      <c r="I132" s="59" t="s">
        <v>399</v>
      </c>
      <c r="J132" s="50" t="s">
        <v>40</v>
      </c>
      <c r="K132" s="50"/>
      <c r="L132" s="50"/>
      <c r="M132" s="50"/>
      <c r="XFC132" s="49"/>
      <c r="XFD132" s="50"/>
    </row>
    <row r="133" spans="1:13 16383:16384">
      <c r="A133" s="49">
        <v>22060</v>
      </c>
      <c r="B133" s="50">
        <v>44933</v>
      </c>
      <c r="C133" s="50" t="s">
        <v>28</v>
      </c>
      <c r="D133" s="50" t="s">
        <v>2255</v>
      </c>
      <c r="E133" s="50" t="s">
        <v>28</v>
      </c>
      <c r="F133" s="51">
        <v>0.51041666666666663</v>
      </c>
      <c r="G133" s="50" t="s">
        <v>816</v>
      </c>
      <c r="H133" s="50" t="s">
        <v>2256</v>
      </c>
      <c r="I133" s="51"/>
      <c r="J133" s="50"/>
      <c r="K133" s="50"/>
      <c r="L133" s="50"/>
      <c r="M133" s="50"/>
      <c r="XFC133" s="49"/>
      <c r="XFD133" s="50"/>
    </row>
    <row r="134" spans="1:13 16383:16384">
      <c r="A134" s="49">
        <v>17881</v>
      </c>
      <c r="B134" s="50">
        <v>44940</v>
      </c>
      <c r="C134" s="50" t="s">
        <v>64</v>
      </c>
      <c r="D134" s="50" t="s">
        <v>2257</v>
      </c>
      <c r="E134" s="50" t="s">
        <v>64</v>
      </c>
      <c r="F134" s="51">
        <v>0.375</v>
      </c>
      <c r="G134" s="50" t="s">
        <v>1773</v>
      </c>
      <c r="H134" s="50" t="s">
        <v>2258</v>
      </c>
      <c r="I134" s="51"/>
      <c r="J134" s="50"/>
      <c r="K134" s="50"/>
      <c r="L134" s="50"/>
      <c r="M134" s="50"/>
      <c r="XFC134" s="49"/>
      <c r="XFD134" s="50"/>
    </row>
    <row r="135" spans="1:13 16383:16384">
      <c r="A135" s="49">
        <v>13304</v>
      </c>
      <c r="B135" s="50">
        <v>44940</v>
      </c>
      <c r="C135" s="50" t="s">
        <v>53</v>
      </c>
      <c r="D135" s="50" t="s">
        <v>135</v>
      </c>
      <c r="E135" s="50" t="s">
        <v>53</v>
      </c>
      <c r="F135" s="51">
        <v>0.375</v>
      </c>
      <c r="G135" s="50" t="s">
        <v>320</v>
      </c>
      <c r="H135" s="50" t="s">
        <v>2148</v>
      </c>
      <c r="I135" s="51"/>
      <c r="J135" s="50"/>
      <c r="K135" s="50"/>
      <c r="L135" s="50"/>
      <c r="M135" s="50"/>
      <c r="XFC135" s="49"/>
      <c r="XFD135" s="50"/>
    </row>
    <row r="136" spans="1:13 16383:16384">
      <c r="A136" s="49">
        <v>16383</v>
      </c>
      <c r="B136" s="50">
        <v>44940</v>
      </c>
      <c r="C136" s="50" t="s">
        <v>36</v>
      </c>
      <c r="D136" s="50" t="s">
        <v>36</v>
      </c>
      <c r="E136" s="50" t="s">
        <v>68</v>
      </c>
      <c r="F136" s="51">
        <v>0.375</v>
      </c>
      <c r="G136" s="50" t="s">
        <v>287</v>
      </c>
      <c r="H136" s="50" t="s">
        <v>2144</v>
      </c>
      <c r="I136" s="55" t="s">
        <v>550</v>
      </c>
      <c r="J136" s="50" t="s">
        <v>36</v>
      </c>
      <c r="K136" s="50"/>
      <c r="L136" s="50"/>
      <c r="M136" s="50"/>
      <c r="XFC136" s="49"/>
      <c r="XFD136" s="50"/>
    </row>
    <row r="137" spans="1:13 16383:16384">
      <c r="A137" s="49">
        <v>33849</v>
      </c>
      <c r="B137" s="50">
        <v>44940</v>
      </c>
      <c r="C137" s="50" t="s">
        <v>711</v>
      </c>
      <c r="D137" s="50" t="s">
        <v>711</v>
      </c>
      <c r="E137" s="50" t="s">
        <v>2259</v>
      </c>
      <c r="F137" s="51">
        <v>0.375</v>
      </c>
      <c r="G137" s="50" t="s">
        <v>287</v>
      </c>
      <c r="H137" s="50" t="s">
        <v>2144</v>
      </c>
      <c r="I137" s="55" t="s">
        <v>788</v>
      </c>
      <c r="J137" s="50" t="s">
        <v>711</v>
      </c>
      <c r="K137" s="50"/>
      <c r="L137" s="50"/>
      <c r="M137" s="50"/>
      <c r="XFC137" s="49"/>
      <c r="XFD137" s="50"/>
    </row>
    <row r="138" spans="1:13 16383:16384">
      <c r="A138" s="49">
        <v>21222</v>
      </c>
      <c r="B138" s="50">
        <v>44940</v>
      </c>
      <c r="C138" s="50" t="s">
        <v>32</v>
      </c>
      <c r="D138" s="50" t="s">
        <v>2260</v>
      </c>
      <c r="E138" s="50" t="s">
        <v>32</v>
      </c>
      <c r="F138" s="51">
        <v>0.41666666666666669</v>
      </c>
      <c r="G138" s="50" t="s">
        <v>441</v>
      </c>
      <c r="H138" s="50" t="s">
        <v>2210</v>
      </c>
      <c r="I138" s="51"/>
      <c r="J138" s="50"/>
      <c r="K138" s="50"/>
      <c r="L138" s="50"/>
      <c r="M138" s="50"/>
      <c r="XFC138" s="49"/>
      <c r="XFD138" s="50"/>
    </row>
    <row r="139" spans="1:13 16383:16384">
      <c r="A139" s="49">
        <v>17869</v>
      </c>
      <c r="B139" s="50">
        <v>44940</v>
      </c>
      <c r="C139" s="50" t="s">
        <v>20</v>
      </c>
      <c r="D139" s="50" t="s">
        <v>2261</v>
      </c>
      <c r="E139" s="50" t="s">
        <v>20</v>
      </c>
      <c r="F139" s="51">
        <v>0.41666666666666669</v>
      </c>
      <c r="G139" s="50" t="s">
        <v>451</v>
      </c>
      <c r="H139" s="50" t="s">
        <v>2262</v>
      </c>
      <c r="I139" s="51"/>
      <c r="J139" s="50"/>
      <c r="K139" s="50"/>
      <c r="L139" s="50"/>
      <c r="M139" s="50"/>
      <c r="XFC139" s="49"/>
      <c r="XFD139" s="50"/>
    </row>
    <row r="140" spans="1:13 16383:16384">
      <c r="A140" s="49">
        <v>16382</v>
      </c>
      <c r="B140" s="50">
        <v>44940</v>
      </c>
      <c r="C140" s="50" t="s">
        <v>67</v>
      </c>
      <c r="D140" s="50" t="s">
        <v>67</v>
      </c>
      <c r="E140" s="50" t="s">
        <v>2263</v>
      </c>
      <c r="F140" s="51">
        <v>0.41666666666666669</v>
      </c>
      <c r="G140" s="50" t="s">
        <v>287</v>
      </c>
      <c r="H140" s="50" t="s">
        <v>2144</v>
      </c>
      <c r="I140" s="55" t="s">
        <v>2080</v>
      </c>
      <c r="J140" s="50" t="s">
        <v>67</v>
      </c>
      <c r="K140" s="50"/>
      <c r="L140" s="50"/>
      <c r="M140" s="50"/>
      <c r="XFC140" s="49"/>
      <c r="XFD140" s="50"/>
    </row>
    <row r="141" spans="1:13 16383:16384">
      <c r="A141" s="49">
        <v>13312</v>
      </c>
      <c r="B141" s="50">
        <v>44940</v>
      </c>
      <c r="C141" s="50" t="s">
        <v>43</v>
      </c>
      <c r="D141" s="50" t="s">
        <v>43</v>
      </c>
      <c r="E141" s="50" t="s">
        <v>2264</v>
      </c>
      <c r="F141" s="51">
        <v>0.41666666666666669</v>
      </c>
      <c r="G141" s="50" t="s">
        <v>287</v>
      </c>
      <c r="H141" s="50" t="s">
        <v>2144</v>
      </c>
      <c r="I141" s="55" t="s">
        <v>2134</v>
      </c>
      <c r="J141" s="50" t="s">
        <v>43</v>
      </c>
      <c r="K141" s="50"/>
      <c r="L141" s="50"/>
      <c r="M141" s="50"/>
      <c r="XFC141" s="49"/>
      <c r="XFD141" s="50"/>
    </row>
    <row r="142" spans="1:13 16383:16384">
      <c r="A142" s="49">
        <v>21943</v>
      </c>
      <c r="B142" s="50">
        <v>44940</v>
      </c>
      <c r="C142" s="50" t="s">
        <v>28</v>
      </c>
      <c r="D142" s="50" t="s">
        <v>28</v>
      </c>
      <c r="E142" s="50" t="s">
        <v>2265</v>
      </c>
      <c r="F142" s="51">
        <v>0.45833333333333331</v>
      </c>
      <c r="G142" s="50" t="s">
        <v>287</v>
      </c>
      <c r="H142" s="50" t="s">
        <v>2144</v>
      </c>
      <c r="I142" s="55" t="s">
        <v>506</v>
      </c>
      <c r="J142" s="50" t="s">
        <v>28</v>
      </c>
      <c r="K142" s="50"/>
      <c r="L142" s="50"/>
      <c r="M142" s="50"/>
      <c r="XFC142" s="49"/>
      <c r="XFD142" s="50"/>
    </row>
    <row r="143" spans="1:13 16383:16384">
      <c r="A143" s="49">
        <v>17865</v>
      </c>
      <c r="B143" s="50">
        <v>44940</v>
      </c>
      <c r="C143" s="50" t="s">
        <v>40</v>
      </c>
      <c r="D143" s="50" t="s">
        <v>39</v>
      </c>
      <c r="E143" s="50" t="s">
        <v>40</v>
      </c>
      <c r="F143" s="51">
        <v>0.45833333333333331</v>
      </c>
      <c r="G143" s="50" t="s">
        <v>376</v>
      </c>
      <c r="H143" s="50" t="s">
        <v>2158</v>
      </c>
      <c r="I143" s="51"/>
      <c r="J143" s="50"/>
      <c r="K143" s="50"/>
      <c r="L143" s="50"/>
      <c r="M143" s="50"/>
      <c r="XFC143" s="49"/>
      <c r="XFD143" s="50"/>
    </row>
    <row r="144" spans="1:13 16383:16384">
      <c r="A144" s="49">
        <v>34024</v>
      </c>
      <c r="B144" s="50">
        <v>44940</v>
      </c>
      <c r="C144" s="50" t="s">
        <v>25</v>
      </c>
      <c r="D144" s="50" t="s">
        <v>2266</v>
      </c>
      <c r="E144" s="50" t="s">
        <v>25</v>
      </c>
      <c r="F144" s="51">
        <v>0.48958333333333331</v>
      </c>
      <c r="G144" s="50" t="s">
        <v>2267</v>
      </c>
      <c r="H144" s="50" t="s">
        <v>2254</v>
      </c>
      <c r="I144" s="51"/>
      <c r="J144" s="50"/>
      <c r="K144" s="50"/>
      <c r="L144" s="50"/>
      <c r="M144" s="50"/>
      <c r="XFC144" s="49"/>
      <c r="XFD144" s="50"/>
    </row>
    <row r="145" spans="1:13 16383:16384">
      <c r="A145" s="49">
        <v>21932</v>
      </c>
      <c r="B145" s="50">
        <v>44940</v>
      </c>
      <c r="C145" s="50" t="s">
        <v>15</v>
      </c>
      <c r="D145" s="50" t="s">
        <v>15</v>
      </c>
      <c r="E145" s="50" t="s">
        <v>2269</v>
      </c>
      <c r="F145" s="51">
        <v>0.5</v>
      </c>
      <c r="G145" s="50" t="s">
        <v>305</v>
      </c>
      <c r="H145" s="50" t="s">
        <v>2144</v>
      </c>
      <c r="I145" s="55" t="s">
        <v>1480</v>
      </c>
      <c r="J145" s="50" t="s">
        <v>15</v>
      </c>
      <c r="K145" s="50"/>
      <c r="L145" s="50"/>
      <c r="M145" s="50"/>
      <c r="XFC145" s="49"/>
      <c r="XFD145" s="50"/>
    </row>
    <row r="146" spans="1:13 16383:16384">
      <c r="A146" s="49">
        <v>20762</v>
      </c>
      <c r="B146" s="50">
        <v>44940</v>
      </c>
      <c r="C146" s="50" t="s">
        <v>99</v>
      </c>
      <c r="D146" s="50" t="s">
        <v>99</v>
      </c>
      <c r="E146" s="50" t="s">
        <v>130</v>
      </c>
      <c r="F146" s="51">
        <v>0.5</v>
      </c>
      <c r="G146" s="50" t="s">
        <v>287</v>
      </c>
      <c r="H146" s="50" t="s">
        <v>2144</v>
      </c>
      <c r="I146" s="51" t="s">
        <v>289</v>
      </c>
      <c r="J146" s="60" t="s">
        <v>606</v>
      </c>
      <c r="K146" s="50"/>
      <c r="L146" s="50"/>
      <c r="M146" s="50"/>
      <c r="XFC146" s="49"/>
      <c r="XFD146" s="50"/>
    </row>
    <row r="147" spans="1:13 16383:16384">
      <c r="A147" s="49">
        <v>15812</v>
      </c>
      <c r="B147" s="50">
        <v>44940</v>
      </c>
      <c r="C147" s="50" t="s">
        <v>50</v>
      </c>
      <c r="D147" s="50" t="s">
        <v>2268</v>
      </c>
      <c r="E147" s="50" t="s">
        <v>50</v>
      </c>
      <c r="F147" s="51">
        <v>0.5</v>
      </c>
      <c r="G147" s="50" t="s">
        <v>376</v>
      </c>
      <c r="H147" s="50" t="s">
        <v>2158</v>
      </c>
      <c r="I147" s="51"/>
      <c r="J147" s="50"/>
      <c r="K147" s="50"/>
      <c r="L147" s="50"/>
      <c r="M147" s="50"/>
      <c r="XFC147" s="49"/>
      <c r="XFD147" s="50"/>
    </row>
    <row r="148" spans="1:13 16383:16384">
      <c r="A148" s="49">
        <v>24581</v>
      </c>
      <c r="B148" s="50">
        <v>44940</v>
      </c>
      <c r="C148" s="50" t="s">
        <v>71</v>
      </c>
      <c r="D148" s="50" t="s">
        <v>71</v>
      </c>
      <c r="E148" s="50" t="s">
        <v>2270</v>
      </c>
      <c r="F148" s="51">
        <v>0.54166666666666663</v>
      </c>
      <c r="G148" s="50" t="s">
        <v>305</v>
      </c>
      <c r="H148" s="50" t="s">
        <v>2144</v>
      </c>
      <c r="I148" s="55" t="s">
        <v>1964</v>
      </c>
      <c r="J148" s="50" t="s">
        <v>71</v>
      </c>
      <c r="K148" s="50"/>
      <c r="L148" s="50"/>
      <c r="M148" s="50"/>
      <c r="XFC148" s="49"/>
      <c r="XFD148" s="50"/>
    </row>
    <row r="149" spans="1:13 16383:16384">
      <c r="A149" s="49">
        <v>20631</v>
      </c>
      <c r="B149" s="50">
        <v>44940</v>
      </c>
      <c r="C149" s="50" t="s">
        <v>57</v>
      </c>
      <c r="D149" s="50" t="s">
        <v>57</v>
      </c>
      <c r="E149" s="50" t="s">
        <v>154</v>
      </c>
      <c r="F149" s="51">
        <v>0.54166666666666663</v>
      </c>
      <c r="G149" s="50" t="s">
        <v>287</v>
      </c>
      <c r="H149" s="50" t="s">
        <v>2144</v>
      </c>
      <c r="I149" s="51" t="s">
        <v>289</v>
      </c>
      <c r="J149" s="60" t="s">
        <v>606</v>
      </c>
      <c r="K149" s="50"/>
      <c r="L149" s="50"/>
      <c r="M149" s="50"/>
      <c r="XFC149" s="49"/>
      <c r="XFD149" s="50"/>
    </row>
    <row r="150" spans="1:13 16383:16384">
      <c r="A150" s="49">
        <v>26190</v>
      </c>
      <c r="B150" s="50">
        <v>44940</v>
      </c>
      <c r="C150" s="50" t="s">
        <v>47</v>
      </c>
      <c r="D150" s="50" t="s">
        <v>2272</v>
      </c>
      <c r="E150" s="50" t="s">
        <v>47</v>
      </c>
      <c r="F150" s="51">
        <v>0.58333333333333337</v>
      </c>
      <c r="G150" s="50" t="s">
        <v>381</v>
      </c>
      <c r="H150" s="50" t="s">
        <v>2180</v>
      </c>
      <c r="I150" s="51"/>
      <c r="J150" s="50"/>
      <c r="K150" s="50"/>
      <c r="L150" s="50"/>
      <c r="M150" s="50"/>
      <c r="XFC150" s="49"/>
      <c r="XFD150" s="50"/>
    </row>
    <row r="151" spans="1:13 16383:16384">
      <c r="A151" s="49">
        <v>27403</v>
      </c>
      <c r="B151" s="50">
        <v>44940</v>
      </c>
      <c r="C151" s="50" t="s">
        <v>102</v>
      </c>
      <c r="D151" s="50" t="s">
        <v>102</v>
      </c>
      <c r="E151" s="50" t="s">
        <v>2271</v>
      </c>
      <c r="F151" s="51">
        <v>0.58333333333333337</v>
      </c>
      <c r="G151" s="50" t="s">
        <v>305</v>
      </c>
      <c r="H151" s="50" t="s">
        <v>2144</v>
      </c>
      <c r="I151" s="55" t="s">
        <v>566</v>
      </c>
      <c r="J151" s="50" t="s">
        <v>102</v>
      </c>
      <c r="K151" s="50"/>
      <c r="L151" s="50"/>
      <c r="M151" s="50"/>
      <c r="XFC151" s="49"/>
      <c r="XFD151" s="50"/>
    </row>
    <row r="152" spans="1:13 16383:16384">
      <c r="A152" s="49">
        <v>15599</v>
      </c>
      <c r="B152" s="50">
        <v>44940</v>
      </c>
      <c r="C152" s="50" t="s">
        <v>85</v>
      </c>
      <c r="D152" s="50" t="s">
        <v>85</v>
      </c>
      <c r="E152" s="50" t="s">
        <v>258</v>
      </c>
      <c r="F152" s="51">
        <v>0.59027777777777779</v>
      </c>
      <c r="G152" s="50" t="s">
        <v>287</v>
      </c>
      <c r="H152" s="50" t="s">
        <v>2144</v>
      </c>
      <c r="I152" s="51" t="s">
        <v>289</v>
      </c>
      <c r="J152" s="60" t="s">
        <v>566</v>
      </c>
      <c r="K152" s="50"/>
      <c r="L152" s="50"/>
      <c r="M152" s="50"/>
      <c r="XFC152" s="49"/>
      <c r="XFD152" s="50"/>
    </row>
    <row r="153" spans="1:13 16383:16384">
      <c r="A153" s="49">
        <v>13355</v>
      </c>
      <c r="B153" s="50">
        <v>44940</v>
      </c>
      <c r="C153" s="50" t="s">
        <v>123</v>
      </c>
      <c r="D153" s="50" t="s">
        <v>123</v>
      </c>
      <c r="E153" s="50" t="s">
        <v>172</v>
      </c>
      <c r="F153" s="51">
        <v>0.63194444444444442</v>
      </c>
      <c r="G153" s="50" t="s">
        <v>305</v>
      </c>
      <c r="H153" s="50" t="s">
        <v>2144</v>
      </c>
      <c r="I153" s="51" t="s">
        <v>289</v>
      </c>
      <c r="J153" s="60" t="s">
        <v>328</v>
      </c>
      <c r="K153" s="50"/>
      <c r="L153" s="50"/>
      <c r="M153" s="50"/>
      <c r="XFC153" s="49"/>
      <c r="XFD153" s="50"/>
    </row>
    <row r="154" spans="1:13 16383:16384">
      <c r="A154" s="49">
        <v>17764</v>
      </c>
      <c r="B154" s="50">
        <v>44940</v>
      </c>
      <c r="C154" s="50" t="s">
        <v>82</v>
      </c>
      <c r="D154" s="50" t="s">
        <v>82</v>
      </c>
      <c r="E154" s="50" t="s">
        <v>83</v>
      </c>
      <c r="F154" s="51">
        <v>0.64236111111111105</v>
      </c>
      <c r="G154" s="50" t="s">
        <v>287</v>
      </c>
      <c r="H154" s="50" t="s">
        <v>2144</v>
      </c>
      <c r="I154" s="51" t="s">
        <v>289</v>
      </c>
      <c r="J154" s="60" t="s">
        <v>566</v>
      </c>
      <c r="K154" s="50"/>
      <c r="L154" s="50"/>
      <c r="M154" s="50"/>
      <c r="XFC154" s="49"/>
      <c r="XFD154" s="50"/>
    </row>
    <row r="155" spans="1:13 16383:16384">
      <c r="A155" s="49">
        <v>29630</v>
      </c>
      <c r="B155" s="50">
        <v>44940</v>
      </c>
      <c r="C155" s="50" t="s">
        <v>105</v>
      </c>
      <c r="D155" s="50" t="s">
        <v>105</v>
      </c>
      <c r="E155" s="50" t="s">
        <v>2273</v>
      </c>
      <c r="F155" s="51">
        <v>0.68055555555555547</v>
      </c>
      <c r="G155" s="50" t="s">
        <v>305</v>
      </c>
      <c r="H155" s="50" t="s">
        <v>2144</v>
      </c>
      <c r="I155" s="55" t="s">
        <v>338</v>
      </c>
      <c r="J155" s="50" t="s">
        <v>105</v>
      </c>
      <c r="K155" s="50"/>
      <c r="L155" s="50"/>
      <c r="M155" s="50"/>
      <c r="XFC155" s="49"/>
      <c r="XFD155" s="50"/>
    </row>
    <row r="156" spans="1:13 16383:16384">
      <c r="A156" s="49">
        <v>29054</v>
      </c>
      <c r="B156" s="50">
        <v>44940</v>
      </c>
      <c r="C156" s="50" t="s">
        <v>112</v>
      </c>
      <c r="D156" s="50" t="s">
        <v>2274</v>
      </c>
      <c r="E156" s="50" t="s">
        <v>112</v>
      </c>
      <c r="F156" s="51">
        <v>0.6875</v>
      </c>
      <c r="G156" s="50" t="s">
        <v>1753</v>
      </c>
      <c r="H156" s="50" t="s">
        <v>2275</v>
      </c>
      <c r="I156" s="51"/>
      <c r="J156" s="50"/>
      <c r="K156" s="50"/>
      <c r="L156" s="50"/>
      <c r="M156" s="50"/>
      <c r="XFC156" s="49"/>
      <c r="XFD156" s="50"/>
    </row>
    <row r="157" spans="1:13 16383:16384">
      <c r="A157" s="49">
        <v>28303</v>
      </c>
      <c r="B157" s="50">
        <v>44940</v>
      </c>
      <c r="C157" s="50" t="s">
        <v>95</v>
      </c>
      <c r="D157" s="50" t="s">
        <v>2162</v>
      </c>
      <c r="E157" s="50" t="s">
        <v>95</v>
      </c>
      <c r="F157" s="51">
        <v>0.69097222222222221</v>
      </c>
      <c r="G157" s="50" t="s">
        <v>295</v>
      </c>
      <c r="H157" s="50" t="s">
        <v>2161</v>
      </c>
      <c r="I157" s="51"/>
      <c r="J157" s="50"/>
      <c r="K157" s="50"/>
      <c r="L157" s="50"/>
      <c r="M157" s="50"/>
      <c r="XFC157" s="49"/>
      <c r="XFD157" s="50"/>
    </row>
    <row r="158" spans="1:13 16383:16384">
      <c r="A158" s="49">
        <v>12814</v>
      </c>
      <c r="B158" s="50">
        <v>44940</v>
      </c>
      <c r="C158" s="50" t="s">
        <v>109</v>
      </c>
      <c r="D158" s="50" t="s">
        <v>109</v>
      </c>
      <c r="E158" s="50" t="s">
        <v>110</v>
      </c>
      <c r="F158" s="51">
        <v>0.69444444444444453</v>
      </c>
      <c r="G158" s="50" t="s">
        <v>287</v>
      </c>
      <c r="H158" s="50" t="s">
        <v>2144</v>
      </c>
      <c r="I158" s="51" t="s">
        <v>289</v>
      </c>
      <c r="J158" s="60" t="s">
        <v>298</v>
      </c>
      <c r="K158" s="50"/>
      <c r="L158" s="50"/>
      <c r="M158" s="50"/>
      <c r="XFC158" s="49"/>
      <c r="XFD158" s="50"/>
    </row>
    <row r="159" spans="1:13 16383:16384">
      <c r="A159" s="49">
        <v>30489</v>
      </c>
      <c r="B159" s="50">
        <v>44940</v>
      </c>
      <c r="C159" s="50" t="s">
        <v>120</v>
      </c>
      <c r="D159" s="50" t="s">
        <v>120</v>
      </c>
      <c r="E159" s="50" t="s">
        <v>587</v>
      </c>
      <c r="F159" s="51">
        <v>0.72916666666666663</v>
      </c>
      <c r="G159" s="50" t="s">
        <v>305</v>
      </c>
      <c r="H159" s="50" t="s">
        <v>2144</v>
      </c>
      <c r="I159" s="55" t="s">
        <v>298</v>
      </c>
      <c r="J159" s="50" t="s">
        <v>120</v>
      </c>
      <c r="K159" s="50"/>
      <c r="L159" s="50"/>
      <c r="M159" s="50"/>
      <c r="XFC159" s="49"/>
      <c r="XFD159" s="50"/>
    </row>
    <row r="160" spans="1:13 16383:16384">
      <c r="A160" s="49">
        <v>10687</v>
      </c>
      <c r="B160" s="50">
        <v>44940</v>
      </c>
      <c r="C160" s="50" t="s">
        <v>118</v>
      </c>
      <c r="D160" s="50" t="s">
        <v>118</v>
      </c>
      <c r="E160" s="50" t="s">
        <v>119</v>
      </c>
      <c r="F160" s="51">
        <v>0.75</v>
      </c>
      <c r="G160" s="50" t="s">
        <v>287</v>
      </c>
      <c r="H160" s="50" t="s">
        <v>2144</v>
      </c>
      <c r="I160" s="51" t="s">
        <v>289</v>
      </c>
      <c r="J160" s="60" t="s">
        <v>298</v>
      </c>
      <c r="K160" s="50"/>
      <c r="L160" s="50"/>
      <c r="M160" s="50"/>
      <c r="XFC160" s="49"/>
      <c r="XFD160" s="50"/>
    </row>
    <row r="161" spans="1:13 16383:16384">
      <c r="A161" s="49">
        <v>15380</v>
      </c>
      <c r="B161" s="50">
        <v>44940</v>
      </c>
      <c r="C161" s="50" t="s">
        <v>91</v>
      </c>
      <c r="D161" s="50" t="s">
        <v>91</v>
      </c>
      <c r="E161" s="50" t="s">
        <v>2276</v>
      </c>
      <c r="F161" s="51">
        <v>0.80902777777777779</v>
      </c>
      <c r="G161" s="50" t="s">
        <v>287</v>
      </c>
      <c r="H161" s="50" t="s">
        <v>2144</v>
      </c>
      <c r="I161" s="51" t="s">
        <v>289</v>
      </c>
      <c r="J161" s="60" t="s">
        <v>298</v>
      </c>
      <c r="K161" s="50"/>
      <c r="L161" s="50"/>
      <c r="M161" s="50"/>
      <c r="XFC161" s="49"/>
      <c r="XFD161" s="50"/>
    </row>
    <row r="162" spans="1:13 16383:16384">
      <c r="A162" s="49">
        <v>14302</v>
      </c>
      <c r="B162" s="50">
        <v>44940</v>
      </c>
      <c r="C162" s="50" t="s">
        <v>88</v>
      </c>
      <c r="D162" s="50" t="s">
        <v>2277</v>
      </c>
      <c r="E162" s="50" t="s">
        <v>88</v>
      </c>
      <c r="F162" s="51">
        <v>0.82291666666666663</v>
      </c>
      <c r="G162" s="50" t="s">
        <v>2219</v>
      </c>
      <c r="H162" s="50" t="s">
        <v>2220</v>
      </c>
      <c r="I162" s="51"/>
      <c r="J162" s="50"/>
      <c r="K162" s="50"/>
      <c r="L162" s="50"/>
      <c r="M162" s="50"/>
      <c r="XFC162" s="49"/>
      <c r="XFD162" s="50"/>
    </row>
    <row r="163" spans="1:13 16383:16384">
      <c r="A163" s="49">
        <v>29626</v>
      </c>
      <c r="B163" s="50">
        <v>44940</v>
      </c>
      <c r="C163" s="50" t="s">
        <v>115</v>
      </c>
      <c r="D163" s="50" t="s">
        <v>115</v>
      </c>
      <c r="E163" s="50" t="s">
        <v>2278</v>
      </c>
      <c r="F163" s="51">
        <v>0.86111111111111116</v>
      </c>
      <c r="G163" s="50" t="s">
        <v>287</v>
      </c>
      <c r="H163" s="50" t="s">
        <v>2144</v>
      </c>
      <c r="I163" s="55" t="s">
        <v>288</v>
      </c>
      <c r="J163" s="50" t="s">
        <v>115</v>
      </c>
      <c r="K163" s="50"/>
      <c r="L163" s="50"/>
      <c r="M163" s="50"/>
      <c r="XFC163" s="49"/>
      <c r="XFD163" s="50"/>
    </row>
    <row r="164" spans="1:13 16383:16384">
      <c r="A164" s="49">
        <v>14316</v>
      </c>
      <c r="B164" s="50">
        <v>44940</v>
      </c>
      <c r="C164" s="50" t="s">
        <v>79</v>
      </c>
      <c r="D164" s="50" t="s">
        <v>2279</v>
      </c>
      <c r="E164" s="50" t="s">
        <v>79</v>
      </c>
      <c r="F164" s="51">
        <v>0.86458333333333337</v>
      </c>
      <c r="G164" s="50" t="s">
        <v>589</v>
      </c>
      <c r="H164" s="50" t="s">
        <v>2221</v>
      </c>
      <c r="I164" s="51"/>
      <c r="J164" s="50"/>
      <c r="K164" s="50"/>
      <c r="L164" s="50"/>
      <c r="M164" s="50"/>
      <c r="XFC164" s="49"/>
      <c r="XFD164" s="50"/>
    </row>
    <row r="165" spans="1:13 16383:16384">
      <c r="A165" s="49">
        <v>34071</v>
      </c>
      <c r="B165" s="50">
        <v>44947</v>
      </c>
      <c r="C165" s="50" t="s">
        <v>346</v>
      </c>
      <c r="D165" s="50" t="s">
        <v>2284</v>
      </c>
      <c r="E165" s="50" t="s">
        <v>346</v>
      </c>
      <c r="F165" s="51">
        <v>0.375</v>
      </c>
      <c r="G165" s="50" t="s">
        <v>546</v>
      </c>
      <c r="H165" s="50" t="s">
        <v>2169</v>
      </c>
      <c r="I165" s="51"/>
      <c r="J165" s="50"/>
      <c r="K165" s="50"/>
      <c r="L165" s="50"/>
      <c r="M165" s="50"/>
      <c r="XFC165" s="49"/>
      <c r="XFD165" s="50"/>
    </row>
    <row r="166" spans="1:13 16383:16384">
      <c r="A166" s="49">
        <v>17812</v>
      </c>
      <c r="B166" s="50">
        <v>44947</v>
      </c>
      <c r="C166" s="50" t="s">
        <v>40</v>
      </c>
      <c r="D166" s="50" t="s">
        <v>40</v>
      </c>
      <c r="E166" s="50" t="s">
        <v>2281</v>
      </c>
      <c r="F166" s="51">
        <v>0.375</v>
      </c>
      <c r="G166" s="50" t="s">
        <v>287</v>
      </c>
      <c r="H166" s="50" t="s">
        <v>2144</v>
      </c>
      <c r="I166" s="55" t="s">
        <v>2132</v>
      </c>
      <c r="J166" s="50" t="s">
        <v>40</v>
      </c>
      <c r="K166" s="50"/>
      <c r="L166" s="50"/>
      <c r="M166" s="50"/>
      <c r="XFC166" s="49"/>
      <c r="XFD166" s="50"/>
    </row>
    <row r="167" spans="1:13 16383:16384">
      <c r="A167" s="49">
        <v>18369</v>
      </c>
      <c r="B167" s="50">
        <v>44947</v>
      </c>
      <c r="C167" s="50" t="s">
        <v>36</v>
      </c>
      <c r="D167" s="50" t="s">
        <v>36</v>
      </c>
      <c r="E167" s="50" t="s">
        <v>753</v>
      </c>
      <c r="F167" s="51">
        <v>0.375</v>
      </c>
      <c r="G167" s="50" t="s">
        <v>287</v>
      </c>
      <c r="H167" s="50" t="s">
        <v>2144</v>
      </c>
      <c r="I167" s="55" t="s">
        <v>2131</v>
      </c>
      <c r="J167" s="50" t="s">
        <v>36</v>
      </c>
      <c r="K167" s="50"/>
      <c r="L167" s="50"/>
      <c r="M167" s="50"/>
      <c r="XFC167" s="49"/>
      <c r="XFD167" s="50"/>
    </row>
    <row r="168" spans="1:13 16383:16384">
      <c r="A168" s="49">
        <v>18368</v>
      </c>
      <c r="B168" s="50">
        <v>44947</v>
      </c>
      <c r="C168" s="50" t="s">
        <v>67</v>
      </c>
      <c r="D168" s="50" t="s">
        <v>67</v>
      </c>
      <c r="E168" s="50" t="s">
        <v>2282</v>
      </c>
      <c r="F168" s="51">
        <v>0.375</v>
      </c>
      <c r="G168" s="50" t="s">
        <v>287</v>
      </c>
      <c r="H168" s="50" t="s">
        <v>2144</v>
      </c>
      <c r="I168" s="55" t="s">
        <v>800</v>
      </c>
      <c r="J168" s="50" t="s">
        <v>67</v>
      </c>
      <c r="K168" s="50"/>
      <c r="L168" s="50"/>
      <c r="M168" s="50"/>
      <c r="XFC168" s="49"/>
      <c r="XFD168" s="50"/>
    </row>
    <row r="169" spans="1:13 16383:16384">
      <c r="A169" s="49">
        <v>17813</v>
      </c>
      <c r="B169" s="50">
        <v>44947</v>
      </c>
      <c r="C169" s="50" t="s">
        <v>20</v>
      </c>
      <c r="D169" s="50" t="s">
        <v>20</v>
      </c>
      <c r="E169" s="50" t="s">
        <v>2280</v>
      </c>
      <c r="F169" s="51">
        <v>0.375</v>
      </c>
      <c r="G169" s="50" t="s">
        <v>373</v>
      </c>
      <c r="H169" s="50" t="s">
        <v>2144</v>
      </c>
      <c r="I169" s="55" t="s">
        <v>1955</v>
      </c>
      <c r="J169" s="50" t="s">
        <v>20</v>
      </c>
      <c r="K169" s="50"/>
      <c r="L169" s="50"/>
      <c r="M169" s="50"/>
      <c r="XFC169" s="49"/>
      <c r="XFD169" s="50"/>
    </row>
    <row r="170" spans="1:13 16383:16384">
      <c r="A170" s="49">
        <v>14490</v>
      </c>
      <c r="B170" s="50">
        <v>44947</v>
      </c>
      <c r="C170" s="50" t="s">
        <v>43</v>
      </c>
      <c r="D170" s="50" t="s">
        <v>43</v>
      </c>
      <c r="E170" s="50" t="s">
        <v>2283</v>
      </c>
      <c r="F170" s="51">
        <v>0.375</v>
      </c>
      <c r="G170" s="50" t="s">
        <v>373</v>
      </c>
      <c r="H170" s="50" t="s">
        <v>2144</v>
      </c>
      <c r="I170" s="55" t="s">
        <v>417</v>
      </c>
      <c r="J170" s="50" t="s">
        <v>43</v>
      </c>
      <c r="K170" s="50"/>
      <c r="L170" s="50"/>
      <c r="M170" s="50"/>
      <c r="XFC170" s="49"/>
      <c r="XFD170" s="50"/>
    </row>
    <row r="171" spans="1:13 16383:16384">
      <c r="A171" s="49">
        <v>20823</v>
      </c>
      <c r="B171" s="50">
        <v>44947</v>
      </c>
      <c r="C171" s="50" t="s">
        <v>32</v>
      </c>
      <c r="D171" s="50" t="s">
        <v>32</v>
      </c>
      <c r="E171" s="50" t="s">
        <v>2286</v>
      </c>
      <c r="F171" s="51">
        <v>0.41666666666666669</v>
      </c>
      <c r="G171" s="50" t="s">
        <v>287</v>
      </c>
      <c r="H171" s="50" t="s">
        <v>2144</v>
      </c>
      <c r="I171" s="55" t="s">
        <v>1480</v>
      </c>
      <c r="J171" s="50" t="s">
        <v>32</v>
      </c>
      <c r="K171" s="50"/>
      <c r="L171" s="50"/>
      <c r="M171" s="50"/>
      <c r="XFC171" s="49"/>
      <c r="XFD171" s="50"/>
    </row>
    <row r="172" spans="1:13 16383:16384">
      <c r="A172" s="49">
        <v>13374</v>
      </c>
      <c r="B172" s="50">
        <v>44947</v>
      </c>
      <c r="C172" s="50" t="s">
        <v>53</v>
      </c>
      <c r="D172" s="50" t="s">
        <v>850</v>
      </c>
      <c r="E172" s="50" t="s">
        <v>53</v>
      </c>
      <c r="F172" s="51">
        <v>0.41666666666666669</v>
      </c>
      <c r="G172" s="50" t="s">
        <v>816</v>
      </c>
      <c r="H172" s="50" t="s">
        <v>2256</v>
      </c>
      <c r="I172" s="51"/>
      <c r="J172" s="50"/>
      <c r="K172" s="50"/>
      <c r="L172" s="50"/>
      <c r="M172" s="50"/>
      <c r="XFC172" s="49"/>
      <c r="XFD172" s="50"/>
    </row>
    <row r="173" spans="1:13 16383:16384">
      <c r="A173" s="49">
        <v>20813</v>
      </c>
      <c r="B173" s="50">
        <v>44947</v>
      </c>
      <c r="C173" s="50" t="s">
        <v>15</v>
      </c>
      <c r="D173" s="50" t="s">
        <v>15</v>
      </c>
      <c r="E173" s="50" t="s">
        <v>2285</v>
      </c>
      <c r="F173" s="51">
        <v>0.41666666666666669</v>
      </c>
      <c r="G173" s="50" t="s">
        <v>373</v>
      </c>
      <c r="H173" s="50" t="s">
        <v>2144</v>
      </c>
      <c r="I173" s="55" t="s">
        <v>456</v>
      </c>
      <c r="J173" s="50" t="s">
        <v>15</v>
      </c>
      <c r="K173" s="50"/>
      <c r="L173" s="50"/>
      <c r="M173" s="50"/>
      <c r="XFC173" s="49"/>
      <c r="XFD173" s="50"/>
    </row>
    <row r="174" spans="1:13 16383:16384">
      <c r="A174" s="49">
        <v>20899</v>
      </c>
      <c r="B174" s="50">
        <v>44947</v>
      </c>
      <c r="C174" s="50" t="s">
        <v>99</v>
      </c>
      <c r="D174" s="50" t="s">
        <v>956</v>
      </c>
      <c r="E174" s="50" t="s">
        <v>99</v>
      </c>
      <c r="F174" s="51">
        <v>0.4201388888888889</v>
      </c>
      <c r="G174" s="50" t="s">
        <v>334</v>
      </c>
      <c r="H174" s="50" t="s">
        <v>2151</v>
      </c>
      <c r="I174" s="51"/>
      <c r="J174" s="50"/>
      <c r="K174" s="50"/>
      <c r="L174" s="50"/>
      <c r="M174" s="50"/>
      <c r="XFC174" s="49"/>
      <c r="XFD174" s="50"/>
    </row>
    <row r="175" spans="1:13 16383:16384">
      <c r="A175" s="49">
        <v>33850</v>
      </c>
      <c r="B175" s="50">
        <v>44947</v>
      </c>
      <c r="C175" s="50" t="s">
        <v>711</v>
      </c>
      <c r="D175" s="50" t="s">
        <v>2288</v>
      </c>
      <c r="E175" s="50" t="s">
        <v>711</v>
      </c>
      <c r="F175" s="51">
        <v>0.45833333333333331</v>
      </c>
      <c r="G175" s="50" t="s">
        <v>295</v>
      </c>
      <c r="H175" s="50" t="s">
        <v>2161</v>
      </c>
      <c r="I175" s="51"/>
      <c r="J175" s="50"/>
      <c r="K175" s="50"/>
      <c r="L175" s="50"/>
      <c r="M175" s="50"/>
      <c r="XFC175" s="49"/>
      <c r="XFD175" s="50"/>
    </row>
    <row r="176" spans="1:13 16383:16384">
      <c r="A176" s="49">
        <v>20545</v>
      </c>
      <c r="B176" s="50">
        <v>44947</v>
      </c>
      <c r="C176" s="50" t="s">
        <v>57</v>
      </c>
      <c r="D176" s="50" t="s">
        <v>57</v>
      </c>
      <c r="E176" s="50" t="s">
        <v>2287</v>
      </c>
      <c r="F176" s="51">
        <v>0.45833333333333331</v>
      </c>
      <c r="G176" s="50" t="s">
        <v>373</v>
      </c>
      <c r="H176" s="50" t="s">
        <v>2144</v>
      </c>
      <c r="I176" s="51" t="s">
        <v>289</v>
      </c>
      <c r="J176" s="60" t="s">
        <v>298</v>
      </c>
      <c r="K176" s="50"/>
      <c r="L176" s="50"/>
      <c r="M176" s="50"/>
      <c r="XFC176" s="49"/>
      <c r="XFD176" s="50"/>
    </row>
    <row r="177" spans="1:13 16383:16384">
      <c r="A177" s="49">
        <v>25939</v>
      </c>
      <c r="B177" s="50">
        <v>44947</v>
      </c>
      <c r="C177" s="50" t="s">
        <v>47</v>
      </c>
      <c r="D177" s="50" t="s">
        <v>47</v>
      </c>
      <c r="E177" s="50" t="s">
        <v>489</v>
      </c>
      <c r="F177" s="51">
        <v>0.46527777777777773</v>
      </c>
      <c r="G177" s="50" t="s">
        <v>287</v>
      </c>
      <c r="H177" s="50" t="s">
        <v>2144</v>
      </c>
      <c r="I177" s="55" t="s">
        <v>506</v>
      </c>
      <c r="J177" s="50" t="s">
        <v>47</v>
      </c>
      <c r="K177" s="50"/>
      <c r="L177" s="50"/>
      <c r="M177" s="50"/>
      <c r="XFC177" s="49"/>
      <c r="XFD177" s="50"/>
    </row>
    <row r="178" spans="1:13 16383:16384">
      <c r="A178" s="49">
        <v>29686</v>
      </c>
      <c r="B178" s="50">
        <v>44947</v>
      </c>
      <c r="C178" s="50" t="s">
        <v>120</v>
      </c>
      <c r="D178" s="50" t="s">
        <v>2289</v>
      </c>
      <c r="E178" s="50" t="s">
        <v>120</v>
      </c>
      <c r="F178" s="51">
        <v>0.5</v>
      </c>
      <c r="G178" s="50" t="s">
        <v>310</v>
      </c>
      <c r="H178" s="50" t="s">
        <v>2290</v>
      </c>
      <c r="I178" s="51"/>
      <c r="J178" s="50"/>
      <c r="K178" s="50"/>
      <c r="L178" s="50"/>
      <c r="M178" s="50"/>
      <c r="XFC178" s="49"/>
      <c r="XFD178" s="50"/>
    </row>
    <row r="179" spans="1:13 16383:16384">
      <c r="A179" s="49">
        <v>15696</v>
      </c>
      <c r="B179" s="50">
        <v>44947</v>
      </c>
      <c r="C179" s="50" t="s">
        <v>85</v>
      </c>
      <c r="D179" s="50" t="s">
        <v>85</v>
      </c>
      <c r="E179" s="50" t="s">
        <v>185</v>
      </c>
      <c r="F179" s="51">
        <v>0.51388888888888895</v>
      </c>
      <c r="G179" s="50" t="s">
        <v>287</v>
      </c>
      <c r="H179" s="50" t="s">
        <v>2144</v>
      </c>
      <c r="I179" s="51" t="s">
        <v>289</v>
      </c>
      <c r="J179" s="60" t="s">
        <v>328</v>
      </c>
      <c r="K179" s="50"/>
      <c r="L179" s="50"/>
      <c r="M179" s="50"/>
      <c r="XFC179" s="49"/>
      <c r="XFD179" s="50"/>
    </row>
    <row r="180" spans="1:13 16383:16384">
      <c r="A180" s="49">
        <v>14341</v>
      </c>
      <c r="B180" s="50">
        <v>44947</v>
      </c>
      <c r="C180" s="50" t="s">
        <v>79</v>
      </c>
      <c r="D180" s="50" t="s">
        <v>87</v>
      </c>
      <c r="E180" s="50" t="s">
        <v>79</v>
      </c>
      <c r="F180" s="51">
        <v>0.53472222222222221</v>
      </c>
      <c r="G180" s="50" t="s">
        <v>1631</v>
      </c>
      <c r="H180" s="50" t="s">
        <v>2151</v>
      </c>
      <c r="I180" s="51"/>
      <c r="J180" s="50"/>
      <c r="K180" s="50"/>
      <c r="L180" s="50"/>
      <c r="M180" s="50"/>
      <c r="XFC180" s="49"/>
      <c r="XFD180" s="50"/>
    </row>
    <row r="181" spans="1:13 16383:16384">
      <c r="A181" s="49">
        <v>19339</v>
      </c>
      <c r="B181" s="50">
        <v>44947</v>
      </c>
      <c r="C181" s="50" t="s">
        <v>62</v>
      </c>
      <c r="D181" s="50" t="s">
        <v>2292</v>
      </c>
      <c r="E181" s="50" t="s">
        <v>62</v>
      </c>
      <c r="F181" s="51">
        <v>0.55208333333333337</v>
      </c>
      <c r="G181" s="50" t="s">
        <v>376</v>
      </c>
      <c r="H181" s="50" t="s">
        <v>2158</v>
      </c>
      <c r="I181" s="51"/>
      <c r="J181" s="50"/>
      <c r="K181" s="50"/>
      <c r="L181" s="50"/>
      <c r="M181" s="50"/>
      <c r="XFC181" s="49"/>
      <c r="XFD181" s="50"/>
    </row>
    <row r="182" spans="1:13 16383:16384">
      <c r="A182" s="49">
        <v>14327</v>
      </c>
      <c r="B182" s="50">
        <v>44947</v>
      </c>
      <c r="C182" s="50" t="s">
        <v>88</v>
      </c>
      <c r="D182" s="50" t="s">
        <v>2291</v>
      </c>
      <c r="E182" s="50" t="s">
        <v>88</v>
      </c>
      <c r="F182" s="51">
        <v>0.55208333333333337</v>
      </c>
      <c r="G182" s="50" t="s">
        <v>874</v>
      </c>
      <c r="H182" s="50" t="s">
        <v>2204</v>
      </c>
      <c r="I182" s="51"/>
      <c r="J182" s="50"/>
      <c r="K182" s="50"/>
      <c r="L182" s="50"/>
      <c r="M182" s="50"/>
      <c r="XFC182" s="49"/>
      <c r="XFD182" s="50"/>
    </row>
    <row r="183" spans="1:13 16383:16384">
      <c r="A183" s="49">
        <v>17961</v>
      </c>
      <c r="B183" s="50">
        <v>44947</v>
      </c>
      <c r="C183" s="50" t="s">
        <v>82</v>
      </c>
      <c r="D183" s="50" t="s">
        <v>82</v>
      </c>
      <c r="E183" s="50" t="s">
        <v>2293</v>
      </c>
      <c r="F183" s="51">
        <v>0.56944444444444442</v>
      </c>
      <c r="G183" s="50" t="s">
        <v>287</v>
      </c>
      <c r="H183" s="50" t="s">
        <v>2144</v>
      </c>
      <c r="I183" s="51" t="s">
        <v>289</v>
      </c>
      <c r="J183" s="60" t="s">
        <v>328</v>
      </c>
      <c r="K183" s="50"/>
      <c r="L183" s="50"/>
      <c r="M183" s="50"/>
      <c r="XFC183" s="49"/>
      <c r="XFD183" s="50"/>
    </row>
    <row r="184" spans="1:13 16383:16384">
      <c r="A184" s="49">
        <v>15816</v>
      </c>
      <c r="B184" s="50">
        <v>44947</v>
      </c>
      <c r="C184" s="50" t="s">
        <v>50</v>
      </c>
      <c r="D184" s="50" t="s">
        <v>133</v>
      </c>
      <c r="E184" s="50" t="s">
        <v>50</v>
      </c>
      <c r="F184" s="51">
        <v>0.58333333333333337</v>
      </c>
      <c r="G184" s="50" t="s">
        <v>589</v>
      </c>
      <c r="H184" s="50" t="s">
        <v>2221</v>
      </c>
      <c r="I184" s="51"/>
      <c r="J184" s="50"/>
      <c r="K184" s="50"/>
      <c r="L184" s="50"/>
      <c r="M184" s="50"/>
      <c r="XFC184" s="49"/>
      <c r="XFD184" s="50"/>
    </row>
    <row r="185" spans="1:13 16383:16384">
      <c r="A185" s="49">
        <v>15480</v>
      </c>
      <c r="B185" s="50">
        <v>44947</v>
      </c>
      <c r="C185" s="50" t="s">
        <v>91</v>
      </c>
      <c r="D185" s="50" t="s">
        <v>91</v>
      </c>
      <c r="E185" s="50" t="s">
        <v>2294</v>
      </c>
      <c r="F185" s="51">
        <v>0.625</v>
      </c>
      <c r="G185" s="50" t="s">
        <v>287</v>
      </c>
      <c r="H185" s="50" t="s">
        <v>2144</v>
      </c>
      <c r="I185" s="51" t="s">
        <v>289</v>
      </c>
      <c r="J185" s="60" t="s">
        <v>338</v>
      </c>
      <c r="K185" s="50"/>
      <c r="L185" s="50"/>
      <c r="M185" s="50"/>
      <c r="XFC185" s="49"/>
      <c r="XFD185" s="50"/>
    </row>
    <row r="186" spans="1:13 16383:16384">
      <c r="A186" s="49">
        <v>13006</v>
      </c>
      <c r="B186" s="50">
        <v>44947</v>
      </c>
      <c r="C186" s="50" t="s">
        <v>109</v>
      </c>
      <c r="D186" s="50" t="s">
        <v>109</v>
      </c>
      <c r="E186" s="50" t="s">
        <v>2295</v>
      </c>
      <c r="F186" s="51">
        <v>0.69097222222222221</v>
      </c>
      <c r="G186" s="50" t="s">
        <v>287</v>
      </c>
      <c r="H186" s="50" t="s">
        <v>2144</v>
      </c>
      <c r="I186" s="51" t="s">
        <v>289</v>
      </c>
      <c r="J186" s="60" t="s">
        <v>338</v>
      </c>
      <c r="K186" s="50"/>
      <c r="L186" s="50"/>
      <c r="M186" s="50"/>
      <c r="XFC186" s="49"/>
      <c r="XFD186" s="50"/>
    </row>
    <row r="187" spans="1:13 16383:16384">
      <c r="A187" s="49">
        <v>10887</v>
      </c>
      <c r="B187" s="50">
        <v>44947</v>
      </c>
      <c r="C187" s="50" t="s">
        <v>118</v>
      </c>
      <c r="D187" s="50" t="s">
        <v>118</v>
      </c>
      <c r="E187" s="50" t="s">
        <v>326</v>
      </c>
      <c r="F187" s="51">
        <v>0.75</v>
      </c>
      <c r="G187" s="50" t="s">
        <v>287</v>
      </c>
      <c r="H187" s="50" t="s">
        <v>2144</v>
      </c>
      <c r="I187" s="51" t="s">
        <v>289</v>
      </c>
      <c r="J187" s="60" t="s">
        <v>288</v>
      </c>
      <c r="K187" s="50"/>
      <c r="L187" s="50"/>
      <c r="M187" s="50"/>
      <c r="XFC187" s="49"/>
      <c r="XFD187" s="50"/>
    </row>
    <row r="188" spans="1:13 16383:16384">
      <c r="A188" s="49">
        <v>23595</v>
      </c>
      <c r="B188" s="50">
        <v>44947</v>
      </c>
      <c r="C188" s="50" t="s">
        <v>71</v>
      </c>
      <c r="D188" s="50" t="s">
        <v>71</v>
      </c>
      <c r="E188" s="50" t="s">
        <v>2296</v>
      </c>
      <c r="F188" s="51">
        <v>0.75</v>
      </c>
      <c r="G188" s="50" t="s">
        <v>373</v>
      </c>
      <c r="H188" s="50" t="s">
        <v>2144</v>
      </c>
      <c r="I188" s="55" t="s">
        <v>606</v>
      </c>
      <c r="J188" s="50" t="s">
        <v>71</v>
      </c>
      <c r="K188" s="50"/>
      <c r="L188" s="50"/>
      <c r="M188" s="50"/>
      <c r="XFC188" s="49"/>
      <c r="XFD188" s="50"/>
    </row>
    <row r="189" spans="1:13 16383:16384">
      <c r="A189" s="49">
        <v>23557</v>
      </c>
      <c r="B189" s="50">
        <v>44947</v>
      </c>
      <c r="C189" s="50" t="s">
        <v>74</v>
      </c>
      <c r="D189" s="50" t="s">
        <v>74</v>
      </c>
      <c r="E189" s="50" t="s">
        <v>2297</v>
      </c>
      <c r="F189" s="51">
        <v>0.79166666666666663</v>
      </c>
      <c r="G189" s="50" t="s">
        <v>373</v>
      </c>
      <c r="H189" s="50" t="s">
        <v>2144</v>
      </c>
      <c r="I189" s="55" t="s">
        <v>306</v>
      </c>
      <c r="J189" s="50" t="s">
        <v>74</v>
      </c>
      <c r="K189" s="50"/>
      <c r="L189" s="50"/>
      <c r="M189" s="50"/>
      <c r="XFC189" s="49"/>
      <c r="XFD189" s="50"/>
    </row>
    <row r="190" spans="1:13 16383:16384">
      <c r="A190" s="49">
        <v>28245</v>
      </c>
      <c r="B190" s="50">
        <v>44947</v>
      </c>
      <c r="C190" s="50" t="s">
        <v>95</v>
      </c>
      <c r="D190" s="50" t="s">
        <v>95</v>
      </c>
      <c r="E190" s="50" t="s">
        <v>215</v>
      </c>
      <c r="F190" s="51">
        <v>0.8125</v>
      </c>
      <c r="G190" s="50" t="s">
        <v>305</v>
      </c>
      <c r="H190" s="50" t="s">
        <v>2144</v>
      </c>
      <c r="I190" s="55" t="s">
        <v>566</v>
      </c>
      <c r="J190" s="50" t="s">
        <v>95</v>
      </c>
      <c r="K190" s="50"/>
      <c r="L190" s="50"/>
      <c r="M190" s="50"/>
      <c r="XFC190" s="49"/>
      <c r="XFD190" s="50"/>
    </row>
    <row r="191" spans="1:13 16383:16384">
      <c r="A191" s="49">
        <v>13741</v>
      </c>
      <c r="B191" s="50">
        <v>44947</v>
      </c>
      <c r="C191" s="50" t="s">
        <v>123</v>
      </c>
      <c r="D191" s="50" t="s">
        <v>123</v>
      </c>
      <c r="E191" s="50" t="s">
        <v>2298</v>
      </c>
      <c r="F191" s="51">
        <v>0.8125</v>
      </c>
      <c r="G191" s="50" t="s">
        <v>287</v>
      </c>
      <c r="H191" s="50" t="s">
        <v>2144</v>
      </c>
      <c r="I191" s="51" t="s">
        <v>289</v>
      </c>
      <c r="J191" s="60" t="s">
        <v>288</v>
      </c>
      <c r="K191" s="50"/>
      <c r="L191" s="50"/>
      <c r="M191" s="50"/>
      <c r="XFC191" s="49"/>
      <c r="XFD191" s="50"/>
    </row>
    <row r="192" spans="1:13 16383:16384">
      <c r="A192" s="49">
        <v>29642</v>
      </c>
      <c r="B192" s="50">
        <v>44947</v>
      </c>
      <c r="C192" s="50" t="s">
        <v>569</v>
      </c>
      <c r="D192" s="50" t="s">
        <v>569</v>
      </c>
      <c r="E192" s="50" t="s">
        <v>2153</v>
      </c>
      <c r="F192" s="51">
        <v>0.86111111111111116</v>
      </c>
      <c r="G192" s="50" t="s">
        <v>305</v>
      </c>
      <c r="H192" s="50" t="s">
        <v>2144</v>
      </c>
      <c r="I192" s="55" t="s">
        <v>1964</v>
      </c>
      <c r="J192" s="50" t="s">
        <v>569</v>
      </c>
      <c r="K192" s="50"/>
      <c r="L192" s="50"/>
      <c r="M192" s="50"/>
      <c r="XFC192" s="49"/>
      <c r="XFD192" s="50"/>
    </row>
    <row r="193" spans="1:13 16383:16384">
      <c r="A193" s="49">
        <v>30807</v>
      </c>
      <c r="B193" s="50">
        <v>44947</v>
      </c>
      <c r="C193" s="50" t="s">
        <v>115</v>
      </c>
      <c r="D193" s="50" t="s">
        <v>115</v>
      </c>
      <c r="E193" s="50" t="s">
        <v>2299</v>
      </c>
      <c r="F193" s="51">
        <v>0.86111111111111116</v>
      </c>
      <c r="G193" s="50" t="s">
        <v>287</v>
      </c>
      <c r="H193" s="50" t="s">
        <v>2144</v>
      </c>
      <c r="I193" s="55" t="s">
        <v>2136</v>
      </c>
      <c r="J193" s="50" t="s">
        <v>115</v>
      </c>
      <c r="K193" s="50"/>
      <c r="L193" s="50"/>
      <c r="M193" s="50"/>
      <c r="XFC193" s="49"/>
      <c r="XFD193" s="50"/>
    </row>
    <row r="194" spans="1:13 16383:16384">
      <c r="A194" s="49">
        <v>15078</v>
      </c>
      <c r="B194" s="50">
        <v>44954</v>
      </c>
      <c r="C194" s="50" t="s">
        <v>43</v>
      </c>
      <c r="D194" s="50" t="s">
        <v>2301</v>
      </c>
      <c r="E194" s="50" t="s">
        <v>43</v>
      </c>
      <c r="F194" s="51">
        <v>0.375</v>
      </c>
      <c r="G194" s="50" t="s">
        <v>451</v>
      </c>
      <c r="H194" s="50" t="s">
        <v>2262</v>
      </c>
      <c r="I194" s="51"/>
      <c r="J194" s="50"/>
      <c r="K194" s="50"/>
      <c r="L194" s="50"/>
      <c r="M194" s="50"/>
      <c r="XFC194" s="49"/>
      <c r="XFD194" s="50"/>
    </row>
    <row r="195" spans="1:13 16383:16384">
      <c r="A195" s="49">
        <v>33851</v>
      </c>
      <c r="B195" s="50">
        <v>44954</v>
      </c>
      <c r="C195" s="50" t="s">
        <v>711</v>
      </c>
      <c r="D195" s="50" t="s">
        <v>711</v>
      </c>
      <c r="E195" s="50" t="s">
        <v>2300</v>
      </c>
      <c r="F195" s="51">
        <v>0.375</v>
      </c>
      <c r="G195" s="50" t="s">
        <v>287</v>
      </c>
      <c r="H195" s="50" t="s">
        <v>2144</v>
      </c>
      <c r="I195" s="55" t="s">
        <v>567</v>
      </c>
      <c r="J195" s="50" t="s">
        <v>711</v>
      </c>
      <c r="K195" s="50"/>
      <c r="L195" s="50"/>
      <c r="M195" s="50"/>
      <c r="XFC195" s="49"/>
      <c r="XFD195" s="50"/>
    </row>
    <row r="196" spans="1:13 16383:16384">
      <c r="A196" s="49">
        <v>14928</v>
      </c>
      <c r="B196" s="50">
        <v>44954</v>
      </c>
      <c r="C196" s="50" t="s">
        <v>53</v>
      </c>
      <c r="D196" s="50" t="s">
        <v>53</v>
      </c>
      <c r="E196" s="50" t="s">
        <v>186</v>
      </c>
      <c r="F196" s="51">
        <v>0.375</v>
      </c>
      <c r="G196" s="50" t="s">
        <v>287</v>
      </c>
      <c r="H196" s="50" t="s">
        <v>2144</v>
      </c>
      <c r="I196" s="55" t="s">
        <v>785</v>
      </c>
      <c r="J196" s="50" t="s">
        <v>53</v>
      </c>
      <c r="K196" s="50"/>
      <c r="L196" s="50"/>
      <c r="M196" s="50"/>
      <c r="XFC196" s="49"/>
      <c r="XFD196" s="50"/>
    </row>
    <row r="197" spans="1:13 16383:16384">
      <c r="A197" s="49">
        <v>35321</v>
      </c>
      <c r="B197" s="50">
        <v>44954</v>
      </c>
      <c r="C197" s="50" t="s">
        <v>25</v>
      </c>
      <c r="D197" s="50" t="s">
        <v>25</v>
      </c>
      <c r="E197" s="50" t="s">
        <v>2302</v>
      </c>
      <c r="F197" s="51">
        <v>0.375</v>
      </c>
      <c r="G197" s="50" t="s">
        <v>287</v>
      </c>
      <c r="H197" s="50" t="s">
        <v>2144</v>
      </c>
      <c r="I197" s="55" t="s">
        <v>444</v>
      </c>
      <c r="J197" s="50" t="s">
        <v>25</v>
      </c>
      <c r="K197" s="50"/>
      <c r="L197" s="50"/>
      <c r="M197" s="50"/>
      <c r="XFC197" s="49"/>
      <c r="XFD197" s="50"/>
    </row>
    <row r="198" spans="1:13 16383:16384">
      <c r="A198" s="49">
        <v>19057</v>
      </c>
      <c r="B198" s="50">
        <v>44954</v>
      </c>
      <c r="C198" s="50" t="s">
        <v>20</v>
      </c>
      <c r="D198" s="50" t="s">
        <v>814</v>
      </c>
      <c r="E198" s="50" t="s">
        <v>20</v>
      </c>
      <c r="F198" s="51">
        <v>0.41666666666666669</v>
      </c>
      <c r="G198" s="50" t="s">
        <v>816</v>
      </c>
      <c r="H198" s="50" t="s">
        <v>2256</v>
      </c>
      <c r="I198" s="51"/>
      <c r="J198" s="50"/>
      <c r="K198" s="50"/>
      <c r="L198" s="50"/>
      <c r="M198" s="50"/>
      <c r="XFC198" s="49"/>
      <c r="XFD198" s="50"/>
    </row>
    <row r="199" spans="1:13 16383:16384">
      <c r="A199" s="49">
        <v>34072</v>
      </c>
      <c r="B199" s="50">
        <v>44954</v>
      </c>
      <c r="C199" s="50" t="s">
        <v>346</v>
      </c>
      <c r="D199" s="50" t="s">
        <v>346</v>
      </c>
      <c r="E199" s="50" t="s">
        <v>2303</v>
      </c>
      <c r="F199" s="51">
        <v>0.4375</v>
      </c>
      <c r="G199" s="50" t="s">
        <v>305</v>
      </c>
      <c r="H199" s="50" t="s">
        <v>2144</v>
      </c>
      <c r="I199" s="55" t="s">
        <v>2134</v>
      </c>
      <c r="J199" s="50" t="s">
        <v>346</v>
      </c>
      <c r="K199" s="50"/>
      <c r="L199" s="50"/>
      <c r="M199" s="50"/>
      <c r="XFC199" s="49"/>
      <c r="XFD199" s="50"/>
    </row>
    <row r="200" spans="1:13 16383:16384">
      <c r="A200" s="49">
        <v>19066</v>
      </c>
      <c r="B200" s="50">
        <v>44954</v>
      </c>
      <c r="C200" s="50" t="s">
        <v>64</v>
      </c>
      <c r="D200" s="50" t="s">
        <v>2304</v>
      </c>
      <c r="E200" s="50" t="s">
        <v>64</v>
      </c>
      <c r="F200" s="51">
        <v>0.44791666666666669</v>
      </c>
      <c r="G200" s="50" t="s">
        <v>1893</v>
      </c>
      <c r="H200" s="50" t="s">
        <v>2305</v>
      </c>
      <c r="I200" s="51"/>
      <c r="J200" s="50"/>
      <c r="K200" s="50"/>
      <c r="L200" s="50"/>
      <c r="M200" s="50"/>
      <c r="XFC200" s="49"/>
      <c r="XFD200" s="50"/>
    </row>
    <row r="201" spans="1:13 16383:16384">
      <c r="A201" s="49">
        <v>28487</v>
      </c>
      <c r="B201" s="50">
        <v>44954</v>
      </c>
      <c r="C201" s="50" t="s">
        <v>102</v>
      </c>
      <c r="D201" s="50" t="s">
        <v>102</v>
      </c>
      <c r="E201" s="50" t="s">
        <v>2306</v>
      </c>
      <c r="F201" s="51">
        <v>0.47916666666666669</v>
      </c>
      <c r="G201" s="50" t="s">
        <v>305</v>
      </c>
      <c r="H201" s="50" t="s">
        <v>2144</v>
      </c>
      <c r="I201" s="55" t="s">
        <v>2082</v>
      </c>
      <c r="J201" s="50" t="s">
        <v>102</v>
      </c>
      <c r="K201" s="50"/>
      <c r="L201" s="50"/>
      <c r="M201" s="50"/>
      <c r="XFC201" s="49"/>
      <c r="XFD201" s="50"/>
    </row>
    <row r="202" spans="1:13 16383:16384">
      <c r="A202" s="49">
        <v>34519</v>
      </c>
      <c r="B202" s="50">
        <v>44954</v>
      </c>
      <c r="C202" s="50" t="s">
        <v>152</v>
      </c>
      <c r="D202" s="50" t="s">
        <v>242</v>
      </c>
      <c r="E202" s="50" t="s">
        <v>152</v>
      </c>
      <c r="F202" s="51">
        <v>0.47916666666666669</v>
      </c>
      <c r="G202" s="50" t="s">
        <v>287</v>
      </c>
      <c r="H202" s="50" t="s">
        <v>2144</v>
      </c>
      <c r="I202" s="51"/>
      <c r="J202" s="50"/>
      <c r="K202" s="50"/>
      <c r="L202" s="50"/>
      <c r="M202" s="50"/>
      <c r="XFC202" s="49"/>
      <c r="XFD202" s="50"/>
    </row>
    <row r="203" spans="1:13 16383:16384">
      <c r="A203" s="49">
        <v>24660</v>
      </c>
      <c r="B203" s="50">
        <v>44954</v>
      </c>
      <c r="C203" s="50" t="s">
        <v>71</v>
      </c>
      <c r="D203" s="50" t="s">
        <v>2307</v>
      </c>
      <c r="E203" s="50" t="s">
        <v>71</v>
      </c>
      <c r="F203" s="51">
        <v>0.5</v>
      </c>
      <c r="G203" s="50" t="s">
        <v>334</v>
      </c>
      <c r="H203" s="50" t="s">
        <v>2151</v>
      </c>
      <c r="I203" s="51"/>
      <c r="J203" s="50"/>
      <c r="K203" s="50"/>
      <c r="L203" s="50"/>
      <c r="M203" s="50"/>
      <c r="XFC203" s="49"/>
      <c r="XFD203" s="50"/>
    </row>
    <row r="204" spans="1:13 16383:16384">
      <c r="A204" s="49">
        <v>34503</v>
      </c>
      <c r="B204" s="50">
        <v>44954</v>
      </c>
      <c r="C204" s="50" t="s">
        <v>152</v>
      </c>
      <c r="D204" s="50" t="s">
        <v>152</v>
      </c>
      <c r="E204" s="50" t="s">
        <v>2308</v>
      </c>
      <c r="F204" s="51">
        <v>0.52083333333333337</v>
      </c>
      <c r="G204" s="50" t="s">
        <v>287</v>
      </c>
      <c r="H204" s="50" t="s">
        <v>2144</v>
      </c>
      <c r="I204" s="55" t="s">
        <v>2135</v>
      </c>
      <c r="J204" s="50" t="s">
        <v>152</v>
      </c>
      <c r="K204" s="50"/>
      <c r="L204" s="50"/>
      <c r="M204" s="50"/>
      <c r="XFC204" s="49"/>
      <c r="XFD204" s="50"/>
    </row>
    <row r="205" spans="1:13 16383:16384">
      <c r="A205" s="49">
        <v>15040</v>
      </c>
      <c r="B205" s="50">
        <v>44954</v>
      </c>
      <c r="C205" s="50" t="s">
        <v>88</v>
      </c>
      <c r="D205" s="50" t="s">
        <v>88</v>
      </c>
      <c r="E205" s="50" t="s">
        <v>2309</v>
      </c>
      <c r="F205" s="51">
        <v>0.53125</v>
      </c>
      <c r="G205" s="50" t="s">
        <v>305</v>
      </c>
      <c r="H205" s="50" t="s">
        <v>2144</v>
      </c>
      <c r="I205" s="51" t="s">
        <v>289</v>
      </c>
      <c r="J205" s="60" t="s">
        <v>288</v>
      </c>
      <c r="K205" s="50"/>
      <c r="L205" s="50"/>
      <c r="M205" s="50"/>
      <c r="XFC205" s="49"/>
      <c r="XFD205" s="50"/>
    </row>
    <row r="206" spans="1:13 16383:16384">
      <c r="A206" s="49">
        <v>18047</v>
      </c>
      <c r="B206" s="50">
        <v>44954</v>
      </c>
      <c r="C206" s="50" t="s">
        <v>82</v>
      </c>
      <c r="D206" s="50" t="s">
        <v>245</v>
      </c>
      <c r="E206" s="50" t="s">
        <v>82</v>
      </c>
      <c r="F206" s="51">
        <v>0.54166666666666663</v>
      </c>
      <c r="G206" s="50" t="s">
        <v>467</v>
      </c>
      <c r="H206" s="50" t="s">
        <v>2158</v>
      </c>
      <c r="I206" s="51"/>
      <c r="J206" s="50"/>
      <c r="K206" s="50"/>
      <c r="L206" s="50"/>
      <c r="M206" s="50"/>
      <c r="XFC206" s="49"/>
      <c r="XFD206" s="50"/>
    </row>
    <row r="207" spans="1:13 16383:16384">
      <c r="A207" s="49">
        <v>20824</v>
      </c>
      <c r="B207" s="50">
        <v>44954</v>
      </c>
      <c r="C207" s="50" t="s">
        <v>28</v>
      </c>
      <c r="D207" s="50" t="s">
        <v>28</v>
      </c>
      <c r="E207" s="50" t="s">
        <v>13</v>
      </c>
      <c r="F207" s="51">
        <v>0.54166666666666663</v>
      </c>
      <c r="G207" s="50" t="s">
        <v>287</v>
      </c>
      <c r="H207" s="50" t="s">
        <v>2144</v>
      </c>
      <c r="I207" s="55" t="s">
        <v>456</v>
      </c>
      <c r="J207" s="50" t="s">
        <v>28</v>
      </c>
      <c r="K207" s="50"/>
      <c r="L207" s="50"/>
      <c r="M207" s="50"/>
      <c r="XFC207" s="49"/>
      <c r="XFD207" s="50"/>
    </row>
    <row r="208" spans="1:13 16383:16384">
      <c r="A208" s="49">
        <v>20638</v>
      </c>
      <c r="B208" s="50">
        <v>44954</v>
      </c>
      <c r="C208" s="50" t="s">
        <v>57</v>
      </c>
      <c r="D208" s="50" t="s">
        <v>190</v>
      </c>
      <c r="E208" s="50" t="s">
        <v>57</v>
      </c>
      <c r="F208" s="51">
        <v>0.55902777777777779</v>
      </c>
      <c r="G208" s="50" t="s">
        <v>331</v>
      </c>
      <c r="H208" s="50" t="s">
        <v>2164</v>
      </c>
      <c r="I208" s="51"/>
      <c r="J208" s="50"/>
      <c r="K208" s="50"/>
      <c r="L208" s="50"/>
      <c r="M208" s="50"/>
      <c r="XFC208" s="49"/>
      <c r="XFD208" s="50"/>
    </row>
    <row r="209" spans="1:13 16383:16384">
      <c r="A209" s="49">
        <v>15528</v>
      </c>
      <c r="B209" s="50">
        <v>44954</v>
      </c>
      <c r="C209" s="50" t="s">
        <v>91</v>
      </c>
      <c r="D209" s="50" t="s">
        <v>1129</v>
      </c>
      <c r="E209" s="50" t="s">
        <v>91</v>
      </c>
      <c r="F209" s="51">
        <v>0.5625</v>
      </c>
      <c r="G209" s="50" t="s">
        <v>459</v>
      </c>
      <c r="H209" s="50" t="s">
        <v>2254</v>
      </c>
      <c r="I209" s="51"/>
      <c r="J209" s="50"/>
      <c r="K209" s="50"/>
      <c r="L209" s="50"/>
      <c r="M209" s="50"/>
      <c r="XFC209" s="49"/>
      <c r="XFD209" s="50"/>
    </row>
    <row r="210" spans="1:13 16383:16384">
      <c r="A210" s="49">
        <v>13919</v>
      </c>
      <c r="B210" s="50">
        <v>44954</v>
      </c>
      <c r="C210" s="50" t="s">
        <v>123</v>
      </c>
      <c r="D210" s="50" t="s">
        <v>2310</v>
      </c>
      <c r="E210" s="50" t="s">
        <v>123</v>
      </c>
      <c r="F210" s="51">
        <v>0.5625</v>
      </c>
      <c r="G210" s="50" t="s">
        <v>1140</v>
      </c>
      <c r="H210" s="50" t="s">
        <v>2311</v>
      </c>
      <c r="I210" s="51"/>
      <c r="J210" s="50"/>
      <c r="K210" s="50"/>
      <c r="L210" s="50"/>
      <c r="M210" s="50"/>
      <c r="XFC210" s="49"/>
      <c r="XFD210" s="50"/>
    </row>
    <row r="211" spans="1:13 16383:16384">
      <c r="A211" s="49">
        <v>15741</v>
      </c>
      <c r="B211" s="50">
        <v>44954</v>
      </c>
      <c r="C211" s="50" t="s">
        <v>85</v>
      </c>
      <c r="D211" s="50" t="s">
        <v>241</v>
      </c>
      <c r="E211" s="50" t="s">
        <v>85</v>
      </c>
      <c r="F211" s="51">
        <v>0.57291666666666663</v>
      </c>
      <c r="G211" s="50" t="s">
        <v>295</v>
      </c>
      <c r="H211" s="50" t="s">
        <v>2161</v>
      </c>
      <c r="I211" s="51"/>
      <c r="J211" s="50"/>
      <c r="K211" s="50"/>
      <c r="L211" s="50"/>
      <c r="M211" s="50"/>
      <c r="XFC211" s="49"/>
      <c r="XFD211" s="50"/>
    </row>
    <row r="212" spans="1:13 16383:16384">
      <c r="A212" s="49">
        <v>20903</v>
      </c>
      <c r="B212" s="50">
        <v>44954</v>
      </c>
      <c r="C212" s="50" t="s">
        <v>99</v>
      </c>
      <c r="D212" s="50" t="s">
        <v>99</v>
      </c>
      <c r="E212" s="50" t="s">
        <v>178</v>
      </c>
      <c r="F212" s="51">
        <v>0.58333333333333337</v>
      </c>
      <c r="G212" s="50" t="s">
        <v>287</v>
      </c>
      <c r="H212" s="50" t="s">
        <v>2144</v>
      </c>
      <c r="I212" s="51" t="s">
        <v>289</v>
      </c>
      <c r="J212" s="60" t="s">
        <v>584</v>
      </c>
      <c r="K212" s="50"/>
      <c r="L212" s="50"/>
      <c r="M212" s="50"/>
      <c r="XFC212" s="49"/>
      <c r="XFD212" s="50"/>
    </row>
    <row r="213" spans="1:13 16383:16384">
      <c r="A213" s="49">
        <v>31347</v>
      </c>
      <c r="B213" s="50">
        <v>44954</v>
      </c>
      <c r="C213" s="50" t="s">
        <v>105</v>
      </c>
      <c r="D213" s="50" t="s">
        <v>168</v>
      </c>
      <c r="E213" s="50" t="s">
        <v>105</v>
      </c>
      <c r="F213" s="51">
        <v>0.58333333333333337</v>
      </c>
      <c r="G213" s="50" t="s">
        <v>405</v>
      </c>
      <c r="H213" s="50" t="s">
        <v>2312</v>
      </c>
      <c r="I213" s="51"/>
      <c r="J213" s="50"/>
      <c r="K213" s="50"/>
      <c r="L213" s="50"/>
      <c r="M213" s="50"/>
      <c r="XFC213" s="49"/>
      <c r="XFD213" s="50"/>
    </row>
    <row r="214" spans="1:13 16383:16384">
      <c r="A214" s="49">
        <v>22019</v>
      </c>
      <c r="B214" s="50">
        <v>44954</v>
      </c>
      <c r="C214" s="50" t="s">
        <v>32</v>
      </c>
      <c r="D214" s="50" t="s">
        <v>2313</v>
      </c>
      <c r="E214" s="50" t="s">
        <v>32</v>
      </c>
      <c r="F214" s="51">
        <v>0.61458333333333337</v>
      </c>
      <c r="G214" s="50" t="s">
        <v>376</v>
      </c>
      <c r="H214" s="50" t="s">
        <v>2158</v>
      </c>
      <c r="I214" s="51"/>
      <c r="J214" s="50"/>
      <c r="K214" s="50"/>
      <c r="L214" s="50"/>
      <c r="M214" s="50"/>
      <c r="XFC214" s="49"/>
      <c r="XFD214" s="50"/>
    </row>
    <row r="215" spans="1:13 16383:16384">
      <c r="A215" s="49">
        <v>29422</v>
      </c>
      <c r="B215" s="50">
        <v>44954</v>
      </c>
      <c r="C215" s="50" t="s">
        <v>569</v>
      </c>
      <c r="D215" s="50" t="s">
        <v>2314</v>
      </c>
      <c r="E215" s="50" t="s">
        <v>569</v>
      </c>
      <c r="F215" s="51">
        <v>0.625</v>
      </c>
      <c r="G215" s="50" t="s">
        <v>1845</v>
      </c>
      <c r="H215" s="50" t="s">
        <v>2315</v>
      </c>
      <c r="I215" s="51"/>
      <c r="J215" s="50"/>
      <c r="K215" s="50"/>
      <c r="L215" s="50"/>
      <c r="M215" s="50"/>
      <c r="XFC215" s="49"/>
      <c r="XFD215" s="50"/>
    </row>
    <row r="216" spans="1:13 16383:16384">
      <c r="A216" s="49">
        <v>15939</v>
      </c>
      <c r="B216" s="50">
        <v>44954</v>
      </c>
      <c r="C216" s="50" t="s">
        <v>50</v>
      </c>
      <c r="D216" s="50" t="s">
        <v>50</v>
      </c>
      <c r="E216" s="50" t="s">
        <v>239</v>
      </c>
      <c r="F216" s="51">
        <v>0.625</v>
      </c>
      <c r="G216" s="50" t="s">
        <v>287</v>
      </c>
      <c r="H216" s="50" t="s">
        <v>2144</v>
      </c>
      <c r="I216" s="51" t="s">
        <v>289</v>
      </c>
      <c r="J216" s="60" t="s">
        <v>606</v>
      </c>
      <c r="K216" s="50"/>
      <c r="L216" s="50"/>
      <c r="M216" s="50"/>
      <c r="XFC216" s="49"/>
      <c r="XFD216" s="50"/>
    </row>
    <row r="217" spans="1:13 16383:16384">
      <c r="A217" s="49">
        <v>19240</v>
      </c>
      <c r="B217" s="50">
        <v>44954</v>
      </c>
      <c r="C217" s="50" t="s">
        <v>62</v>
      </c>
      <c r="D217" s="50" t="s">
        <v>62</v>
      </c>
      <c r="E217" s="50" t="s">
        <v>2316</v>
      </c>
      <c r="F217" s="51">
        <v>0.66666666666666663</v>
      </c>
      <c r="G217" s="50" t="s">
        <v>287</v>
      </c>
      <c r="H217" s="50" t="s">
        <v>2144</v>
      </c>
      <c r="I217" s="51" t="s">
        <v>289</v>
      </c>
      <c r="J217" s="60" t="s">
        <v>606</v>
      </c>
      <c r="K217" s="50"/>
      <c r="L217" s="50"/>
      <c r="M217" s="50"/>
      <c r="XFC217" s="49"/>
      <c r="XFD217" s="50"/>
    </row>
    <row r="218" spans="1:13 16383:16384">
      <c r="A218" s="49">
        <v>28715</v>
      </c>
      <c r="B218" s="50">
        <v>44954</v>
      </c>
      <c r="C218" s="50" t="s">
        <v>95</v>
      </c>
      <c r="D218" s="50" t="s">
        <v>2317</v>
      </c>
      <c r="E218" s="50" t="s">
        <v>95</v>
      </c>
      <c r="F218" s="51">
        <v>0.6875</v>
      </c>
      <c r="G218" s="50" t="s">
        <v>295</v>
      </c>
      <c r="H218" s="50" t="s">
        <v>2161</v>
      </c>
      <c r="I218" s="51"/>
      <c r="J218" s="50"/>
      <c r="K218" s="50"/>
      <c r="L218" s="50"/>
      <c r="M218" s="50"/>
      <c r="XFC218" s="49"/>
      <c r="XFD218" s="50"/>
    </row>
    <row r="219" spans="1:13 16383:16384">
      <c r="A219" s="49">
        <v>24542</v>
      </c>
      <c r="B219" s="50">
        <v>44954</v>
      </c>
      <c r="C219" s="50" t="s">
        <v>74</v>
      </c>
      <c r="D219" s="50" t="s">
        <v>74</v>
      </c>
      <c r="E219" s="50" t="s">
        <v>191</v>
      </c>
      <c r="F219" s="51">
        <v>0.70833333333333337</v>
      </c>
      <c r="G219" s="50" t="s">
        <v>287</v>
      </c>
      <c r="H219" s="50" t="s">
        <v>2144</v>
      </c>
      <c r="I219" s="55" t="s">
        <v>328</v>
      </c>
      <c r="J219" s="50" t="s">
        <v>74</v>
      </c>
      <c r="K219" s="50"/>
      <c r="L219" s="50"/>
      <c r="M219" s="50"/>
      <c r="XFC219" s="49"/>
      <c r="XFD219" s="50"/>
    </row>
    <row r="220" spans="1:13 16383:16384">
      <c r="A220" s="49">
        <v>22059</v>
      </c>
      <c r="B220" s="50">
        <v>44954</v>
      </c>
      <c r="C220" s="50" t="s">
        <v>15</v>
      </c>
      <c r="D220" s="50" t="s">
        <v>2318</v>
      </c>
      <c r="E220" s="50" t="s">
        <v>15</v>
      </c>
      <c r="F220" s="51">
        <v>0.70833333333333337</v>
      </c>
      <c r="G220" s="50" t="s">
        <v>376</v>
      </c>
      <c r="H220" s="50" t="s">
        <v>2158</v>
      </c>
      <c r="I220" s="51"/>
      <c r="J220" s="50"/>
      <c r="K220" s="50"/>
      <c r="L220" s="50"/>
      <c r="M220" s="50"/>
      <c r="XFC220" s="49"/>
      <c r="XFD220" s="50"/>
    </row>
    <row r="221" spans="1:13 16383:16384">
      <c r="A221" s="49">
        <v>29759</v>
      </c>
      <c r="B221" s="50">
        <v>44954</v>
      </c>
      <c r="C221" s="50" t="s">
        <v>112</v>
      </c>
      <c r="D221" s="50" t="s">
        <v>167</v>
      </c>
      <c r="E221" s="50" t="s">
        <v>112</v>
      </c>
      <c r="F221" s="51">
        <v>0.72916666666666663</v>
      </c>
      <c r="G221" s="50" t="s">
        <v>295</v>
      </c>
      <c r="H221" s="50" t="s">
        <v>2161</v>
      </c>
      <c r="I221" s="51"/>
      <c r="J221" s="50"/>
      <c r="K221" s="50"/>
      <c r="L221" s="50"/>
      <c r="M221" s="50"/>
      <c r="XFC221" s="49"/>
      <c r="XFD221" s="50"/>
    </row>
    <row r="222" spans="1:13 16383:16384">
      <c r="A222" s="49">
        <v>13101</v>
      </c>
      <c r="B222" s="50">
        <v>44954</v>
      </c>
      <c r="C222" s="50" t="s">
        <v>109</v>
      </c>
      <c r="D222" s="50" t="s">
        <v>2319</v>
      </c>
      <c r="E222" s="50" t="s">
        <v>109</v>
      </c>
      <c r="F222" s="51">
        <v>0.73263888888888884</v>
      </c>
      <c r="G222" s="50" t="s">
        <v>1866</v>
      </c>
      <c r="H222" s="50" t="s">
        <v>2200</v>
      </c>
      <c r="I222" s="51"/>
      <c r="J222" s="50"/>
      <c r="K222" s="50"/>
      <c r="L222" s="50"/>
      <c r="M222" s="50"/>
      <c r="XFC222" s="49"/>
      <c r="XFD222" s="50"/>
    </row>
    <row r="223" spans="1:13 16383:16384">
      <c r="A223" s="49">
        <v>26749</v>
      </c>
      <c r="B223" s="50">
        <v>44954</v>
      </c>
      <c r="C223" s="50" t="s">
        <v>47</v>
      </c>
      <c r="D223" s="50" t="s">
        <v>2320</v>
      </c>
      <c r="E223" s="50" t="s">
        <v>47</v>
      </c>
      <c r="F223" s="51">
        <v>0.74652777777777779</v>
      </c>
      <c r="G223" s="50" t="s">
        <v>2219</v>
      </c>
      <c r="H223" s="50" t="s">
        <v>2220</v>
      </c>
      <c r="I223" s="51"/>
      <c r="J223" s="50"/>
      <c r="K223" s="50"/>
      <c r="L223" s="50"/>
      <c r="M223" s="50"/>
      <c r="XFC223" s="49"/>
      <c r="XFD223" s="50"/>
    </row>
    <row r="224" spans="1:13 16383:16384">
      <c r="A224" s="49">
        <v>10985</v>
      </c>
      <c r="B224" s="50">
        <v>44954</v>
      </c>
      <c r="C224" s="50" t="s">
        <v>118</v>
      </c>
      <c r="D224" s="50" t="s">
        <v>2321</v>
      </c>
      <c r="E224" s="50" t="s">
        <v>118</v>
      </c>
      <c r="F224" s="51">
        <v>0.79166666666666663</v>
      </c>
      <c r="G224" s="50" t="s">
        <v>1866</v>
      </c>
      <c r="H224" s="50" t="s">
        <v>2200</v>
      </c>
      <c r="I224" s="51"/>
      <c r="J224" s="50"/>
      <c r="K224" s="50"/>
      <c r="L224" s="50"/>
      <c r="M224" s="50"/>
      <c r="XFC224" s="49"/>
      <c r="XFD224" s="50"/>
    </row>
    <row r="225" spans="1:13 16383:16384">
      <c r="A225" s="49">
        <v>31322</v>
      </c>
      <c r="B225" s="50">
        <v>44954</v>
      </c>
      <c r="C225" s="50" t="s">
        <v>120</v>
      </c>
      <c r="D225" s="50" t="s">
        <v>120</v>
      </c>
      <c r="E225" s="50" t="s">
        <v>2322</v>
      </c>
      <c r="F225" s="51">
        <v>0.85069444444444453</v>
      </c>
      <c r="G225" s="50" t="s">
        <v>287</v>
      </c>
      <c r="H225" s="50" t="s">
        <v>2144</v>
      </c>
      <c r="I225" s="55" t="s">
        <v>338</v>
      </c>
      <c r="J225" s="50" t="s">
        <v>120</v>
      </c>
      <c r="K225" s="50"/>
      <c r="L225" s="50"/>
      <c r="M225" s="50"/>
      <c r="XFC225" s="49"/>
      <c r="XFD225" s="50"/>
    </row>
    <row r="226" spans="1:13 16383:16384">
      <c r="A226" s="49">
        <v>16689</v>
      </c>
      <c r="B226" s="50">
        <v>44961</v>
      </c>
      <c r="C226" s="50" t="s">
        <v>36</v>
      </c>
      <c r="D226" s="50" t="s">
        <v>793</v>
      </c>
      <c r="E226" s="50" t="s">
        <v>36</v>
      </c>
      <c r="F226" s="51">
        <v>0.375</v>
      </c>
      <c r="G226" s="50" t="s">
        <v>546</v>
      </c>
      <c r="H226" s="50" t="s">
        <v>2169</v>
      </c>
      <c r="I226" s="51"/>
      <c r="J226" s="50"/>
      <c r="K226" s="50"/>
      <c r="L226" s="50"/>
      <c r="M226" s="50"/>
      <c r="XFC226" s="49"/>
      <c r="XFD226" s="50"/>
    </row>
    <row r="227" spans="1:13 16383:16384">
      <c r="A227" s="49">
        <v>33852</v>
      </c>
      <c r="B227" s="50">
        <v>44961</v>
      </c>
      <c r="C227" s="50" t="s">
        <v>711</v>
      </c>
      <c r="D227" s="50" t="s">
        <v>2145</v>
      </c>
      <c r="E227" s="50" t="s">
        <v>711</v>
      </c>
      <c r="F227" s="51">
        <v>0.375</v>
      </c>
      <c r="G227" s="50" t="s">
        <v>454</v>
      </c>
      <c r="H227" s="50" t="s">
        <v>2158</v>
      </c>
      <c r="I227" s="51"/>
      <c r="J227" s="50"/>
      <c r="K227" s="50"/>
      <c r="L227" s="50"/>
      <c r="M227" s="50"/>
      <c r="XFC227" s="49"/>
      <c r="XFD227" s="50"/>
    </row>
    <row r="228" spans="1:13 16383:16384">
      <c r="A228" s="49">
        <v>34073</v>
      </c>
      <c r="B228" s="50">
        <v>44961</v>
      </c>
      <c r="C228" s="50" t="s">
        <v>346</v>
      </c>
      <c r="D228" s="50" t="s">
        <v>346</v>
      </c>
      <c r="E228" s="50" t="s">
        <v>2150</v>
      </c>
      <c r="F228" s="51">
        <v>0.375</v>
      </c>
      <c r="G228" s="50" t="s">
        <v>287</v>
      </c>
      <c r="H228" s="50" t="s">
        <v>2144</v>
      </c>
      <c r="I228" s="55" t="s">
        <v>417</v>
      </c>
      <c r="J228" s="50" t="s">
        <v>346</v>
      </c>
      <c r="K228" s="50"/>
      <c r="L228" s="50"/>
      <c r="M228" s="50"/>
      <c r="XFC228" s="49"/>
      <c r="XFD228" s="50"/>
    </row>
    <row r="229" spans="1:13 16383:16384">
      <c r="A229" s="49">
        <v>16675</v>
      </c>
      <c r="B229" s="50">
        <v>44961</v>
      </c>
      <c r="C229" s="50" t="s">
        <v>67</v>
      </c>
      <c r="D229" s="50" t="s">
        <v>2143</v>
      </c>
      <c r="E229" s="50" t="s">
        <v>67</v>
      </c>
      <c r="F229" s="51">
        <v>0.375</v>
      </c>
      <c r="G229" s="50" t="s">
        <v>334</v>
      </c>
      <c r="H229" s="50" t="s">
        <v>2151</v>
      </c>
      <c r="I229" s="51"/>
      <c r="J229" s="50"/>
      <c r="K229" s="50"/>
      <c r="L229" s="50"/>
      <c r="M229" s="50"/>
      <c r="XFC229" s="49"/>
      <c r="XFD229" s="50"/>
    </row>
    <row r="230" spans="1:13 16383:16384">
      <c r="A230" s="49">
        <v>13487</v>
      </c>
      <c r="B230" s="50">
        <v>44961</v>
      </c>
      <c r="C230" s="50" t="s">
        <v>43</v>
      </c>
      <c r="D230" s="50" t="s">
        <v>2146</v>
      </c>
      <c r="E230" s="50" t="s">
        <v>43</v>
      </c>
      <c r="F230" s="51">
        <v>0.375</v>
      </c>
      <c r="G230" s="50" t="s">
        <v>295</v>
      </c>
      <c r="H230" s="50" t="s">
        <v>2161</v>
      </c>
      <c r="I230" s="51"/>
      <c r="J230" s="50"/>
      <c r="K230" s="50"/>
      <c r="L230" s="50"/>
      <c r="M230" s="50"/>
      <c r="XFC230" s="49"/>
      <c r="XFD230" s="50"/>
    </row>
    <row r="231" spans="1:13 16383:16384">
      <c r="A231" s="49">
        <v>17946</v>
      </c>
      <c r="B231" s="50">
        <v>44961</v>
      </c>
      <c r="C231" s="50" t="s">
        <v>20</v>
      </c>
      <c r="D231" s="50" t="s">
        <v>193</v>
      </c>
      <c r="E231" s="50" t="s">
        <v>20</v>
      </c>
      <c r="F231" s="51">
        <v>0.41666666666666669</v>
      </c>
      <c r="G231" s="50" t="s">
        <v>405</v>
      </c>
      <c r="H231" s="50" t="s">
        <v>2312</v>
      </c>
      <c r="I231" s="51"/>
      <c r="J231" s="50"/>
      <c r="K231" s="50"/>
      <c r="L231" s="50"/>
      <c r="M231" s="50"/>
      <c r="XFC231" s="49"/>
      <c r="XFD231" s="50"/>
    </row>
    <row r="232" spans="1:13 16383:16384">
      <c r="A232" s="49">
        <v>17953</v>
      </c>
      <c r="B232" s="50">
        <v>44961</v>
      </c>
      <c r="C232" s="50" t="s">
        <v>64</v>
      </c>
      <c r="D232" s="50" t="s">
        <v>2149</v>
      </c>
      <c r="E232" s="50" t="s">
        <v>64</v>
      </c>
      <c r="F232" s="51">
        <v>0.4375</v>
      </c>
      <c r="G232" s="50" t="s">
        <v>589</v>
      </c>
      <c r="H232" s="50" t="s">
        <v>2221</v>
      </c>
      <c r="I232" s="51"/>
      <c r="J232" s="50"/>
      <c r="K232" s="50"/>
      <c r="L232" s="50"/>
      <c r="M232" s="50"/>
      <c r="XFC232" s="49"/>
      <c r="XFD232" s="50"/>
    </row>
    <row r="233" spans="1:13 16383:16384">
      <c r="A233" s="49">
        <v>17945</v>
      </c>
      <c r="B233" s="50">
        <v>44961</v>
      </c>
      <c r="C233" s="50" t="s">
        <v>40</v>
      </c>
      <c r="D233" s="50" t="s">
        <v>2152</v>
      </c>
      <c r="E233" s="50" t="s">
        <v>40</v>
      </c>
      <c r="F233" s="51">
        <v>0.45833333333333331</v>
      </c>
      <c r="G233" s="50" t="s">
        <v>405</v>
      </c>
      <c r="H233" s="50" t="s">
        <v>2312</v>
      </c>
      <c r="I233" s="51"/>
      <c r="J233" s="50"/>
      <c r="K233" s="50"/>
      <c r="L233" s="50"/>
      <c r="M233" s="50"/>
      <c r="XFC233" s="49"/>
      <c r="XFD233" s="50"/>
    </row>
    <row r="234" spans="1:13 16383:16384">
      <c r="A234" s="49">
        <v>21744</v>
      </c>
      <c r="B234" s="50">
        <v>44961</v>
      </c>
      <c r="C234" s="50" t="s">
        <v>28</v>
      </c>
      <c r="D234" s="50" t="s">
        <v>28</v>
      </c>
      <c r="E234" s="50" t="s">
        <v>179</v>
      </c>
      <c r="F234" s="51">
        <v>0.5</v>
      </c>
      <c r="G234" s="50" t="s">
        <v>287</v>
      </c>
      <c r="H234" s="50" t="s">
        <v>2144</v>
      </c>
      <c r="I234" s="55" t="s">
        <v>584</v>
      </c>
      <c r="J234" s="50" t="s">
        <v>28</v>
      </c>
      <c r="K234" s="50"/>
      <c r="L234" s="50"/>
      <c r="M234" s="50"/>
      <c r="XFC234" s="49"/>
      <c r="XFD234" s="50"/>
    </row>
    <row r="235" spans="1:13 16383:16384">
      <c r="A235" s="49">
        <v>24367</v>
      </c>
      <c r="B235" s="50">
        <v>44961</v>
      </c>
      <c r="C235" s="50" t="s">
        <v>74</v>
      </c>
      <c r="D235" s="50" t="s">
        <v>74</v>
      </c>
      <c r="E235" s="50" t="s">
        <v>2323</v>
      </c>
      <c r="F235" s="51">
        <v>0.54166666666666663</v>
      </c>
      <c r="G235" s="50" t="s">
        <v>287</v>
      </c>
      <c r="H235" s="50" t="s">
        <v>2144</v>
      </c>
      <c r="I235" s="55" t="s">
        <v>1964</v>
      </c>
      <c r="J235" s="50" t="s">
        <v>74</v>
      </c>
      <c r="K235" s="50"/>
      <c r="L235" s="50"/>
      <c r="M235" s="50"/>
      <c r="XFC235" s="49"/>
      <c r="XFD235" s="50"/>
    </row>
    <row r="236" spans="1:13 16383:16384">
      <c r="A236" s="49">
        <v>34529</v>
      </c>
      <c r="B236" s="50">
        <v>44961</v>
      </c>
      <c r="C236" s="50" t="s">
        <v>152</v>
      </c>
      <c r="D236" s="50" t="s">
        <v>152</v>
      </c>
      <c r="E236" s="50" t="s">
        <v>247</v>
      </c>
      <c r="F236" s="51">
        <v>0.54166666666666663</v>
      </c>
      <c r="G236" s="50" t="s">
        <v>1694</v>
      </c>
      <c r="H236" s="50" t="s">
        <v>2324</v>
      </c>
      <c r="I236" s="55" t="s">
        <v>2135</v>
      </c>
      <c r="J236" s="50" t="s">
        <v>152</v>
      </c>
      <c r="K236" s="50"/>
      <c r="L236" s="50"/>
      <c r="M236" s="50"/>
      <c r="XFC236" s="49"/>
      <c r="XFD236" s="50"/>
    </row>
    <row r="237" spans="1:13 16383:16384">
      <c r="A237" s="49">
        <v>19395</v>
      </c>
      <c r="B237" s="50">
        <v>44961</v>
      </c>
      <c r="C237" s="50" t="s">
        <v>62</v>
      </c>
      <c r="D237" s="50" t="s">
        <v>2156</v>
      </c>
      <c r="E237" s="50" t="s">
        <v>62</v>
      </c>
      <c r="F237" s="51">
        <v>0.54166666666666663</v>
      </c>
      <c r="G237" s="50" t="s">
        <v>295</v>
      </c>
      <c r="H237" s="50" t="s">
        <v>2161</v>
      </c>
      <c r="I237" s="51"/>
      <c r="J237" s="50"/>
      <c r="K237" s="50"/>
      <c r="L237" s="50"/>
      <c r="M237" s="50"/>
      <c r="XFC237" s="49"/>
      <c r="XFD237" s="50"/>
    </row>
    <row r="238" spans="1:13 16383:16384">
      <c r="A238" s="49">
        <v>29781</v>
      </c>
      <c r="B238" s="50">
        <v>44961</v>
      </c>
      <c r="C238" s="50" t="s">
        <v>105</v>
      </c>
      <c r="D238" s="50" t="s">
        <v>111</v>
      </c>
      <c r="E238" s="50" t="s">
        <v>105</v>
      </c>
      <c r="F238" s="51">
        <v>0.54861111111111105</v>
      </c>
      <c r="G238" s="50" t="s">
        <v>653</v>
      </c>
      <c r="H238" s="50" t="s">
        <v>2142</v>
      </c>
      <c r="I238" s="51"/>
      <c r="J238" s="50"/>
      <c r="K238" s="50"/>
      <c r="L238" s="50"/>
      <c r="M238" s="50"/>
      <c r="XFC238" s="49"/>
      <c r="XFD238" s="50"/>
    </row>
    <row r="239" spans="1:13 16383:16384">
      <c r="A239" s="49">
        <v>20822</v>
      </c>
      <c r="B239" s="50">
        <v>44961</v>
      </c>
      <c r="C239" s="50" t="s">
        <v>99</v>
      </c>
      <c r="D239" s="50" t="s">
        <v>2147</v>
      </c>
      <c r="E239" s="50" t="s">
        <v>99</v>
      </c>
      <c r="F239" s="51">
        <v>0.54861111111111105</v>
      </c>
      <c r="G239" s="50" t="s">
        <v>1691</v>
      </c>
      <c r="H239" s="50" t="s">
        <v>2325</v>
      </c>
      <c r="I239" s="51"/>
      <c r="J239" s="50"/>
      <c r="K239" s="50"/>
      <c r="L239" s="50"/>
      <c r="M239" s="50"/>
      <c r="XFC239" s="49"/>
      <c r="XFD239" s="50"/>
    </row>
    <row r="240" spans="1:13 16383:16384">
      <c r="A240" s="49">
        <v>27866</v>
      </c>
      <c r="B240" s="50">
        <v>44961</v>
      </c>
      <c r="C240" s="50" t="s">
        <v>102</v>
      </c>
      <c r="D240" s="50" t="s">
        <v>2167</v>
      </c>
      <c r="E240" s="50" t="s">
        <v>102</v>
      </c>
      <c r="F240" s="51">
        <v>0.55902777777777779</v>
      </c>
      <c r="G240" s="50" t="s">
        <v>603</v>
      </c>
      <c r="H240" s="50" t="s">
        <v>2326</v>
      </c>
      <c r="I240" s="51"/>
      <c r="J240" s="50"/>
      <c r="K240" s="50"/>
      <c r="L240" s="50"/>
      <c r="M240" s="50"/>
      <c r="XFC240" s="49"/>
      <c r="XFD240" s="50"/>
    </row>
    <row r="241" spans="1:13 16383:16384">
      <c r="A241" s="49">
        <v>15615</v>
      </c>
      <c r="B241" s="50">
        <v>44961</v>
      </c>
      <c r="C241" s="50" t="s">
        <v>85</v>
      </c>
      <c r="D241" s="50" t="s">
        <v>225</v>
      </c>
      <c r="E241" s="50" t="s">
        <v>85</v>
      </c>
      <c r="F241" s="51">
        <v>0.5625</v>
      </c>
      <c r="G241" s="50" t="s">
        <v>589</v>
      </c>
      <c r="H241" s="50" t="s">
        <v>2221</v>
      </c>
      <c r="I241" s="51"/>
      <c r="J241" s="50"/>
      <c r="K241" s="50"/>
      <c r="L241" s="50"/>
      <c r="M241" s="50"/>
      <c r="XFC241" s="49"/>
      <c r="XFD241" s="50"/>
    </row>
    <row r="242" spans="1:13 16383:16384">
      <c r="A242" s="49">
        <v>17790</v>
      </c>
      <c r="B242" s="50">
        <v>44961</v>
      </c>
      <c r="C242" s="50" t="s">
        <v>82</v>
      </c>
      <c r="D242" s="50" t="s">
        <v>163</v>
      </c>
      <c r="E242" s="50" t="s">
        <v>82</v>
      </c>
      <c r="F242" s="51">
        <v>0.5625</v>
      </c>
      <c r="G242" s="50" t="s">
        <v>1068</v>
      </c>
      <c r="H242" s="50" t="s">
        <v>2327</v>
      </c>
      <c r="I242" s="51"/>
      <c r="J242" s="50"/>
      <c r="K242" s="50"/>
      <c r="L242" s="50"/>
      <c r="M242" s="50"/>
      <c r="XFC242" s="49"/>
      <c r="XFD242" s="50"/>
    </row>
    <row r="243" spans="1:13 16383:16384">
      <c r="A243" s="49">
        <v>24405</v>
      </c>
      <c r="B243" s="50">
        <v>44961</v>
      </c>
      <c r="C243" s="50" t="s">
        <v>71</v>
      </c>
      <c r="D243" s="50" t="s">
        <v>71</v>
      </c>
      <c r="E243" s="50" t="s">
        <v>2160</v>
      </c>
      <c r="F243" s="51">
        <v>0.58333333333333337</v>
      </c>
      <c r="G243" s="50" t="s">
        <v>287</v>
      </c>
      <c r="H243" s="50" t="s">
        <v>2144</v>
      </c>
      <c r="I243" s="55" t="s">
        <v>2082</v>
      </c>
      <c r="J243" s="50" t="s">
        <v>71</v>
      </c>
      <c r="K243" s="50"/>
      <c r="L243" s="50"/>
      <c r="M243" s="50"/>
      <c r="XFC243" s="49"/>
      <c r="XFD243" s="50"/>
    </row>
    <row r="244" spans="1:13 16383:16384">
      <c r="A244" s="49">
        <v>15398</v>
      </c>
      <c r="B244" s="50">
        <v>44961</v>
      </c>
      <c r="C244" s="50" t="s">
        <v>91</v>
      </c>
      <c r="D244" s="50" t="s">
        <v>2159</v>
      </c>
      <c r="E244" s="50" t="s">
        <v>91</v>
      </c>
      <c r="F244" s="51">
        <v>0.58333333333333337</v>
      </c>
      <c r="G244" s="50" t="s">
        <v>1854</v>
      </c>
      <c r="H244" s="50" t="s">
        <v>2200</v>
      </c>
      <c r="I244" s="51"/>
      <c r="J244" s="50"/>
      <c r="K244" s="50"/>
      <c r="L244" s="50"/>
      <c r="M244" s="50"/>
      <c r="XFC244" s="49"/>
      <c r="XFD244" s="50"/>
    </row>
    <row r="245" spans="1:13 16383:16384">
      <c r="A245" s="49">
        <v>29819</v>
      </c>
      <c r="B245" s="50">
        <v>44961</v>
      </c>
      <c r="C245" s="50" t="s">
        <v>112</v>
      </c>
      <c r="D245" s="50" t="s">
        <v>112</v>
      </c>
      <c r="E245" s="50" t="s">
        <v>640</v>
      </c>
      <c r="F245" s="51">
        <v>0.60416666666666663</v>
      </c>
      <c r="G245" s="50" t="s">
        <v>305</v>
      </c>
      <c r="H245" s="50" t="s">
        <v>2144</v>
      </c>
      <c r="I245" s="55" t="s">
        <v>301</v>
      </c>
      <c r="J245" s="50" t="s">
        <v>112</v>
      </c>
      <c r="K245" s="50"/>
      <c r="L245" s="50"/>
      <c r="M245" s="50"/>
      <c r="XFC245" s="49"/>
      <c r="XFD245" s="50"/>
    </row>
    <row r="246" spans="1:13 16383:16384">
      <c r="A246" s="49">
        <v>34520</v>
      </c>
      <c r="B246" s="50">
        <v>44961</v>
      </c>
      <c r="C246" s="50" t="s">
        <v>152</v>
      </c>
      <c r="D246" s="50" t="s">
        <v>166</v>
      </c>
      <c r="E246" s="50" t="s">
        <v>152</v>
      </c>
      <c r="F246" s="51">
        <v>0.60416666666666663</v>
      </c>
      <c r="G246" s="50" t="s">
        <v>1694</v>
      </c>
      <c r="H246" s="50" t="s">
        <v>2324</v>
      </c>
      <c r="I246" s="51"/>
      <c r="J246" s="50"/>
      <c r="K246" s="50"/>
      <c r="L246" s="50"/>
      <c r="M246" s="50"/>
      <c r="XFC246" s="49"/>
      <c r="XFD246" s="50"/>
    </row>
    <row r="247" spans="1:13 16383:16384">
      <c r="A247" s="49">
        <v>20615</v>
      </c>
      <c r="B247" s="50">
        <v>44961</v>
      </c>
      <c r="C247" s="50" t="s">
        <v>57</v>
      </c>
      <c r="D247" s="50" t="s">
        <v>57</v>
      </c>
      <c r="E247" s="50" t="s">
        <v>56</v>
      </c>
      <c r="F247" s="51">
        <v>0.625</v>
      </c>
      <c r="G247" s="50" t="s">
        <v>287</v>
      </c>
      <c r="H247" s="50" t="s">
        <v>2144</v>
      </c>
      <c r="I247" s="51" t="s">
        <v>289</v>
      </c>
      <c r="J247" s="60" t="s">
        <v>301</v>
      </c>
      <c r="K247" s="50"/>
      <c r="L247" s="50"/>
      <c r="M247" s="50"/>
      <c r="XFC247" s="49"/>
      <c r="XFD247" s="50"/>
    </row>
    <row r="248" spans="1:13 16383:16384">
      <c r="A248" s="49">
        <v>30867</v>
      </c>
      <c r="B248" s="50">
        <v>44961</v>
      </c>
      <c r="C248" s="50" t="s">
        <v>120</v>
      </c>
      <c r="D248" s="50" t="s">
        <v>120</v>
      </c>
      <c r="E248" s="50" t="s">
        <v>2165</v>
      </c>
      <c r="F248" s="51">
        <v>0.65277777777777779</v>
      </c>
      <c r="G248" s="50" t="s">
        <v>305</v>
      </c>
      <c r="H248" s="50" t="s">
        <v>2144</v>
      </c>
      <c r="I248" s="55" t="s">
        <v>298</v>
      </c>
      <c r="J248" s="50" t="s">
        <v>120</v>
      </c>
      <c r="K248" s="50"/>
      <c r="L248" s="50"/>
      <c r="M248" s="50"/>
      <c r="XFC248" s="49"/>
      <c r="XFD248" s="50"/>
    </row>
    <row r="249" spans="1:13 16383:16384">
      <c r="A249" s="49">
        <v>15831</v>
      </c>
      <c r="B249" s="50">
        <v>44961</v>
      </c>
      <c r="C249" s="50" t="s">
        <v>50</v>
      </c>
      <c r="D249" s="50" t="s">
        <v>50</v>
      </c>
      <c r="E249" s="50" t="s">
        <v>2157</v>
      </c>
      <c r="F249" s="51">
        <v>0.66666666666666663</v>
      </c>
      <c r="G249" s="50" t="s">
        <v>287</v>
      </c>
      <c r="H249" s="50" t="s">
        <v>2144</v>
      </c>
      <c r="I249" s="51" t="s">
        <v>289</v>
      </c>
      <c r="J249" s="60" t="s">
        <v>301</v>
      </c>
      <c r="K249" s="50"/>
      <c r="L249" s="50"/>
      <c r="M249" s="50"/>
      <c r="XFC249" s="49"/>
      <c r="XFD249" s="50"/>
    </row>
    <row r="250" spans="1:13 16383:16384">
      <c r="A250" s="49">
        <v>12845</v>
      </c>
      <c r="B250" s="50">
        <v>44961</v>
      </c>
      <c r="C250" s="50" t="s">
        <v>109</v>
      </c>
      <c r="D250" s="50" t="s">
        <v>250</v>
      </c>
      <c r="E250" s="50" t="s">
        <v>109</v>
      </c>
      <c r="F250" s="51">
        <v>0.67013888888888884</v>
      </c>
      <c r="G250" s="50" t="s">
        <v>1068</v>
      </c>
      <c r="H250" s="50" t="s">
        <v>2327</v>
      </c>
      <c r="I250" s="51"/>
      <c r="J250" s="50"/>
      <c r="K250" s="50"/>
      <c r="L250" s="50"/>
      <c r="M250" s="50"/>
      <c r="XFC250" s="49"/>
      <c r="XFD250" s="50"/>
    </row>
    <row r="251" spans="1:13 16383:16384">
      <c r="A251" s="49">
        <v>14425</v>
      </c>
      <c r="B251" s="50">
        <v>44961</v>
      </c>
      <c r="C251" s="50" t="s">
        <v>79</v>
      </c>
      <c r="D251" s="50" t="s">
        <v>79</v>
      </c>
      <c r="E251" s="50" t="s">
        <v>211</v>
      </c>
      <c r="F251" s="51">
        <v>0.70138888888888884</v>
      </c>
      <c r="G251" s="50" t="s">
        <v>305</v>
      </c>
      <c r="H251" s="50" t="s">
        <v>2144</v>
      </c>
      <c r="I251" s="55" t="s">
        <v>289</v>
      </c>
      <c r="J251" s="60" t="s">
        <v>288</v>
      </c>
      <c r="K251" s="50"/>
      <c r="L251" s="50"/>
      <c r="M251" s="50"/>
      <c r="XFC251" s="49"/>
      <c r="XFD251" s="50"/>
    </row>
    <row r="252" spans="1:13 16383:16384">
      <c r="A252" s="49">
        <v>10719</v>
      </c>
      <c r="B252" s="50">
        <v>44961</v>
      </c>
      <c r="C252" s="50" t="s">
        <v>118</v>
      </c>
      <c r="D252" s="50" t="s">
        <v>252</v>
      </c>
      <c r="E252" s="50" t="s">
        <v>118</v>
      </c>
      <c r="F252" s="51">
        <v>0.72916666666666663</v>
      </c>
      <c r="G252" s="50" t="s">
        <v>1068</v>
      </c>
      <c r="H252" s="50" t="s">
        <v>2327</v>
      </c>
      <c r="I252" s="51"/>
      <c r="J252" s="50"/>
      <c r="K252" s="50"/>
      <c r="L252" s="50"/>
      <c r="M252" s="50"/>
      <c r="XFC252" s="49"/>
      <c r="XFD252" s="50"/>
    </row>
    <row r="253" spans="1:13 16383:16384">
      <c r="A253" s="49">
        <v>14426</v>
      </c>
      <c r="B253" s="50">
        <v>44961</v>
      </c>
      <c r="C253" s="50" t="s">
        <v>88</v>
      </c>
      <c r="D253" s="50" t="s">
        <v>88</v>
      </c>
      <c r="E253" s="50" t="s">
        <v>259</v>
      </c>
      <c r="F253" s="51">
        <v>0.76736111111111116</v>
      </c>
      <c r="G253" s="50" t="s">
        <v>287</v>
      </c>
      <c r="H253" s="50" t="s">
        <v>2144</v>
      </c>
      <c r="I253" s="51" t="s">
        <v>289</v>
      </c>
      <c r="J253" s="60" t="s">
        <v>306</v>
      </c>
      <c r="K253" s="50"/>
      <c r="L253" s="50"/>
      <c r="M253" s="50"/>
      <c r="XFC253" s="49"/>
      <c r="XFD253" s="50"/>
    </row>
    <row r="254" spans="1:13 16383:16384">
      <c r="A254" s="49">
        <v>13420</v>
      </c>
      <c r="B254" s="50">
        <v>44961</v>
      </c>
      <c r="C254" s="50" t="s">
        <v>123</v>
      </c>
      <c r="D254" s="50" t="s">
        <v>210</v>
      </c>
      <c r="E254" s="50" t="s">
        <v>123</v>
      </c>
      <c r="F254" s="51">
        <v>0.79166666666666663</v>
      </c>
      <c r="G254" s="50" t="s">
        <v>2328</v>
      </c>
      <c r="H254" s="50" t="s">
        <v>2290</v>
      </c>
      <c r="I254" s="51"/>
      <c r="J254" s="50"/>
      <c r="K254" s="50"/>
      <c r="L254" s="50"/>
      <c r="M254" s="50"/>
      <c r="XFC254" s="49"/>
      <c r="XFD254" s="50"/>
    </row>
    <row r="255" spans="1:13 16383:16384">
      <c r="A255" s="49">
        <v>29783</v>
      </c>
      <c r="B255" s="50">
        <v>44961</v>
      </c>
      <c r="C255" s="50" t="s">
        <v>569</v>
      </c>
      <c r="D255" s="50" t="s">
        <v>569</v>
      </c>
      <c r="E255" s="50" t="s">
        <v>2329</v>
      </c>
      <c r="F255" s="51">
        <v>0.81597222222222221</v>
      </c>
      <c r="G255" s="50" t="s">
        <v>287</v>
      </c>
      <c r="H255" s="50" t="s">
        <v>2144</v>
      </c>
      <c r="I255" s="55" t="s">
        <v>328</v>
      </c>
      <c r="J255" s="50" t="s">
        <v>569</v>
      </c>
      <c r="K255" s="50"/>
      <c r="L255" s="50"/>
      <c r="M255" s="50"/>
      <c r="XFC255" s="49"/>
      <c r="XFD255" s="50"/>
    </row>
    <row r="256" spans="1:13 16383:16384">
      <c r="A256" s="49">
        <v>29790</v>
      </c>
      <c r="B256" s="50">
        <v>44961</v>
      </c>
      <c r="C256" s="50" t="s">
        <v>115</v>
      </c>
      <c r="D256" s="50" t="s">
        <v>2163</v>
      </c>
      <c r="E256" s="50" t="s">
        <v>115</v>
      </c>
      <c r="F256" s="51">
        <v>0.83333333333333337</v>
      </c>
      <c r="G256" s="50" t="s">
        <v>546</v>
      </c>
      <c r="H256" s="50" t="s">
        <v>2169</v>
      </c>
      <c r="I256" s="51"/>
      <c r="J256" s="50"/>
      <c r="K256" s="50"/>
      <c r="L256" s="50"/>
      <c r="M256" s="50"/>
      <c r="XFC256" s="49"/>
      <c r="XFD256" s="50"/>
    </row>
    <row r="257" spans="1:13 16383:16384">
      <c r="A257" s="49">
        <v>16860</v>
      </c>
      <c r="B257" s="50">
        <v>44968</v>
      </c>
      <c r="C257" s="50" t="s">
        <v>36</v>
      </c>
      <c r="D257" s="50" t="s">
        <v>36</v>
      </c>
      <c r="E257" s="50" t="s">
        <v>2179</v>
      </c>
      <c r="F257" s="51">
        <v>0.375</v>
      </c>
      <c r="G257" s="50" t="s">
        <v>287</v>
      </c>
      <c r="H257" s="50" t="s">
        <v>2144</v>
      </c>
      <c r="I257" s="55" t="s">
        <v>2134</v>
      </c>
      <c r="J257" s="50" t="s">
        <v>36</v>
      </c>
      <c r="K257" s="50"/>
      <c r="L257" s="50"/>
      <c r="M257" s="50"/>
      <c r="XFC257" s="49"/>
      <c r="XFD257" s="50"/>
    </row>
    <row r="258" spans="1:13 16383:16384">
      <c r="A258" s="49">
        <v>16859</v>
      </c>
      <c r="B258" s="50">
        <v>44968</v>
      </c>
      <c r="C258" s="50" t="s">
        <v>67</v>
      </c>
      <c r="D258" s="50" t="s">
        <v>67</v>
      </c>
      <c r="E258" s="50" t="s">
        <v>2170</v>
      </c>
      <c r="F258" s="51">
        <v>0.375</v>
      </c>
      <c r="G258" s="50" t="s">
        <v>287</v>
      </c>
      <c r="H258" s="50" t="s">
        <v>2144</v>
      </c>
      <c r="I258" s="55" t="s">
        <v>417</v>
      </c>
      <c r="J258" s="50" t="s">
        <v>67</v>
      </c>
      <c r="K258" s="50"/>
      <c r="L258" s="50"/>
      <c r="M258" s="50"/>
      <c r="XFC258" s="49"/>
      <c r="XFD258" s="50"/>
    </row>
    <row r="259" spans="1:13 16383:16384">
      <c r="A259" s="49">
        <v>13584</v>
      </c>
      <c r="B259" s="50">
        <v>44968</v>
      </c>
      <c r="C259" s="50" t="s">
        <v>43</v>
      </c>
      <c r="D259" s="50" t="s">
        <v>43</v>
      </c>
      <c r="E259" s="50" t="s">
        <v>2171</v>
      </c>
      <c r="F259" s="51">
        <v>0.375</v>
      </c>
      <c r="G259" s="50" t="s">
        <v>287</v>
      </c>
      <c r="H259" s="50" t="s">
        <v>2144</v>
      </c>
      <c r="I259" s="55" t="s">
        <v>444</v>
      </c>
      <c r="J259" s="50" t="s">
        <v>43</v>
      </c>
      <c r="K259" s="50"/>
      <c r="L259" s="50"/>
      <c r="M259" s="50"/>
      <c r="XFC259" s="49"/>
      <c r="XFD259" s="50"/>
    </row>
    <row r="260" spans="1:13 16383:16384">
      <c r="A260" s="49">
        <v>33846</v>
      </c>
      <c r="B260" s="50">
        <v>44968</v>
      </c>
      <c r="C260" s="50" t="s">
        <v>711</v>
      </c>
      <c r="D260" s="50" t="s">
        <v>2182</v>
      </c>
      <c r="E260" s="50" t="s">
        <v>711</v>
      </c>
      <c r="F260" s="51">
        <v>0.375</v>
      </c>
      <c r="G260" s="50" t="s">
        <v>2219</v>
      </c>
      <c r="H260" s="50" t="s">
        <v>2220</v>
      </c>
      <c r="I260" s="51"/>
      <c r="J260" s="50"/>
      <c r="K260" s="50"/>
      <c r="L260" s="50"/>
      <c r="M260" s="50"/>
      <c r="XFC260" s="49"/>
      <c r="XFD260" s="50"/>
    </row>
    <row r="261" spans="1:13 16383:16384">
      <c r="A261" s="49">
        <v>20946</v>
      </c>
      <c r="B261" s="50">
        <v>44968</v>
      </c>
      <c r="C261" s="50" t="s">
        <v>99</v>
      </c>
      <c r="D261" s="50" t="s">
        <v>99</v>
      </c>
      <c r="E261" s="50" t="s">
        <v>2184</v>
      </c>
      <c r="F261" s="51">
        <v>0.41666666666666669</v>
      </c>
      <c r="G261" s="50" t="s">
        <v>287</v>
      </c>
      <c r="H261" s="50" t="s">
        <v>2144</v>
      </c>
      <c r="I261" s="51" t="s">
        <v>289</v>
      </c>
      <c r="J261" s="60" t="s">
        <v>584</v>
      </c>
      <c r="K261" s="50"/>
      <c r="L261" s="50"/>
      <c r="M261" s="50"/>
      <c r="XFC261" s="49"/>
      <c r="XFD261" s="50"/>
    </row>
    <row r="262" spans="1:13 16383:16384">
      <c r="A262" s="49">
        <v>18612</v>
      </c>
      <c r="B262" s="50">
        <v>44968</v>
      </c>
      <c r="C262" s="50" t="s">
        <v>64</v>
      </c>
      <c r="D262" s="50" t="s">
        <v>64</v>
      </c>
      <c r="E262" s="50" t="s">
        <v>2172</v>
      </c>
      <c r="F262" s="51">
        <v>0.41666666666666669</v>
      </c>
      <c r="G262" s="50" t="s">
        <v>373</v>
      </c>
      <c r="H262" s="50" t="s">
        <v>2144</v>
      </c>
      <c r="I262" s="55" t="s">
        <v>800</v>
      </c>
      <c r="J262" s="50" t="s">
        <v>64</v>
      </c>
      <c r="K262" s="50"/>
      <c r="L262" s="50"/>
      <c r="M262" s="50"/>
      <c r="XFC262" s="49"/>
      <c r="XFD262" s="50"/>
    </row>
    <row r="263" spans="1:13 16383:16384">
      <c r="A263" s="49">
        <v>18611</v>
      </c>
      <c r="B263" s="50">
        <v>44968</v>
      </c>
      <c r="C263" s="50" t="s">
        <v>20</v>
      </c>
      <c r="D263" s="50" t="s">
        <v>20</v>
      </c>
      <c r="E263" s="50" t="s">
        <v>2168</v>
      </c>
      <c r="F263" s="51">
        <v>0.41666666666666669</v>
      </c>
      <c r="G263" s="50" t="s">
        <v>373</v>
      </c>
      <c r="H263" s="50" t="s">
        <v>2144</v>
      </c>
      <c r="I263" s="55" t="s">
        <v>399</v>
      </c>
      <c r="J263" s="50" t="s">
        <v>20</v>
      </c>
      <c r="K263" s="50"/>
      <c r="L263" s="50"/>
      <c r="M263" s="50"/>
      <c r="XFC263" s="49"/>
      <c r="XFD263" s="50"/>
    </row>
    <row r="264" spans="1:13 16383:16384">
      <c r="A264" s="49">
        <v>21007</v>
      </c>
      <c r="B264" s="50">
        <v>44968</v>
      </c>
      <c r="C264" s="50" t="s">
        <v>32</v>
      </c>
      <c r="D264" s="50" t="s">
        <v>2181</v>
      </c>
      <c r="E264" s="50" t="s">
        <v>32</v>
      </c>
      <c r="F264" s="51">
        <v>0.4236111111111111</v>
      </c>
      <c r="G264" s="50" t="s">
        <v>467</v>
      </c>
      <c r="H264" s="50" t="s">
        <v>2158</v>
      </c>
      <c r="I264" s="51"/>
      <c r="J264" s="50"/>
      <c r="K264" s="50"/>
      <c r="L264" s="50"/>
      <c r="M264" s="50"/>
      <c r="XFC264" s="49"/>
      <c r="XFD264" s="50"/>
    </row>
    <row r="265" spans="1:13 16383:16384">
      <c r="A265" s="49">
        <v>14676</v>
      </c>
      <c r="B265" s="50">
        <v>44968</v>
      </c>
      <c r="C265" s="50" t="s">
        <v>53</v>
      </c>
      <c r="D265" s="50" t="s">
        <v>52</v>
      </c>
      <c r="E265" s="50" t="s">
        <v>53</v>
      </c>
      <c r="F265" s="51">
        <v>0.42708333333333331</v>
      </c>
      <c r="G265" s="50" t="s">
        <v>405</v>
      </c>
      <c r="H265" s="50" t="s">
        <v>2312</v>
      </c>
      <c r="I265" s="51"/>
      <c r="J265" s="50"/>
      <c r="K265" s="50"/>
      <c r="L265" s="50"/>
      <c r="M265" s="50"/>
      <c r="XFC265" s="49"/>
      <c r="XFD265" s="50"/>
    </row>
    <row r="266" spans="1:13 16383:16384">
      <c r="A266" s="49">
        <v>18610</v>
      </c>
      <c r="B266" s="50">
        <v>44968</v>
      </c>
      <c r="C266" s="50" t="s">
        <v>40</v>
      </c>
      <c r="D266" s="50" t="s">
        <v>40</v>
      </c>
      <c r="E266" s="50" t="s">
        <v>139</v>
      </c>
      <c r="F266" s="51">
        <v>0.45833333333333331</v>
      </c>
      <c r="G266" s="50" t="s">
        <v>373</v>
      </c>
      <c r="H266" s="50" t="s">
        <v>2144</v>
      </c>
      <c r="I266" s="55" t="s">
        <v>1955</v>
      </c>
      <c r="J266" s="50" t="s">
        <v>40</v>
      </c>
      <c r="K266" s="50"/>
      <c r="L266" s="50"/>
      <c r="M266" s="50"/>
      <c r="XFC266" s="49"/>
      <c r="XFD266" s="50"/>
    </row>
    <row r="267" spans="1:13 16383:16384">
      <c r="A267" s="49">
        <v>34025</v>
      </c>
      <c r="B267" s="50">
        <v>44968</v>
      </c>
      <c r="C267" s="50" t="s">
        <v>25</v>
      </c>
      <c r="D267" s="50" t="s">
        <v>25</v>
      </c>
      <c r="E267" s="50" t="s">
        <v>2175</v>
      </c>
      <c r="F267" s="51">
        <v>0.45833333333333331</v>
      </c>
      <c r="G267" s="50" t="s">
        <v>373</v>
      </c>
      <c r="H267" s="50" t="s">
        <v>2144</v>
      </c>
      <c r="I267" s="55" t="s">
        <v>550</v>
      </c>
      <c r="J267" s="50" t="s">
        <v>25</v>
      </c>
      <c r="K267" s="50"/>
      <c r="L267" s="50"/>
      <c r="M267" s="50"/>
      <c r="XFC267" s="49"/>
      <c r="XFD267" s="50"/>
    </row>
    <row r="268" spans="1:13 16383:16384">
      <c r="A268" s="49">
        <v>23750</v>
      </c>
      <c r="B268" s="50">
        <v>44968</v>
      </c>
      <c r="C268" s="50" t="s">
        <v>74</v>
      </c>
      <c r="D268" s="50" t="s">
        <v>2187</v>
      </c>
      <c r="E268" s="50" t="s">
        <v>74</v>
      </c>
      <c r="F268" s="51">
        <v>0.46180555555555558</v>
      </c>
      <c r="G268" s="50" t="s">
        <v>2219</v>
      </c>
      <c r="H268" s="50" t="s">
        <v>2220</v>
      </c>
      <c r="I268" s="51"/>
      <c r="J268" s="50"/>
      <c r="K268" s="50"/>
      <c r="L268" s="50"/>
      <c r="M268" s="50"/>
      <c r="XFC268" s="49"/>
      <c r="XFD268" s="50"/>
    </row>
    <row r="269" spans="1:13 16383:16384">
      <c r="A269" s="49">
        <v>19411</v>
      </c>
      <c r="B269" s="50">
        <v>44968</v>
      </c>
      <c r="C269" s="50" t="s">
        <v>62</v>
      </c>
      <c r="D269" s="50" t="s">
        <v>62</v>
      </c>
      <c r="E269" s="50" t="s">
        <v>1096</v>
      </c>
      <c r="F269" s="51">
        <v>0.46527777777777773</v>
      </c>
      <c r="G269" s="50" t="s">
        <v>287</v>
      </c>
      <c r="H269" s="50" t="s">
        <v>2144</v>
      </c>
      <c r="I269" s="51" t="s">
        <v>289</v>
      </c>
      <c r="J269" s="60" t="s">
        <v>584</v>
      </c>
      <c r="K269" s="50"/>
      <c r="L269" s="50"/>
      <c r="M269" s="50"/>
      <c r="XFC269" s="49"/>
      <c r="XFD269" s="50"/>
    </row>
    <row r="270" spans="1:13 16383:16384">
      <c r="A270" s="49">
        <v>26074</v>
      </c>
      <c r="B270" s="50">
        <v>44968</v>
      </c>
      <c r="C270" s="50" t="s">
        <v>47</v>
      </c>
      <c r="D270" s="50" t="s">
        <v>2191</v>
      </c>
      <c r="E270" s="50" t="s">
        <v>47</v>
      </c>
      <c r="F270" s="51">
        <v>0.5</v>
      </c>
      <c r="G270" s="50" t="s">
        <v>441</v>
      </c>
      <c r="H270" s="50" t="s">
        <v>2210</v>
      </c>
      <c r="I270" s="51"/>
      <c r="J270" s="50"/>
      <c r="K270" s="50"/>
      <c r="L270" s="50"/>
      <c r="M270" s="50"/>
      <c r="XFC270" s="49"/>
      <c r="XFD270" s="50"/>
    </row>
    <row r="271" spans="1:13 16383:16384">
      <c r="A271" s="49">
        <v>28817</v>
      </c>
      <c r="B271" s="50">
        <v>44968</v>
      </c>
      <c r="C271" s="50" t="s">
        <v>102</v>
      </c>
      <c r="D271" s="50" t="s">
        <v>102</v>
      </c>
      <c r="E271" s="50" t="s">
        <v>2194</v>
      </c>
      <c r="F271" s="51">
        <v>0.5</v>
      </c>
      <c r="G271" s="50" t="s">
        <v>373</v>
      </c>
      <c r="H271" s="50" t="s">
        <v>2144</v>
      </c>
      <c r="I271" s="55" t="s">
        <v>584</v>
      </c>
      <c r="J271" s="50" t="s">
        <v>102</v>
      </c>
      <c r="K271" s="50"/>
      <c r="L271" s="50"/>
      <c r="M271" s="50"/>
      <c r="XFC271" s="49"/>
      <c r="XFD271" s="50"/>
    </row>
    <row r="272" spans="1:13 16383:16384">
      <c r="A272" s="49">
        <v>15622</v>
      </c>
      <c r="B272" s="50">
        <v>44968</v>
      </c>
      <c r="C272" s="50" t="s">
        <v>85</v>
      </c>
      <c r="D272" s="50" t="s">
        <v>85</v>
      </c>
      <c r="E272" s="50" t="s">
        <v>142</v>
      </c>
      <c r="F272" s="51">
        <v>0.51388888888888895</v>
      </c>
      <c r="G272" s="50" t="s">
        <v>287</v>
      </c>
      <c r="H272" s="50" t="s">
        <v>2144</v>
      </c>
      <c r="I272" s="51" t="s">
        <v>289</v>
      </c>
      <c r="J272" s="60" t="s">
        <v>567</v>
      </c>
      <c r="K272" s="50"/>
      <c r="L272" s="50"/>
      <c r="M272" s="50"/>
      <c r="XFC272" s="49"/>
      <c r="XFD272" s="50"/>
    </row>
    <row r="273" spans="1:13 16383:16384">
      <c r="A273" s="49">
        <v>34078</v>
      </c>
      <c r="B273" s="50">
        <v>44968</v>
      </c>
      <c r="C273" s="50" t="s">
        <v>346</v>
      </c>
      <c r="D273" s="50" t="s">
        <v>2303</v>
      </c>
      <c r="E273" s="50" t="s">
        <v>346</v>
      </c>
      <c r="F273" s="51">
        <v>0.54166666666666663</v>
      </c>
      <c r="G273" s="50" t="s">
        <v>295</v>
      </c>
      <c r="H273" s="50" t="s">
        <v>2161</v>
      </c>
      <c r="I273" s="51"/>
      <c r="J273" s="50"/>
      <c r="K273" s="50"/>
      <c r="L273" s="50"/>
      <c r="M273" s="50"/>
      <c r="XFC273" s="49"/>
      <c r="XFD273" s="50"/>
    </row>
    <row r="274" spans="1:13 16383:16384">
      <c r="A274" s="49">
        <v>17811</v>
      </c>
      <c r="B274" s="50">
        <v>44968</v>
      </c>
      <c r="C274" s="50" t="s">
        <v>82</v>
      </c>
      <c r="D274" s="50" t="s">
        <v>82</v>
      </c>
      <c r="E274" s="50" t="s">
        <v>255</v>
      </c>
      <c r="F274" s="51">
        <v>0.55208333333333337</v>
      </c>
      <c r="G274" s="50" t="s">
        <v>373</v>
      </c>
      <c r="H274" s="50" t="s">
        <v>2144</v>
      </c>
      <c r="I274" s="51" t="s">
        <v>289</v>
      </c>
      <c r="J274" s="60" t="s">
        <v>338</v>
      </c>
      <c r="K274" s="50"/>
      <c r="L274" s="50"/>
      <c r="M274" s="50"/>
      <c r="XFC274" s="49"/>
      <c r="XFD274" s="50"/>
    </row>
    <row r="275" spans="1:13 16383:16384">
      <c r="A275" s="49">
        <v>13450</v>
      </c>
      <c r="B275" s="50">
        <v>44968</v>
      </c>
      <c r="C275" s="50" t="s">
        <v>123</v>
      </c>
      <c r="D275" s="50" t="s">
        <v>123</v>
      </c>
      <c r="E275" s="50" t="s">
        <v>270</v>
      </c>
      <c r="F275" s="51">
        <v>0.56944444444444442</v>
      </c>
      <c r="G275" s="50" t="s">
        <v>287</v>
      </c>
      <c r="H275" s="50" t="s">
        <v>2144</v>
      </c>
      <c r="I275" s="51" t="s">
        <v>289</v>
      </c>
      <c r="J275" s="60" t="s">
        <v>567</v>
      </c>
      <c r="K275" s="50"/>
      <c r="L275" s="50"/>
      <c r="M275" s="50"/>
      <c r="XFC275" s="49"/>
      <c r="XFD275" s="50"/>
    </row>
    <row r="276" spans="1:13 16383:16384">
      <c r="A276" s="49">
        <v>15920</v>
      </c>
      <c r="B276" s="50">
        <v>44968</v>
      </c>
      <c r="C276" s="50" t="s">
        <v>50</v>
      </c>
      <c r="D276" s="50" t="s">
        <v>1079</v>
      </c>
      <c r="E276" s="50" t="s">
        <v>50</v>
      </c>
      <c r="F276" s="51">
        <v>0.57291666666666663</v>
      </c>
      <c r="G276" s="50" t="s">
        <v>334</v>
      </c>
      <c r="H276" s="50" t="s">
        <v>2151</v>
      </c>
      <c r="I276" s="51"/>
      <c r="J276" s="50"/>
      <c r="K276" s="50"/>
      <c r="L276" s="50"/>
      <c r="M276" s="50"/>
      <c r="XFC276" s="49"/>
      <c r="XFD276" s="50"/>
    </row>
    <row r="277" spans="1:13 16383:16384">
      <c r="A277" s="49">
        <v>20561</v>
      </c>
      <c r="B277" s="50">
        <v>44968</v>
      </c>
      <c r="C277" s="50" t="s">
        <v>57</v>
      </c>
      <c r="D277" s="50" t="s">
        <v>2186</v>
      </c>
      <c r="E277" s="50" t="s">
        <v>57</v>
      </c>
      <c r="F277" s="51">
        <v>0.59722222222222221</v>
      </c>
      <c r="G277" s="50" t="s">
        <v>1691</v>
      </c>
      <c r="H277" s="50" t="s">
        <v>2325</v>
      </c>
      <c r="I277" s="51"/>
      <c r="J277" s="50"/>
      <c r="K277" s="50"/>
      <c r="L277" s="50"/>
      <c r="M277" s="50"/>
      <c r="XFC277" s="49"/>
      <c r="XFD277" s="50"/>
    </row>
    <row r="278" spans="1:13 16383:16384">
      <c r="A278" s="49">
        <v>30927</v>
      </c>
      <c r="B278" s="50">
        <v>44968</v>
      </c>
      <c r="C278" s="50" t="s">
        <v>112</v>
      </c>
      <c r="D278" s="50" t="s">
        <v>214</v>
      </c>
      <c r="E278" s="50" t="s">
        <v>112</v>
      </c>
      <c r="F278" s="51">
        <v>0.60416666666666663</v>
      </c>
      <c r="G278" s="50" t="s">
        <v>320</v>
      </c>
      <c r="H278" s="50" t="s">
        <v>2148</v>
      </c>
      <c r="I278" s="51"/>
      <c r="J278" s="50"/>
      <c r="K278" s="50"/>
      <c r="L278" s="50"/>
      <c r="M278" s="50"/>
      <c r="XFC278" s="49"/>
      <c r="XFD278" s="50"/>
    </row>
    <row r="279" spans="1:13 16383:16384">
      <c r="A279" s="49">
        <v>15404</v>
      </c>
      <c r="B279" s="50">
        <v>44968</v>
      </c>
      <c r="C279" s="50" t="s">
        <v>91</v>
      </c>
      <c r="D279" s="50" t="s">
        <v>91</v>
      </c>
      <c r="E279" s="50" t="s">
        <v>2188</v>
      </c>
      <c r="F279" s="51">
        <v>0.625</v>
      </c>
      <c r="G279" s="50" t="s">
        <v>287</v>
      </c>
      <c r="H279" s="50" t="s">
        <v>2144</v>
      </c>
      <c r="I279" s="51" t="s">
        <v>289</v>
      </c>
      <c r="J279" s="60" t="s">
        <v>328</v>
      </c>
      <c r="K279" s="50"/>
      <c r="L279" s="50"/>
      <c r="M279" s="50"/>
      <c r="XFC279" s="49"/>
      <c r="XFD279" s="50"/>
    </row>
    <row r="280" spans="1:13 16383:16384">
      <c r="A280" s="49">
        <v>21004</v>
      </c>
      <c r="B280" s="50">
        <v>44968</v>
      </c>
      <c r="C280" s="50" t="s">
        <v>15</v>
      </c>
      <c r="D280" s="50" t="s">
        <v>2178</v>
      </c>
      <c r="E280" s="50" t="s">
        <v>15</v>
      </c>
      <c r="F280" s="51">
        <v>0.62847222222222221</v>
      </c>
      <c r="G280" s="50" t="s">
        <v>295</v>
      </c>
      <c r="H280" s="50" t="s">
        <v>2161</v>
      </c>
      <c r="I280" s="51"/>
      <c r="J280" s="50"/>
      <c r="K280" s="50"/>
      <c r="L280" s="50"/>
      <c r="M280" s="50"/>
      <c r="XFC280" s="49"/>
      <c r="XFD280" s="50"/>
    </row>
    <row r="281" spans="1:13 16383:16384">
      <c r="A281" s="49">
        <v>30937</v>
      </c>
      <c r="B281" s="50">
        <v>44968</v>
      </c>
      <c r="C281" s="50" t="s">
        <v>569</v>
      </c>
      <c r="D281" s="50" t="s">
        <v>2198</v>
      </c>
      <c r="E281" s="50" t="s">
        <v>569</v>
      </c>
      <c r="F281" s="51">
        <v>0.67361111111111116</v>
      </c>
      <c r="G281" s="50" t="s">
        <v>451</v>
      </c>
      <c r="H281" s="50" t="s">
        <v>2262</v>
      </c>
      <c r="I281" s="51"/>
      <c r="J281" s="50"/>
      <c r="K281" s="50"/>
      <c r="L281" s="50"/>
      <c r="M281" s="50"/>
      <c r="XFC281" s="49"/>
      <c r="XFD281" s="50"/>
    </row>
    <row r="282" spans="1:13 16383:16384">
      <c r="A282" s="49">
        <v>12861</v>
      </c>
      <c r="B282" s="50">
        <v>44968</v>
      </c>
      <c r="C282" s="50" t="s">
        <v>109</v>
      </c>
      <c r="D282" s="50" t="s">
        <v>109</v>
      </c>
      <c r="E282" s="50" t="s">
        <v>2192</v>
      </c>
      <c r="F282" s="51">
        <v>0.69444444444444453</v>
      </c>
      <c r="G282" s="50" t="s">
        <v>287</v>
      </c>
      <c r="H282" s="50" t="s">
        <v>2144</v>
      </c>
      <c r="I282" s="51" t="s">
        <v>289</v>
      </c>
      <c r="J282" s="60" t="s">
        <v>328</v>
      </c>
      <c r="K282" s="50"/>
      <c r="L282" s="50"/>
      <c r="M282" s="50"/>
      <c r="XFC282" s="49"/>
      <c r="XFD282" s="50"/>
    </row>
    <row r="283" spans="1:13 16383:16384">
      <c r="A283" s="49">
        <v>10735</v>
      </c>
      <c r="B283" s="50">
        <v>44968</v>
      </c>
      <c r="C283" s="50" t="s">
        <v>118</v>
      </c>
      <c r="D283" s="50" t="s">
        <v>118</v>
      </c>
      <c r="E283" s="50" t="s">
        <v>2195</v>
      </c>
      <c r="F283" s="51">
        <v>0.75</v>
      </c>
      <c r="G283" s="50" t="s">
        <v>287</v>
      </c>
      <c r="H283" s="50" t="s">
        <v>2144</v>
      </c>
      <c r="I283" s="51" t="s">
        <v>289</v>
      </c>
      <c r="J283" s="60" t="s">
        <v>298</v>
      </c>
      <c r="K283" s="50"/>
      <c r="L283" s="50"/>
      <c r="M283" s="50"/>
      <c r="XFC283" s="49"/>
      <c r="XFD283" s="50"/>
    </row>
    <row r="284" spans="1:13 16383:16384">
      <c r="A284" s="49">
        <v>29913</v>
      </c>
      <c r="B284" s="50">
        <v>44968</v>
      </c>
      <c r="C284" s="50" t="s">
        <v>115</v>
      </c>
      <c r="D284" s="50" t="s">
        <v>115</v>
      </c>
      <c r="E284" s="50" t="s">
        <v>2196</v>
      </c>
      <c r="F284" s="51">
        <v>0.80555555555555547</v>
      </c>
      <c r="G284" s="50" t="s">
        <v>287</v>
      </c>
      <c r="H284" s="50" t="s">
        <v>2144</v>
      </c>
      <c r="I284" s="55" t="s">
        <v>301</v>
      </c>
      <c r="J284" s="60" t="s">
        <v>115</v>
      </c>
      <c r="K284" s="50"/>
      <c r="L284" s="50"/>
      <c r="M284" s="50"/>
      <c r="XFC284" s="49"/>
      <c r="XFD284" s="50"/>
    </row>
    <row r="285" spans="1:13 16383:16384">
      <c r="A285" s="49">
        <v>14935</v>
      </c>
      <c r="B285" s="50">
        <v>44968</v>
      </c>
      <c r="C285" s="50" t="s">
        <v>79</v>
      </c>
      <c r="D285" s="50" t="s">
        <v>212</v>
      </c>
      <c r="E285" s="50" t="s">
        <v>79</v>
      </c>
      <c r="F285" s="51">
        <v>0.81944444444444453</v>
      </c>
      <c r="G285" s="50" t="s">
        <v>612</v>
      </c>
      <c r="H285" s="50" t="s">
        <v>2330</v>
      </c>
      <c r="I285" s="51"/>
      <c r="J285" s="50"/>
      <c r="K285" s="50"/>
      <c r="L285" s="50"/>
      <c r="M285" s="50"/>
      <c r="XFC285" s="49"/>
      <c r="XFD285" s="50"/>
    </row>
    <row r="286" spans="1:13 16383:16384">
      <c r="A286" s="49">
        <v>29916</v>
      </c>
      <c r="B286" s="50">
        <v>44968</v>
      </c>
      <c r="C286" s="50" t="s">
        <v>105</v>
      </c>
      <c r="D286" s="50" t="s">
        <v>105</v>
      </c>
      <c r="E286" s="50" t="s">
        <v>2197</v>
      </c>
      <c r="F286" s="51">
        <v>0.85416666666666663</v>
      </c>
      <c r="G286" s="50" t="s">
        <v>287</v>
      </c>
      <c r="H286" s="50" t="s">
        <v>2144</v>
      </c>
      <c r="I286" s="55" t="s">
        <v>2136</v>
      </c>
      <c r="J286" s="50" t="s">
        <v>105</v>
      </c>
      <c r="K286" s="50"/>
      <c r="L286" s="50"/>
      <c r="M286" s="50"/>
      <c r="XFC286" s="49"/>
      <c r="XFD286" s="50"/>
    </row>
    <row r="287" spans="1:13 16383:16384">
      <c r="A287" s="49">
        <v>13622</v>
      </c>
      <c r="B287" s="50">
        <v>44975</v>
      </c>
      <c r="C287" s="50" t="s">
        <v>43</v>
      </c>
      <c r="D287" s="50" t="s">
        <v>2208</v>
      </c>
      <c r="E287" s="50" t="s">
        <v>43</v>
      </c>
      <c r="F287" s="51">
        <v>0.375</v>
      </c>
      <c r="G287" s="50" t="s">
        <v>454</v>
      </c>
      <c r="H287" s="50" t="s">
        <v>2158</v>
      </c>
      <c r="I287" s="51"/>
      <c r="J287" s="50"/>
      <c r="K287" s="50"/>
      <c r="L287" s="50"/>
      <c r="M287" s="50"/>
      <c r="XFC287" s="49"/>
      <c r="XFD287" s="50"/>
    </row>
    <row r="288" spans="1:13 16383:16384">
      <c r="A288" s="49">
        <v>16949</v>
      </c>
      <c r="B288" s="50">
        <v>44975</v>
      </c>
      <c r="C288" s="50" t="s">
        <v>64</v>
      </c>
      <c r="D288" s="50" t="s">
        <v>64</v>
      </c>
      <c r="E288" s="50" t="s">
        <v>2199</v>
      </c>
      <c r="F288" s="51">
        <v>0.375</v>
      </c>
      <c r="G288" s="50" t="s">
        <v>287</v>
      </c>
      <c r="H288" s="50" t="s">
        <v>2144</v>
      </c>
      <c r="I288" s="55" t="s">
        <v>328</v>
      </c>
      <c r="J288" s="50" t="s">
        <v>64</v>
      </c>
      <c r="K288" s="50"/>
      <c r="L288" s="50"/>
      <c r="M288" s="50"/>
      <c r="XFC288" s="49"/>
      <c r="XFD288" s="50"/>
    </row>
    <row r="289" spans="1:13 16383:16384">
      <c r="A289" s="49">
        <v>16947</v>
      </c>
      <c r="B289" s="50">
        <v>44975</v>
      </c>
      <c r="C289" s="50" t="s">
        <v>40</v>
      </c>
      <c r="D289" s="50" t="s">
        <v>40</v>
      </c>
      <c r="E289" s="50" t="s">
        <v>739</v>
      </c>
      <c r="F289" s="51">
        <v>0.375</v>
      </c>
      <c r="G289" s="50" t="s">
        <v>287</v>
      </c>
      <c r="H289" s="50" t="s">
        <v>2144</v>
      </c>
      <c r="I289" s="55" t="s">
        <v>399</v>
      </c>
      <c r="J289" s="50" t="s">
        <v>40</v>
      </c>
      <c r="K289" s="50"/>
      <c r="L289" s="50"/>
      <c r="M289" s="50"/>
      <c r="XFC289" s="49"/>
      <c r="XFD289" s="50"/>
    </row>
    <row r="290" spans="1:13 16383:16384">
      <c r="A290" s="49">
        <v>20048</v>
      </c>
      <c r="B290" s="50">
        <v>44975</v>
      </c>
      <c r="C290" s="50" t="s">
        <v>32</v>
      </c>
      <c r="D290" s="50" t="s">
        <v>2213</v>
      </c>
      <c r="E290" s="50" t="s">
        <v>32</v>
      </c>
      <c r="F290" s="51">
        <v>0.39583333333333331</v>
      </c>
      <c r="G290" s="50" t="s">
        <v>1631</v>
      </c>
      <c r="H290" s="50" t="s">
        <v>2151</v>
      </c>
      <c r="I290" s="51"/>
      <c r="J290" s="50"/>
      <c r="K290" s="50"/>
      <c r="L290" s="50"/>
      <c r="M290" s="50"/>
      <c r="XFC290" s="49"/>
      <c r="XFD290" s="50"/>
    </row>
    <row r="291" spans="1:13 16383:16384">
      <c r="A291" s="49">
        <v>16948</v>
      </c>
      <c r="B291" s="50">
        <v>44975</v>
      </c>
      <c r="C291" s="50" t="s">
        <v>20</v>
      </c>
      <c r="D291" s="50" t="s">
        <v>20</v>
      </c>
      <c r="E291" s="50" t="s">
        <v>2201</v>
      </c>
      <c r="F291" s="51">
        <v>0.41666666666666669</v>
      </c>
      <c r="G291" s="50" t="s">
        <v>287</v>
      </c>
      <c r="H291" s="50" t="s">
        <v>2144</v>
      </c>
      <c r="I291" s="55" t="s">
        <v>566</v>
      </c>
      <c r="J291" s="50" t="s">
        <v>20</v>
      </c>
      <c r="K291" s="50"/>
      <c r="L291" s="50"/>
      <c r="M291" s="50"/>
      <c r="XFC291" s="49"/>
      <c r="XFD291" s="50"/>
    </row>
    <row r="292" spans="1:13 16383:16384">
      <c r="A292" s="49">
        <v>12712</v>
      </c>
      <c r="B292" s="50">
        <v>44975</v>
      </c>
      <c r="C292" s="50" t="s">
        <v>53</v>
      </c>
      <c r="D292" s="50" t="s">
        <v>53</v>
      </c>
      <c r="E292" s="50" t="s">
        <v>2202</v>
      </c>
      <c r="F292" s="51">
        <v>0.41666666666666669</v>
      </c>
      <c r="G292" s="50" t="s">
        <v>287</v>
      </c>
      <c r="H292" s="50" t="s">
        <v>2144</v>
      </c>
      <c r="I292" s="55" t="s">
        <v>306</v>
      </c>
      <c r="J292" s="50" t="s">
        <v>53</v>
      </c>
      <c r="K292" s="50"/>
      <c r="L292" s="50"/>
      <c r="M292" s="50"/>
      <c r="XFC292" s="49"/>
      <c r="XFD292" s="50"/>
    </row>
    <row r="293" spans="1:13 16383:16384">
      <c r="A293" s="49">
        <v>34026</v>
      </c>
      <c r="B293" s="50">
        <v>44975</v>
      </c>
      <c r="C293" s="50" t="s">
        <v>25</v>
      </c>
      <c r="D293" s="50" t="s">
        <v>25</v>
      </c>
      <c r="E293" s="50" t="s">
        <v>2203</v>
      </c>
      <c r="F293" s="51">
        <v>0.41666666666666669</v>
      </c>
      <c r="G293" s="50" t="s">
        <v>287</v>
      </c>
      <c r="H293" s="50" t="s">
        <v>2144</v>
      </c>
      <c r="I293" s="55" t="s">
        <v>417</v>
      </c>
      <c r="J293" s="50" t="s">
        <v>25</v>
      </c>
      <c r="K293" s="50"/>
      <c r="L293" s="50"/>
      <c r="M293" s="50"/>
      <c r="XFC293" s="49"/>
      <c r="XFD293" s="50"/>
    </row>
    <row r="294" spans="1:13 16383:16384">
      <c r="A294" s="49">
        <v>16900</v>
      </c>
      <c r="B294" s="50">
        <v>44975</v>
      </c>
      <c r="C294" s="50" t="s">
        <v>36</v>
      </c>
      <c r="D294" s="50" t="s">
        <v>2206</v>
      </c>
      <c r="E294" s="50" t="s">
        <v>36</v>
      </c>
      <c r="F294" s="51">
        <v>0.41666666666666669</v>
      </c>
      <c r="G294" s="50" t="s">
        <v>376</v>
      </c>
      <c r="H294" s="50" t="s">
        <v>2158</v>
      </c>
      <c r="I294" s="51"/>
      <c r="J294" s="50"/>
      <c r="K294" s="50"/>
      <c r="L294" s="50"/>
      <c r="M294" s="50"/>
      <c r="XFC294" s="49"/>
      <c r="XFD294" s="50"/>
    </row>
    <row r="295" spans="1:13 16383:16384">
      <c r="A295" s="49">
        <v>20049</v>
      </c>
      <c r="B295" s="50">
        <v>44975</v>
      </c>
      <c r="C295" s="50" t="s">
        <v>15</v>
      </c>
      <c r="D295" s="50" t="s">
        <v>1056</v>
      </c>
      <c r="E295" s="50" t="s">
        <v>15</v>
      </c>
      <c r="F295" s="51">
        <v>0.4201388888888889</v>
      </c>
      <c r="G295" s="50" t="s">
        <v>2219</v>
      </c>
      <c r="H295" s="50" t="s">
        <v>2220</v>
      </c>
      <c r="I295" s="51"/>
      <c r="J295" s="50"/>
      <c r="K295" s="50"/>
      <c r="L295" s="50"/>
      <c r="M295" s="50"/>
      <c r="XFC295" s="49"/>
      <c r="XFD295" s="50"/>
    </row>
    <row r="296" spans="1:13 16383:16384">
      <c r="A296" s="49">
        <v>15407</v>
      </c>
      <c r="B296" s="50">
        <v>44975</v>
      </c>
      <c r="C296" s="50" t="s">
        <v>91</v>
      </c>
      <c r="D296" s="50" t="s">
        <v>2218</v>
      </c>
      <c r="E296" s="50" t="s">
        <v>91</v>
      </c>
      <c r="F296" s="51">
        <v>0.43402777777777773</v>
      </c>
      <c r="G296" s="50" t="s">
        <v>295</v>
      </c>
      <c r="H296" s="50" t="s">
        <v>2161</v>
      </c>
      <c r="I296" s="51"/>
      <c r="J296" s="50"/>
      <c r="K296" s="50"/>
      <c r="L296" s="50"/>
      <c r="M296" s="50"/>
      <c r="XFC296" s="49"/>
      <c r="XFD296" s="50"/>
    </row>
    <row r="297" spans="1:13 16383:16384">
      <c r="A297" s="49">
        <v>25396</v>
      </c>
      <c r="B297" s="50">
        <v>44975</v>
      </c>
      <c r="C297" s="50" t="s">
        <v>47</v>
      </c>
      <c r="D297" s="50" t="s">
        <v>2223</v>
      </c>
      <c r="E297" s="50" t="s">
        <v>47</v>
      </c>
      <c r="F297" s="51">
        <v>0.4375</v>
      </c>
      <c r="G297" s="50" t="s">
        <v>1631</v>
      </c>
      <c r="H297" s="50" t="s">
        <v>2151</v>
      </c>
      <c r="I297" s="51"/>
      <c r="J297" s="50"/>
      <c r="K297" s="50"/>
      <c r="L297" s="50"/>
      <c r="M297" s="50"/>
      <c r="XFC297" s="49"/>
      <c r="XFD297" s="50"/>
    </row>
    <row r="298" spans="1:13 16383:16384">
      <c r="A298" s="49">
        <v>34075</v>
      </c>
      <c r="B298" s="50">
        <v>44975</v>
      </c>
      <c r="C298" s="50" t="s">
        <v>346</v>
      </c>
      <c r="D298" s="50" t="s">
        <v>346</v>
      </c>
      <c r="E298" s="50" t="s">
        <v>2205</v>
      </c>
      <c r="F298" s="51">
        <v>0.45833333333333331</v>
      </c>
      <c r="G298" s="50" t="s">
        <v>287</v>
      </c>
      <c r="H298" s="50" t="s">
        <v>2144</v>
      </c>
      <c r="I298" s="55" t="s">
        <v>788</v>
      </c>
      <c r="J298" s="50" t="s">
        <v>346</v>
      </c>
      <c r="K298" s="50"/>
      <c r="L298" s="50"/>
      <c r="M298" s="50"/>
      <c r="XFC298" s="49"/>
      <c r="XFD298" s="50"/>
    </row>
    <row r="299" spans="1:13 16383:16384">
      <c r="A299" s="49">
        <v>15763</v>
      </c>
      <c r="B299" s="50">
        <v>44975</v>
      </c>
      <c r="C299" s="50" t="s">
        <v>50</v>
      </c>
      <c r="D299" s="50" t="s">
        <v>50</v>
      </c>
      <c r="E299" s="50" t="s">
        <v>256</v>
      </c>
      <c r="F299" s="51">
        <v>0.5</v>
      </c>
      <c r="G299" s="50" t="s">
        <v>287</v>
      </c>
      <c r="H299" s="50" t="s">
        <v>2144</v>
      </c>
      <c r="I299" s="51" t="s">
        <v>289</v>
      </c>
      <c r="J299" s="60" t="s">
        <v>306</v>
      </c>
      <c r="K299" s="50"/>
      <c r="L299" s="50"/>
      <c r="M299" s="50"/>
      <c r="XFC299" s="49"/>
      <c r="XFD299" s="50"/>
    </row>
    <row r="300" spans="1:13 16383:16384">
      <c r="A300" s="49">
        <v>33854</v>
      </c>
      <c r="B300" s="50">
        <v>44975</v>
      </c>
      <c r="C300" s="50" t="s">
        <v>711</v>
      </c>
      <c r="D300" s="50" t="s">
        <v>716</v>
      </c>
      <c r="E300" s="50" t="s">
        <v>711</v>
      </c>
      <c r="F300" s="51">
        <v>0.5</v>
      </c>
      <c r="G300" s="50" t="s">
        <v>858</v>
      </c>
      <c r="H300" s="50" t="s">
        <v>2331</v>
      </c>
      <c r="I300" s="51"/>
      <c r="J300" s="50"/>
      <c r="K300" s="50"/>
      <c r="L300" s="50"/>
      <c r="M300" s="50"/>
      <c r="XFC300" s="49"/>
      <c r="XFD300" s="50"/>
    </row>
    <row r="301" spans="1:13 16383:16384">
      <c r="A301" s="49">
        <v>29325</v>
      </c>
      <c r="B301" s="50">
        <v>44975</v>
      </c>
      <c r="C301" s="50" t="s">
        <v>115</v>
      </c>
      <c r="D301" s="50" t="s">
        <v>115</v>
      </c>
      <c r="E301" s="50" t="s">
        <v>2216</v>
      </c>
      <c r="F301" s="51">
        <v>0.50694444444444442</v>
      </c>
      <c r="G301" s="50" t="s">
        <v>305</v>
      </c>
      <c r="H301" s="50" t="s">
        <v>2144</v>
      </c>
      <c r="I301" s="55" t="s">
        <v>584</v>
      </c>
      <c r="J301" s="50" t="s">
        <v>115</v>
      </c>
      <c r="K301" s="50"/>
      <c r="L301" s="50"/>
      <c r="M301" s="50"/>
      <c r="XFC301" s="49"/>
      <c r="XFD301" s="50"/>
    </row>
    <row r="302" spans="1:13 16383:16384">
      <c r="A302" s="49">
        <v>15629</v>
      </c>
      <c r="B302" s="50">
        <v>44975</v>
      </c>
      <c r="C302" s="50" t="s">
        <v>85</v>
      </c>
      <c r="D302" s="50" t="s">
        <v>2212</v>
      </c>
      <c r="E302" s="50" t="s">
        <v>85</v>
      </c>
      <c r="F302" s="51">
        <v>0.50694444444444442</v>
      </c>
      <c r="G302" s="50" t="s">
        <v>520</v>
      </c>
      <c r="H302" s="50" t="s">
        <v>2248</v>
      </c>
      <c r="I302" s="51"/>
      <c r="J302" s="50"/>
      <c r="K302" s="50"/>
      <c r="L302" s="50"/>
      <c r="M302" s="50"/>
      <c r="XFC302" s="49"/>
      <c r="XFD302" s="50"/>
    </row>
    <row r="303" spans="1:13 16383:16384">
      <c r="A303" s="49">
        <v>22909</v>
      </c>
      <c r="B303" s="50">
        <v>44975</v>
      </c>
      <c r="C303" s="50" t="s">
        <v>71</v>
      </c>
      <c r="D303" s="50" t="s">
        <v>2217</v>
      </c>
      <c r="E303" s="50" t="s">
        <v>71</v>
      </c>
      <c r="F303" s="51">
        <v>0.54166666666666663</v>
      </c>
      <c r="G303" s="50" t="s">
        <v>467</v>
      </c>
      <c r="H303" s="50" t="s">
        <v>2158</v>
      </c>
      <c r="I303" s="51"/>
      <c r="J303" s="50"/>
      <c r="K303" s="50"/>
      <c r="L303" s="50"/>
      <c r="M303" s="50"/>
      <c r="XFC303" s="49"/>
      <c r="XFD303" s="50"/>
    </row>
    <row r="304" spans="1:13 16383:16384">
      <c r="A304" s="49">
        <v>20052</v>
      </c>
      <c r="B304" s="50">
        <v>44975</v>
      </c>
      <c r="C304" s="50" t="s">
        <v>28</v>
      </c>
      <c r="D304" s="50" t="s">
        <v>29</v>
      </c>
      <c r="E304" s="50" t="s">
        <v>28</v>
      </c>
      <c r="F304" s="51">
        <v>0.54513888888888895</v>
      </c>
      <c r="G304" s="50" t="s">
        <v>454</v>
      </c>
      <c r="H304" s="50" t="s">
        <v>2158</v>
      </c>
      <c r="I304" s="51"/>
      <c r="J304" s="50"/>
      <c r="K304" s="50"/>
      <c r="L304" s="50"/>
      <c r="M304" s="50"/>
      <c r="XFC304" s="49"/>
      <c r="XFD304" s="50"/>
    </row>
    <row r="305" spans="1:13 16383:16384">
      <c r="A305" s="49">
        <v>19327</v>
      </c>
      <c r="B305" s="50">
        <v>44975</v>
      </c>
      <c r="C305" s="50" t="s">
        <v>62</v>
      </c>
      <c r="D305" s="50" t="s">
        <v>62</v>
      </c>
      <c r="E305" s="50" t="s">
        <v>267</v>
      </c>
      <c r="F305" s="51">
        <v>0.54861111111111105</v>
      </c>
      <c r="G305" s="50" t="s">
        <v>287</v>
      </c>
      <c r="H305" s="50" t="s">
        <v>2144</v>
      </c>
      <c r="I305" s="51" t="s">
        <v>289</v>
      </c>
      <c r="J305" s="60" t="s">
        <v>306</v>
      </c>
      <c r="K305" s="50"/>
      <c r="L305" s="50"/>
      <c r="M305" s="50"/>
      <c r="XFC305" s="49"/>
      <c r="XFD305" s="50"/>
    </row>
    <row r="306" spans="1:13 16383:16384">
      <c r="A306" s="49">
        <v>31542</v>
      </c>
      <c r="B306" s="50">
        <v>44975</v>
      </c>
      <c r="C306" s="50" t="s">
        <v>112</v>
      </c>
      <c r="D306" s="50" t="s">
        <v>112</v>
      </c>
      <c r="E306" s="50" t="s">
        <v>2225</v>
      </c>
      <c r="F306" s="51">
        <v>0.55902777777777779</v>
      </c>
      <c r="G306" s="50" t="s">
        <v>305</v>
      </c>
      <c r="H306" s="50" t="s">
        <v>2144</v>
      </c>
      <c r="I306" s="55" t="s">
        <v>567</v>
      </c>
      <c r="J306" s="50" t="s">
        <v>112</v>
      </c>
      <c r="K306" s="50"/>
      <c r="L306" s="50"/>
      <c r="M306" s="50"/>
      <c r="XFC306" s="49"/>
      <c r="XFD306" s="50"/>
    </row>
    <row r="307" spans="1:13 16383:16384">
      <c r="A307" s="49">
        <v>16967</v>
      </c>
      <c r="B307" s="50">
        <v>44975</v>
      </c>
      <c r="C307" s="50" t="s">
        <v>67</v>
      </c>
      <c r="D307" s="50" t="s">
        <v>2207</v>
      </c>
      <c r="E307" s="50" t="s">
        <v>67</v>
      </c>
      <c r="F307" s="51">
        <v>0.58333333333333337</v>
      </c>
      <c r="G307" s="50" t="s">
        <v>358</v>
      </c>
      <c r="H307" s="50" t="s">
        <v>2166</v>
      </c>
      <c r="I307" s="51"/>
      <c r="J307" s="50"/>
      <c r="K307" s="50"/>
      <c r="L307" s="50"/>
      <c r="M307" s="50"/>
      <c r="XFC307" s="49"/>
      <c r="XFD307" s="50"/>
    </row>
    <row r="308" spans="1:13 16383:16384">
      <c r="A308" s="49">
        <v>27916</v>
      </c>
      <c r="B308" s="50">
        <v>44975</v>
      </c>
      <c r="C308" s="50" t="s">
        <v>95</v>
      </c>
      <c r="D308" s="50" t="s">
        <v>95</v>
      </c>
      <c r="E308" s="50" t="s">
        <v>158</v>
      </c>
      <c r="F308" s="51">
        <v>0.59375</v>
      </c>
      <c r="G308" s="50" t="s">
        <v>287</v>
      </c>
      <c r="H308" s="50" t="s">
        <v>2144</v>
      </c>
      <c r="I308" s="55" t="s">
        <v>298</v>
      </c>
      <c r="J308" s="50" t="s">
        <v>95</v>
      </c>
      <c r="K308" s="50"/>
      <c r="L308" s="50"/>
      <c r="M308" s="50"/>
      <c r="XFC308" s="49"/>
      <c r="XFD308" s="50"/>
    </row>
    <row r="309" spans="1:13 16383:16384">
      <c r="A309" s="49">
        <v>14029</v>
      </c>
      <c r="B309" s="50">
        <v>44975</v>
      </c>
      <c r="C309" s="50" t="s">
        <v>88</v>
      </c>
      <c r="D309" s="50" t="s">
        <v>88</v>
      </c>
      <c r="E309" s="50" t="s">
        <v>251</v>
      </c>
      <c r="F309" s="51">
        <v>0.61111111111111105</v>
      </c>
      <c r="G309" s="50" t="s">
        <v>305</v>
      </c>
      <c r="H309" s="50" t="s">
        <v>2144</v>
      </c>
      <c r="I309" s="51" t="s">
        <v>289</v>
      </c>
      <c r="J309" s="60" t="s">
        <v>338</v>
      </c>
      <c r="K309" s="50"/>
      <c r="L309" s="50"/>
      <c r="M309" s="50"/>
      <c r="XFC309" s="49"/>
      <c r="XFD309" s="50"/>
    </row>
    <row r="310" spans="1:13 16383:16384">
      <c r="A310" s="49">
        <v>31532</v>
      </c>
      <c r="B310" s="50">
        <v>44975</v>
      </c>
      <c r="C310" s="50" t="s">
        <v>120</v>
      </c>
      <c r="D310" s="50" t="s">
        <v>2226</v>
      </c>
      <c r="E310" s="50" t="s">
        <v>120</v>
      </c>
      <c r="F310" s="51">
        <v>0.625</v>
      </c>
      <c r="G310" s="50" t="s">
        <v>546</v>
      </c>
      <c r="H310" s="50" t="s">
        <v>2169</v>
      </c>
      <c r="I310" s="51"/>
      <c r="J310" s="50"/>
      <c r="K310" s="50"/>
      <c r="L310" s="50"/>
      <c r="M310" s="50"/>
      <c r="XFC310" s="49"/>
      <c r="XFD310" s="50"/>
    </row>
    <row r="311" spans="1:13 16383:16384">
      <c r="A311" s="49">
        <v>20488</v>
      </c>
      <c r="B311" s="50">
        <v>44975</v>
      </c>
      <c r="C311" s="50" t="s">
        <v>57</v>
      </c>
      <c r="D311" s="50" t="s">
        <v>2215</v>
      </c>
      <c r="E311" s="50" t="s">
        <v>57</v>
      </c>
      <c r="F311" s="51">
        <v>0.625</v>
      </c>
      <c r="G311" s="50" t="s">
        <v>874</v>
      </c>
      <c r="H311" s="50" t="s">
        <v>2204</v>
      </c>
      <c r="I311" s="51"/>
      <c r="J311" s="50"/>
      <c r="K311" s="50"/>
      <c r="L311" s="50"/>
      <c r="M311" s="50"/>
      <c r="XFC311" s="49"/>
      <c r="XFD311" s="50"/>
    </row>
    <row r="312" spans="1:13 16383:16384">
      <c r="A312" s="49">
        <v>31504</v>
      </c>
      <c r="B312" s="50">
        <v>44975</v>
      </c>
      <c r="C312" s="50" t="s">
        <v>569</v>
      </c>
      <c r="D312" s="50" t="s">
        <v>569</v>
      </c>
      <c r="E312" s="50" t="s">
        <v>2314</v>
      </c>
      <c r="F312" s="51">
        <v>0.64583333333333337</v>
      </c>
      <c r="G312" s="50" t="s">
        <v>287</v>
      </c>
      <c r="H312" s="50" t="s">
        <v>2144</v>
      </c>
      <c r="I312" s="55" t="s">
        <v>288</v>
      </c>
      <c r="J312" s="50" t="s">
        <v>569</v>
      </c>
      <c r="K312" s="50"/>
      <c r="L312" s="50"/>
      <c r="M312" s="50"/>
      <c r="XFC312" s="49"/>
      <c r="XFD312" s="50"/>
    </row>
    <row r="313" spans="1:13 16383:16384">
      <c r="A313" s="49">
        <v>17812</v>
      </c>
      <c r="B313" s="50">
        <v>44975</v>
      </c>
      <c r="C313" s="50" t="s">
        <v>82</v>
      </c>
      <c r="D313" s="50" t="s">
        <v>227</v>
      </c>
      <c r="E313" s="50" t="s">
        <v>82</v>
      </c>
      <c r="F313" s="51">
        <v>0.67361111111111116</v>
      </c>
      <c r="G313" s="50" t="s">
        <v>334</v>
      </c>
      <c r="H313" s="50" t="s">
        <v>2151</v>
      </c>
      <c r="I313" s="51"/>
      <c r="J313" s="50"/>
      <c r="K313" s="50"/>
      <c r="L313" s="50"/>
      <c r="M313" s="50"/>
      <c r="XFC313" s="49"/>
      <c r="XFD313" s="50"/>
    </row>
    <row r="314" spans="1:13 16383:16384">
      <c r="A314" s="49">
        <v>28190</v>
      </c>
      <c r="B314" s="50">
        <v>44975</v>
      </c>
      <c r="C314" s="50" t="s">
        <v>102</v>
      </c>
      <c r="D314" s="50" t="s">
        <v>2209</v>
      </c>
      <c r="E314" s="50" t="s">
        <v>102</v>
      </c>
      <c r="F314" s="51">
        <v>0.68402777777777779</v>
      </c>
      <c r="G314" s="50" t="s">
        <v>1895</v>
      </c>
      <c r="H314" s="50" t="s">
        <v>2332</v>
      </c>
      <c r="I314" s="51"/>
      <c r="J314" s="50"/>
      <c r="K314" s="50"/>
      <c r="L314" s="50"/>
      <c r="M314" s="50"/>
      <c r="XFC314" s="49"/>
      <c r="XFD314" s="50"/>
    </row>
    <row r="315" spans="1:13 16383:16384">
      <c r="A315" s="49">
        <v>14028</v>
      </c>
      <c r="B315" s="50">
        <v>44975</v>
      </c>
      <c r="C315" s="50" t="s">
        <v>79</v>
      </c>
      <c r="D315" s="50" t="s">
        <v>79</v>
      </c>
      <c r="E315" s="50" t="s">
        <v>2222</v>
      </c>
      <c r="F315" s="51">
        <v>0.69444444444444453</v>
      </c>
      <c r="G315" s="50" t="s">
        <v>287</v>
      </c>
      <c r="H315" s="50" t="s">
        <v>2144</v>
      </c>
      <c r="I315" s="55" t="s">
        <v>289</v>
      </c>
      <c r="J315" s="60" t="s">
        <v>606</v>
      </c>
      <c r="K315" s="50"/>
      <c r="L315" s="50"/>
      <c r="M315" s="50"/>
      <c r="XFC315" s="49"/>
      <c r="XFD315" s="50"/>
    </row>
    <row r="316" spans="1:13 16383:16384">
      <c r="A316" s="49">
        <v>12872</v>
      </c>
      <c r="B316" s="50">
        <v>44975</v>
      </c>
      <c r="C316" s="50" t="s">
        <v>109</v>
      </c>
      <c r="D316" s="50" t="s">
        <v>234</v>
      </c>
      <c r="E316" s="50" t="s">
        <v>109</v>
      </c>
      <c r="F316" s="51">
        <v>0.76041666666666663</v>
      </c>
      <c r="G316" s="50" t="s">
        <v>1771</v>
      </c>
      <c r="H316" s="50" t="s">
        <v>2214</v>
      </c>
      <c r="I316" s="51"/>
      <c r="J316" s="50"/>
      <c r="K316" s="50"/>
      <c r="L316" s="50"/>
      <c r="M316" s="50"/>
      <c r="XFC316" s="49"/>
      <c r="XFD316" s="50"/>
    </row>
    <row r="317" spans="1:13 16383:16384">
      <c r="A317" s="49">
        <v>29960</v>
      </c>
      <c r="B317" s="50">
        <v>44975</v>
      </c>
      <c r="C317" s="50" t="s">
        <v>105</v>
      </c>
      <c r="D317" s="50" t="s">
        <v>2333</v>
      </c>
      <c r="E317" s="50" t="s">
        <v>105</v>
      </c>
      <c r="F317" s="51">
        <v>0.79166666666666663</v>
      </c>
      <c r="G317" s="50" t="s">
        <v>2219</v>
      </c>
      <c r="H317" s="50" t="s">
        <v>2220</v>
      </c>
      <c r="I317" s="51"/>
      <c r="J317" s="50"/>
      <c r="K317" s="50"/>
      <c r="L317" s="50"/>
      <c r="M317" s="50"/>
      <c r="XFC317" s="49"/>
      <c r="XFD317" s="50"/>
    </row>
    <row r="318" spans="1:13 16383:16384">
      <c r="A318" s="49">
        <v>10743</v>
      </c>
      <c r="B318" s="50">
        <v>44975</v>
      </c>
      <c r="C318" s="50" t="s">
        <v>118</v>
      </c>
      <c r="D318" s="50" t="s">
        <v>2224</v>
      </c>
      <c r="E318" s="50" t="s">
        <v>118</v>
      </c>
      <c r="F318" s="51">
        <v>0.81597222222222221</v>
      </c>
      <c r="G318" s="50" t="s">
        <v>1771</v>
      </c>
      <c r="H318" s="50" t="s">
        <v>2214</v>
      </c>
      <c r="I318" s="51"/>
      <c r="J318" s="50"/>
      <c r="K318" s="50"/>
      <c r="L318" s="50"/>
      <c r="M318" s="50"/>
      <c r="XFC318" s="49"/>
      <c r="XFD318" s="50"/>
    </row>
    <row r="319" spans="1:13 16383:16384">
      <c r="A319" s="49">
        <v>29764</v>
      </c>
      <c r="B319" s="50">
        <v>44982</v>
      </c>
      <c r="C319" s="50" t="s">
        <v>569</v>
      </c>
      <c r="D319" s="50" t="s">
        <v>2334</v>
      </c>
      <c r="E319" s="50" t="s">
        <v>569</v>
      </c>
      <c r="F319" s="51">
        <v>0.69791666666666663</v>
      </c>
      <c r="G319" s="50" t="s">
        <v>816</v>
      </c>
      <c r="H319" s="50" t="s">
        <v>2256</v>
      </c>
      <c r="I319" s="51"/>
      <c r="J319" s="50"/>
      <c r="K319" s="50"/>
      <c r="L319" s="50"/>
      <c r="M319" s="50"/>
      <c r="XFC319" s="49"/>
      <c r="XFD319" s="50"/>
    </row>
    <row r="320" spans="1:13 16383:16384">
      <c r="A320" s="49">
        <v>20863</v>
      </c>
      <c r="B320" s="50">
        <v>44989</v>
      </c>
      <c r="C320" s="50" t="s">
        <v>99</v>
      </c>
      <c r="D320" s="50" t="s">
        <v>2211</v>
      </c>
      <c r="E320" s="50" t="s">
        <v>99</v>
      </c>
      <c r="F320" s="51">
        <v>0.45833333333333331</v>
      </c>
      <c r="G320" s="50" t="s">
        <v>1183</v>
      </c>
      <c r="H320" s="50" t="s">
        <v>2311</v>
      </c>
      <c r="I320" s="51"/>
      <c r="J320" s="50"/>
      <c r="K320" s="50"/>
      <c r="L320" s="50"/>
      <c r="M320" s="50"/>
      <c r="XFC320" s="49"/>
      <c r="XFD320" s="50"/>
    </row>
    <row r="321" spans="1:13 16383:16384">
      <c r="A321" s="49">
        <v>13456</v>
      </c>
      <c r="B321" s="50">
        <v>44989</v>
      </c>
      <c r="C321" s="50" t="s">
        <v>123</v>
      </c>
      <c r="D321" s="50" t="s">
        <v>291</v>
      </c>
      <c r="E321" s="50" t="s">
        <v>123</v>
      </c>
      <c r="F321" s="51">
        <v>0.55555555555555558</v>
      </c>
      <c r="G321" s="50" t="s">
        <v>1183</v>
      </c>
      <c r="H321" s="50" t="s">
        <v>2311</v>
      </c>
      <c r="I321" s="51"/>
      <c r="J321" s="50"/>
      <c r="K321" s="50"/>
      <c r="L321" s="50"/>
      <c r="M321" s="50"/>
      <c r="XFC321" s="49"/>
      <c r="XFD321" s="50"/>
    </row>
    <row r="322" spans="1:13 16383:16384">
      <c r="A322" s="49">
        <v>30657</v>
      </c>
      <c r="B322" s="50">
        <v>44989</v>
      </c>
      <c r="C322" s="50" t="s">
        <v>569</v>
      </c>
      <c r="D322" s="50" t="s">
        <v>2329</v>
      </c>
      <c r="E322" s="50" t="s">
        <v>569</v>
      </c>
      <c r="F322" s="51">
        <v>0.69791666666666663</v>
      </c>
      <c r="G322" s="50" t="s">
        <v>497</v>
      </c>
      <c r="H322" s="50" t="s">
        <v>2335</v>
      </c>
      <c r="I322" s="51"/>
      <c r="J322" s="50"/>
      <c r="K322" s="50"/>
      <c r="L322" s="50"/>
      <c r="M322" s="50"/>
      <c r="XFC322" s="49"/>
      <c r="XFD322" s="50"/>
    </row>
    <row r="323" spans="1:13 16383:16384">
      <c r="A323" s="49">
        <v>34027</v>
      </c>
      <c r="B323" s="50">
        <v>44996</v>
      </c>
      <c r="C323" s="50" t="s">
        <v>25</v>
      </c>
      <c r="D323" s="50" t="s">
        <v>2232</v>
      </c>
      <c r="E323" s="50" t="s">
        <v>25</v>
      </c>
      <c r="F323" s="51">
        <v>0.375</v>
      </c>
      <c r="G323" s="50" t="s">
        <v>589</v>
      </c>
      <c r="H323" s="50" t="s">
        <v>2221</v>
      </c>
      <c r="I323" s="51"/>
      <c r="J323" s="50"/>
      <c r="K323" s="50"/>
      <c r="L323" s="50"/>
      <c r="M323" s="50"/>
      <c r="XFC323" s="49"/>
      <c r="XFD323" s="50"/>
    </row>
    <row r="324" spans="1:13 16383:16384">
      <c r="A324" s="49">
        <v>19529</v>
      </c>
      <c r="B324" s="50">
        <v>44996</v>
      </c>
      <c r="C324" s="50" t="s">
        <v>36</v>
      </c>
      <c r="D324" s="50" t="s">
        <v>36</v>
      </c>
      <c r="E324" s="50" t="s">
        <v>2231</v>
      </c>
      <c r="F324" s="51">
        <v>0.375</v>
      </c>
      <c r="G324" s="50" t="s">
        <v>287</v>
      </c>
      <c r="H324" s="50" t="s">
        <v>2144</v>
      </c>
      <c r="I324" s="55" t="s">
        <v>1955</v>
      </c>
      <c r="J324" s="50" t="s">
        <v>36</v>
      </c>
      <c r="K324" s="50"/>
      <c r="L324" s="50"/>
      <c r="M324" s="50"/>
      <c r="XFC324" s="49"/>
      <c r="XFD324" s="50"/>
    </row>
    <row r="325" spans="1:13 16383:16384">
      <c r="A325" s="49">
        <v>33855</v>
      </c>
      <c r="B325" s="50">
        <v>44996</v>
      </c>
      <c r="C325" s="50" t="s">
        <v>711</v>
      </c>
      <c r="D325" s="50" t="s">
        <v>711</v>
      </c>
      <c r="E325" s="50" t="s">
        <v>797</v>
      </c>
      <c r="F325" s="51">
        <v>0.375</v>
      </c>
      <c r="G325" s="50" t="s">
        <v>287</v>
      </c>
      <c r="H325" s="50" t="s">
        <v>2144</v>
      </c>
      <c r="I325" s="55" t="s">
        <v>785</v>
      </c>
      <c r="J325" s="50" t="s">
        <v>711</v>
      </c>
      <c r="K325" s="50"/>
      <c r="L325" s="50"/>
      <c r="M325" s="50"/>
      <c r="XFC325" s="49"/>
      <c r="XFD325" s="50"/>
    </row>
    <row r="326" spans="1:13 16383:16384">
      <c r="A326" s="49">
        <v>19528</v>
      </c>
      <c r="B326" s="50">
        <v>44996</v>
      </c>
      <c r="C326" s="50" t="s">
        <v>67</v>
      </c>
      <c r="D326" s="50" t="s">
        <v>67</v>
      </c>
      <c r="E326" s="50" t="s">
        <v>2227</v>
      </c>
      <c r="F326" s="51">
        <v>0.39583333333333331</v>
      </c>
      <c r="G326" s="50" t="s">
        <v>305</v>
      </c>
      <c r="H326" s="50" t="s">
        <v>2144</v>
      </c>
      <c r="I326" s="55" t="s">
        <v>2134</v>
      </c>
      <c r="J326" s="50" t="s">
        <v>67</v>
      </c>
      <c r="K326" s="50"/>
      <c r="L326" s="50"/>
      <c r="M326" s="50"/>
      <c r="XFC326" s="49"/>
      <c r="XFD326" s="50"/>
    </row>
    <row r="327" spans="1:13 16383:16384">
      <c r="A327" s="49">
        <v>19428</v>
      </c>
      <c r="B327" s="50">
        <v>44996</v>
      </c>
      <c r="C327" s="50" t="s">
        <v>64</v>
      </c>
      <c r="D327" s="50" t="s">
        <v>2228</v>
      </c>
      <c r="E327" s="50" t="s">
        <v>64</v>
      </c>
      <c r="F327" s="51">
        <v>0.41666666666666669</v>
      </c>
      <c r="G327" s="50" t="s">
        <v>459</v>
      </c>
      <c r="H327" s="50" t="s">
        <v>2254</v>
      </c>
      <c r="I327" s="51"/>
      <c r="J327" s="50"/>
      <c r="K327" s="50"/>
      <c r="L327" s="50"/>
      <c r="M327" s="50"/>
      <c r="XFC327" s="49"/>
      <c r="XFD327" s="50"/>
    </row>
    <row r="328" spans="1:13 16383:16384">
      <c r="A328" s="49">
        <v>24850</v>
      </c>
      <c r="B328" s="50">
        <v>44996</v>
      </c>
      <c r="C328" s="50" t="s">
        <v>71</v>
      </c>
      <c r="D328" s="50" t="s">
        <v>71</v>
      </c>
      <c r="E328" s="50" t="s">
        <v>2229</v>
      </c>
      <c r="F328" s="51">
        <v>0.41666666666666669</v>
      </c>
      <c r="G328" s="50" t="s">
        <v>287</v>
      </c>
      <c r="H328" s="50" t="s">
        <v>2144</v>
      </c>
      <c r="I328" s="55" t="s">
        <v>456</v>
      </c>
      <c r="J328" s="50" t="s">
        <v>71</v>
      </c>
      <c r="K328" s="50"/>
      <c r="L328" s="50"/>
      <c r="M328" s="50"/>
      <c r="XFC328" s="49"/>
      <c r="XFD328" s="50"/>
    </row>
    <row r="329" spans="1:13 16383:16384">
      <c r="A329" s="49">
        <v>13671</v>
      </c>
      <c r="B329" s="50">
        <v>44996</v>
      </c>
      <c r="C329" s="50" t="s">
        <v>53</v>
      </c>
      <c r="D329" s="50" t="s">
        <v>861</v>
      </c>
      <c r="E329" s="50" t="s">
        <v>53</v>
      </c>
      <c r="F329" s="51">
        <v>0.41666666666666669</v>
      </c>
      <c r="G329" s="50" t="s">
        <v>376</v>
      </c>
      <c r="H329" s="50" t="s">
        <v>2158</v>
      </c>
      <c r="I329" s="51"/>
      <c r="J329" s="50"/>
      <c r="K329" s="50"/>
      <c r="L329" s="50"/>
      <c r="M329" s="50"/>
      <c r="XFC329" s="49"/>
      <c r="XFD329" s="50"/>
    </row>
    <row r="330" spans="1:13 16383:16384">
      <c r="A330" s="49">
        <v>19416</v>
      </c>
      <c r="B330" s="50">
        <v>44996</v>
      </c>
      <c r="C330" s="50" t="s">
        <v>40</v>
      </c>
      <c r="D330" s="50" t="s">
        <v>132</v>
      </c>
      <c r="E330" s="50" t="s">
        <v>40</v>
      </c>
      <c r="F330" s="51">
        <v>0.41666666666666669</v>
      </c>
      <c r="G330" s="50" t="s">
        <v>295</v>
      </c>
      <c r="H330" s="50" t="s">
        <v>2161</v>
      </c>
      <c r="I330" s="51"/>
      <c r="J330" s="50"/>
      <c r="K330" s="50"/>
      <c r="L330" s="50"/>
      <c r="M330" s="50"/>
      <c r="XFC330" s="49"/>
      <c r="XFD330" s="50"/>
    </row>
    <row r="331" spans="1:13 16383:16384">
      <c r="A331" s="49">
        <v>22248</v>
      </c>
      <c r="B331" s="50">
        <v>44996</v>
      </c>
      <c r="C331" s="50" t="s">
        <v>32</v>
      </c>
      <c r="D331" s="50" t="s">
        <v>32</v>
      </c>
      <c r="E331" s="50" t="s">
        <v>33</v>
      </c>
      <c r="F331" s="51">
        <v>0.4375</v>
      </c>
      <c r="G331" s="50" t="s">
        <v>305</v>
      </c>
      <c r="H331" s="50" t="s">
        <v>2144</v>
      </c>
      <c r="I331" s="55" t="s">
        <v>584</v>
      </c>
      <c r="J331" s="50" t="s">
        <v>32</v>
      </c>
      <c r="K331" s="50"/>
      <c r="L331" s="50"/>
      <c r="M331" s="50"/>
      <c r="XFC331" s="49"/>
      <c r="XFD331" s="50"/>
    </row>
    <row r="332" spans="1:13 16383:16384">
      <c r="A332" s="49">
        <v>15751</v>
      </c>
      <c r="B332" s="50">
        <v>44996</v>
      </c>
      <c r="C332" s="50" t="s">
        <v>85</v>
      </c>
      <c r="D332" s="50" t="s">
        <v>85</v>
      </c>
      <c r="E332" s="50" t="s">
        <v>2243</v>
      </c>
      <c r="F332" s="51">
        <v>0.46527777777777773</v>
      </c>
      <c r="G332" s="50" t="s">
        <v>287</v>
      </c>
      <c r="H332" s="50" t="s">
        <v>2144</v>
      </c>
      <c r="I332" s="51" t="s">
        <v>289</v>
      </c>
      <c r="J332" s="60" t="s">
        <v>306</v>
      </c>
      <c r="K332" s="50"/>
      <c r="L332" s="50"/>
      <c r="M332" s="50"/>
      <c r="XFC332" s="49"/>
      <c r="XFD332" s="50"/>
    </row>
    <row r="333" spans="1:13 16383:16384">
      <c r="A333" s="49">
        <v>22249</v>
      </c>
      <c r="B333" s="50">
        <v>44996</v>
      </c>
      <c r="C333" s="50" t="s">
        <v>28</v>
      </c>
      <c r="D333" s="50" t="s">
        <v>28</v>
      </c>
      <c r="E333" s="50" t="s">
        <v>2177</v>
      </c>
      <c r="F333" s="51">
        <v>0.47916666666666669</v>
      </c>
      <c r="G333" s="50" t="s">
        <v>305</v>
      </c>
      <c r="H333" s="50" t="s">
        <v>2144</v>
      </c>
      <c r="I333" s="55" t="s">
        <v>1480</v>
      </c>
      <c r="J333" s="50" t="s">
        <v>28</v>
      </c>
      <c r="K333" s="50"/>
      <c r="L333" s="50"/>
      <c r="M333" s="50"/>
      <c r="XFC333" s="49"/>
      <c r="XFD333" s="50"/>
    </row>
    <row r="334" spans="1:13 16383:16384">
      <c r="A334" s="49">
        <v>34076</v>
      </c>
      <c r="B334" s="50">
        <v>44996</v>
      </c>
      <c r="C334" s="50" t="s">
        <v>346</v>
      </c>
      <c r="D334" s="50" t="s">
        <v>2233</v>
      </c>
      <c r="E334" s="50" t="s">
        <v>346</v>
      </c>
      <c r="F334" s="51">
        <v>0.48958333333333331</v>
      </c>
      <c r="G334" s="50" t="s">
        <v>430</v>
      </c>
      <c r="H334" s="50" t="s">
        <v>2230</v>
      </c>
      <c r="I334" s="51"/>
      <c r="J334" s="50"/>
      <c r="K334" s="50"/>
      <c r="L334" s="50"/>
      <c r="M334" s="50"/>
      <c r="XFC334" s="49"/>
      <c r="XFD334" s="50"/>
    </row>
    <row r="335" spans="1:13 16383:16384">
      <c r="A335" s="49">
        <v>20654</v>
      </c>
      <c r="B335" s="50">
        <v>44996</v>
      </c>
      <c r="C335" s="50" t="s">
        <v>57</v>
      </c>
      <c r="D335" s="50" t="s">
        <v>57</v>
      </c>
      <c r="E335" s="50" t="s">
        <v>2245</v>
      </c>
      <c r="F335" s="51">
        <v>0.52083333333333337</v>
      </c>
      <c r="G335" s="50" t="s">
        <v>305</v>
      </c>
      <c r="H335" s="50" t="s">
        <v>2144</v>
      </c>
      <c r="I335" s="51" t="s">
        <v>289</v>
      </c>
      <c r="J335" s="60" t="s">
        <v>301</v>
      </c>
      <c r="K335" s="50"/>
      <c r="L335" s="50"/>
      <c r="M335" s="50"/>
      <c r="XFC335" s="49"/>
      <c r="XFD335" s="50"/>
    </row>
    <row r="336" spans="1:13 16383:16384">
      <c r="A336" s="49">
        <v>28846</v>
      </c>
      <c r="B336" s="50">
        <v>44996</v>
      </c>
      <c r="C336" s="50" t="s">
        <v>102</v>
      </c>
      <c r="D336" s="50" t="s">
        <v>102</v>
      </c>
      <c r="E336" s="50" t="s">
        <v>2246</v>
      </c>
      <c r="F336" s="51">
        <v>0.52083333333333337</v>
      </c>
      <c r="G336" s="50" t="s">
        <v>287</v>
      </c>
      <c r="H336" s="50" t="s">
        <v>2144</v>
      </c>
      <c r="I336" s="55" t="s">
        <v>567</v>
      </c>
      <c r="J336" s="50" t="s">
        <v>102</v>
      </c>
      <c r="K336" s="50"/>
      <c r="L336" s="50"/>
      <c r="M336" s="50"/>
      <c r="XFC336" s="49"/>
      <c r="XFD336" s="50"/>
    </row>
    <row r="337" spans="1:13 16383:16384">
      <c r="A337" s="49">
        <v>19485</v>
      </c>
      <c r="B337" s="50">
        <v>44996</v>
      </c>
      <c r="C337" s="50" t="s">
        <v>62</v>
      </c>
      <c r="D337" s="50" t="s">
        <v>2236</v>
      </c>
      <c r="E337" s="50" t="s">
        <v>62</v>
      </c>
      <c r="F337" s="51">
        <v>0.54166666666666663</v>
      </c>
      <c r="G337" s="50" t="s">
        <v>320</v>
      </c>
      <c r="H337" s="50" t="s">
        <v>2148</v>
      </c>
      <c r="I337" s="51"/>
      <c r="J337" s="50"/>
      <c r="K337" s="50"/>
      <c r="L337" s="50"/>
      <c r="M337" s="50"/>
      <c r="XFC337" s="49"/>
      <c r="XFD337" s="50"/>
    </row>
    <row r="338" spans="1:13 16383:16384">
      <c r="A338" s="49">
        <v>33743</v>
      </c>
      <c r="B338" s="50">
        <v>44996</v>
      </c>
      <c r="C338" s="50" t="s">
        <v>95</v>
      </c>
      <c r="D338" s="50" t="s">
        <v>2235</v>
      </c>
      <c r="E338" s="50" t="s">
        <v>95</v>
      </c>
      <c r="F338" s="51">
        <v>0.54166666666666663</v>
      </c>
      <c r="G338" s="50" t="s">
        <v>2336</v>
      </c>
      <c r="H338" s="50" t="s">
        <v>2337</v>
      </c>
      <c r="I338" s="51"/>
      <c r="J338" s="50"/>
      <c r="K338" s="50"/>
      <c r="L338" s="50"/>
      <c r="M338" s="50"/>
      <c r="XFC338" s="49"/>
      <c r="XFD338" s="50"/>
    </row>
    <row r="339" spans="1:13 16383:16384">
      <c r="A339" s="49">
        <v>20950</v>
      </c>
      <c r="B339" s="50">
        <v>44996</v>
      </c>
      <c r="C339" s="50" t="s">
        <v>99</v>
      </c>
      <c r="D339" s="50" t="s">
        <v>99</v>
      </c>
      <c r="E339" s="50" t="s">
        <v>1054</v>
      </c>
      <c r="F339" s="51">
        <v>0.5625</v>
      </c>
      <c r="G339" s="50" t="s">
        <v>305</v>
      </c>
      <c r="H339" s="50" t="s">
        <v>2144</v>
      </c>
      <c r="I339" s="51" t="s">
        <v>289</v>
      </c>
      <c r="J339" s="60" t="s">
        <v>301</v>
      </c>
      <c r="K339" s="50"/>
      <c r="L339" s="50"/>
      <c r="M339" s="50"/>
      <c r="XFC339" s="49"/>
      <c r="XFD339" s="50"/>
    </row>
    <row r="340" spans="1:13 16383:16384">
      <c r="A340" s="49">
        <v>18076</v>
      </c>
      <c r="B340" s="50">
        <v>44996</v>
      </c>
      <c r="C340" s="50" t="s">
        <v>82</v>
      </c>
      <c r="D340" s="50" t="s">
        <v>82</v>
      </c>
      <c r="E340" s="50" t="s">
        <v>199</v>
      </c>
      <c r="F340" s="51">
        <v>0.56944444444444442</v>
      </c>
      <c r="G340" s="50" t="s">
        <v>287</v>
      </c>
      <c r="H340" s="50" t="s">
        <v>2144</v>
      </c>
      <c r="I340" s="51" t="s">
        <v>289</v>
      </c>
      <c r="J340" s="60" t="s">
        <v>567</v>
      </c>
      <c r="K340" s="50"/>
      <c r="L340" s="50"/>
      <c r="M340" s="50"/>
      <c r="XFC340" s="49"/>
      <c r="XFD340" s="50"/>
    </row>
    <row r="341" spans="1:13 16383:16384">
      <c r="A341" s="49">
        <v>15840</v>
      </c>
      <c r="B341" s="50">
        <v>44996</v>
      </c>
      <c r="C341" s="50" t="s">
        <v>50</v>
      </c>
      <c r="D341" s="50" t="s">
        <v>2234</v>
      </c>
      <c r="E341" s="50" t="s">
        <v>50</v>
      </c>
      <c r="F341" s="51">
        <v>0.57291666666666663</v>
      </c>
      <c r="G341" s="50" t="s">
        <v>295</v>
      </c>
      <c r="H341" s="50" t="s">
        <v>2161</v>
      </c>
      <c r="I341" s="51"/>
      <c r="J341" s="50"/>
      <c r="K341" s="50"/>
      <c r="L341" s="50"/>
      <c r="M341" s="50"/>
      <c r="XFC341" s="49"/>
      <c r="XFD341" s="50"/>
    </row>
    <row r="342" spans="1:13 16383:16384">
      <c r="A342" s="49">
        <v>22239</v>
      </c>
      <c r="B342" s="50">
        <v>44996</v>
      </c>
      <c r="C342" s="50" t="s">
        <v>15</v>
      </c>
      <c r="D342" s="50" t="s">
        <v>15</v>
      </c>
      <c r="E342" s="50" t="s">
        <v>2239</v>
      </c>
      <c r="F342" s="51">
        <v>0.60416666666666663</v>
      </c>
      <c r="G342" s="50" t="s">
        <v>305</v>
      </c>
      <c r="H342" s="50" t="s">
        <v>2144</v>
      </c>
      <c r="I342" s="55" t="s">
        <v>338</v>
      </c>
      <c r="J342" s="50" t="s">
        <v>15</v>
      </c>
      <c r="K342" s="50"/>
      <c r="L342" s="50"/>
      <c r="M342" s="50"/>
      <c r="XFC342" s="49"/>
      <c r="XFD342" s="50"/>
    </row>
    <row r="343" spans="1:13 16383:16384">
      <c r="A343" s="49">
        <v>15540</v>
      </c>
      <c r="B343" s="50">
        <v>44996</v>
      </c>
      <c r="C343" s="50" t="s">
        <v>91</v>
      </c>
      <c r="D343" s="50" t="s">
        <v>91</v>
      </c>
      <c r="E343" s="50" t="s">
        <v>1134</v>
      </c>
      <c r="F343" s="51">
        <v>0.625</v>
      </c>
      <c r="G343" s="50" t="s">
        <v>287</v>
      </c>
      <c r="H343" s="50" t="s">
        <v>2144</v>
      </c>
      <c r="I343" s="51" t="s">
        <v>289</v>
      </c>
      <c r="J343" s="60" t="s">
        <v>567</v>
      </c>
      <c r="K343" s="50"/>
      <c r="L343" s="50"/>
      <c r="M343" s="50"/>
      <c r="XFC343" s="49"/>
      <c r="XFD343" s="50"/>
    </row>
    <row r="344" spans="1:13 16383:16384">
      <c r="A344" s="49">
        <v>31011</v>
      </c>
      <c r="B344" s="50">
        <v>44996</v>
      </c>
      <c r="C344" s="50" t="s">
        <v>569</v>
      </c>
      <c r="D344" s="50" t="s">
        <v>2238</v>
      </c>
      <c r="E344" s="50" t="s">
        <v>569</v>
      </c>
      <c r="F344" s="51">
        <v>0.63541666666666663</v>
      </c>
      <c r="G344" s="50" t="s">
        <v>914</v>
      </c>
      <c r="H344" s="50" t="s">
        <v>2338</v>
      </c>
      <c r="I344" s="51"/>
      <c r="J344" s="50"/>
      <c r="K344" s="50"/>
      <c r="L344" s="50"/>
      <c r="M344" s="50"/>
      <c r="XFC344" s="49"/>
      <c r="XFD344" s="50"/>
    </row>
    <row r="345" spans="1:13 16383:16384">
      <c r="A345" s="49">
        <v>13975</v>
      </c>
      <c r="B345" s="50">
        <v>44996</v>
      </c>
      <c r="C345" s="50" t="s">
        <v>123</v>
      </c>
      <c r="D345" s="50" t="s">
        <v>123</v>
      </c>
      <c r="E345" s="50" t="s">
        <v>2252</v>
      </c>
      <c r="F345" s="51">
        <v>0.64583333333333337</v>
      </c>
      <c r="G345" s="50" t="s">
        <v>305</v>
      </c>
      <c r="H345" s="50" t="s">
        <v>2144</v>
      </c>
      <c r="I345" s="51" t="s">
        <v>289</v>
      </c>
      <c r="J345" s="60" t="s">
        <v>566</v>
      </c>
      <c r="K345" s="50"/>
      <c r="L345" s="50"/>
      <c r="M345" s="50"/>
      <c r="XFC345" s="49"/>
      <c r="XFD345" s="50"/>
    </row>
    <row r="346" spans="1:13 16383:16384">
      <c r="A346" s="49">
        <v>26912</v>
      </c>
      <c r="B346" s="50">
        <v>44996</v>
      </c>
      <c r="C346" s="50" t="s">
        <v>47</v>
      </c>
      <c r="D346" s="50" t="s">
        <v>47</v>
      </c>
      <c r="E346" s="50" t="s">
        <v>2141</v>
      </c>
      <c r="F346" s="51">
        <v>0.69444444444444453</v>
      </c>
      <c r="G346" s="50" t="s">
        <v>305</v>
      </c>
      <c r="H346" s="50" t="s">
        <v>2144</v>
      </c>
      <c r="I346" s="55" t="s">
        <v>328</v>
      </c>
      <c r="J346" s="50" t="s">
        <v>47</v>
      </c>
      <c r="K346" s="50"/>
      <c r="L346" s="50"/>
      <c r="M346" s="50"/>
      <c r="XFC346" s="49"/>
      <c r="XFD346" s="50"/>
    </row>
    <row r="347" spans="1:13 16383:16384">
      <c r="A347" s="49">
        <v>13121</v>
      </c>
      <c r="B347" s="50">
        <v>44996</v>
      </c>
      <c r="C347" s="50" t="s">
        <v>109</v>
      </c>
      <c r="D347" s="50" t="s">
        <v>109</v>
      </c>
      <c r="E347" s="50" t="s">
        <v>2247</v>
      </c>
      <c r="F347" s="51">
        <v>0.69444444444444453</v>
      </c>
      <c r="G347" s="50" t="s">
        <v>287</v>
      </c>
      <c r="H347" s="50" t="s">
        <v>2144</v>
      </c>
      <c r="I347" s="51" t="s">
        <v>289</v>
      </c>
      <c r="J347" s="60" t="s">
        <v>298</v>
      </c>
      <c r="K347" s="50"/>
      <c r="L347" s="50"/>
      <c r="M347" s="50"/>
      <c r="XFC347" s="49"/>
      <c r="XFD347" s="50"/>
    </row>
    <row r="348" spans="1:13 16383:16384">
      <c r="A348" s="49">
        <v>14491</v>
      </c>
      <c r="B348" s="50">
        <v>44996</v>
      </c>
      <c r="C348" s="50" t="s">
        <v>79</v>
      </c>
      <c r="D348" s="50" t="s">
        <v>2253</v>
      </c>
      <c r="E348" s="50" t="s">
        <v>79</v>
      </c>
      <c r="F348" s="51">
        <v>0.69791666666666663</v>
      </c>
      <c r="G348" s="50" t="s">
        <v>2328</v>
      </c>
      <c r="H348" s="50" t="s">
        <v>2290</v>
      </c>
      <c r="I348" s="51"/>
      <c r="J348" s="50"/>
      <c r="K348" s="50"/>
      <c r="L348" s="50"/>
      <c r="M348" s="50"/>
      <c r="XFC348" s="49"/>
      <c r="XFD348" s="50"/>
    </row>
    <row r="349" spans="1:13 16383:16384">
      <c r="A349" s="49">
        <v>29984</v>
      </c>
      <c r="B349" s="50">
        <v>44996</v>
      </c>
      <c r="C349" s="50" t="s">
        <v>120</v>
      </c>
      <c r="D349" s="50" t="s">
        <v>120</v>
      </c>
      <c r="E349" s="50" t="s">
        <v>2240</v>
      </c>
      <c r="F349" s="51">
        <v>0.73611111111111116</v>
      </c>
      <c r="G349" s="50" t="s">
        <v>305</v>
      </c>
      <c r="H349" s="50" t="s">
        <v>2144</v>
      </c>
      <c r="I349" s="55" t="s">
        <v>606</v>
      </c>
      <c r="J349" s="50" t="s">
        <v>120</v>
      </c>
      <c r="K349" s="50"/>
      <c r="L349" s="50"/>
      <c r="M349" s="50"/>
      <c r="XFC349" s="49"/>
      <c r="XFD349" s="50"/>
    </row>
    <row r="350" spans="1:13 16383:16384">
      <c r="A350" s="49">
        <v>11007</v>
      </c>
      <c r="B350" s="50">
        <v>44996</v>
      </c>
      <c r="C350" s="50" t="s">
        <v>118</v>
      </c>
      <c r="D350" s="50" t="s">
        <v>118</v>
      </c>
      <c r="E350" s="50" t="s">
        <v>2251</v>
      </c>
      <c r="F350" s="51">
        <v>0.75</v>
      </c>
      <c r="G350" s="50" t="s">
        <v>287</v>
      </c>
      <c r="H350" s="50" t="s">
        <v>2144</v>
      </c>
      <c r="I350" s="51" t="s">
        <v>289</v>
      </c>
      <c r="J350" s="60" t="s">
        <v>298</v>
      </c>
      <c r="K350" s="50"/>
      <c r="L350" s="50"/>
      <c r="M350" s="50"/>
      <c r="XFC350" s="49"/>
      <c r="XFD350" s="50"/>
    </row>
    <row r="351" spans="1:13 16383:16384">
      <c r="A351" s="49">
        <v>31019</v>
      </c>
      <c r="B351" s="50">
        <v>44996</v>
      </c>
      <c r="C351" s="50" t="s">
        <v>112</v>
      </c>
      <c r="D351" s="50" t="s">
        <v>2250</v>
      </c>
      <c r="E351" s="50" t="s">
        <v>112</v>
      </c>
      <c r="F351" s="51">
        <v>0.78125</v>
      </c>
      <c r="G351" s="50" t="s">
        <v>376</v>
      </c>
      <c r="H351" s="50" t="s">
        <v>2158</v>
      </c>
      <c r="I351" s="51"/>
      <c r="J351" s="50"/>
      <c r="K351" s="50"/>
      <c r="L351" s="50"/>
      <c r="M351" s="50"/>
      <c r="XFC351" s="49"/>
      <c r="XFD351" s="50"/>
    </row>
    <row r="352" spans="1:13 16383:16384">
      <c r="A352" s="49">
        <v>31494</v>
      </c>
      <c r="B352" s="50">
        <v>44996</v>
      </c>
      <c r="C352" s="50" t="s">
        <v>105</v>
      </c>
      <c r="D352" s="50" t="s">
        <v>105</v>
      </c>
      <c r="E352" s="50" t="s">
        <v>2249</v>
      </c>
      <c r="F352" s="51">
        <v>0.80555555555555547</v>
      </c>
      <c r="G352" s="50" t="s">
        <v>287</v>
      </c>
      <c r="H352" s="50" t="s">
        <v>2144</v>
      </c>
      <c r="I352" s="55" t="s">
        <v>2136</v>
      </c>
      <c r="J352" s="50" t="s">
        <v>105</v>
      </c>
      <c r="K352" s="50"/>
      <c r="L352" s="50"/>
      <c r="M352" s="50"/>
      <c r="XFC352" s="49"/>
      <c r="XFD352" s="50"/>
    </row>
    <row r="353" spans="1:13 16383:16384">
      <c r="A353" s="49">
        <v>31490</v>
      </c>
      <c r="B353" s="50">
        <v>44996</v>
      </c>
      <c r="C353" s="50" t="s">
        <v>115</v>
      </c>
      <c r="D353" s="50" t="s">
        <v>115</v>
      </c>
      <c r="E353" s="50" t="s">
        <v>2237</v>
      </c>
      <c r="F353" s="51">
        <v>0.85416666666666663</v>
      </c>
      <c r="G353" s="50" t="s">
        <v>287</v>
      </c>
      <c r="H353" s="50" t="s">
        <v>2144</v>
      </c>
      <c r="I353" s="55" t="s">
        <v>1964</v>
      </c>
      <c r="J353" s="50" t="s">
        <v>115</v>
      </c>
      <c r="K353" s="50"/>
      <c r="L353" s="50"/>
      <c r="M353" s="50"/>
      <c r="XFC353" s="49"/>
      <c r="XFD353" s="50"/>
    </row>
    <row r="354" spans="1:13 16383:16384">
      <c r="A354" s="49">
        <v>14490</v>
      </c>
      <c r="B354" s="50">
        <v>44996</v>
      </c>
      <c r="C354" s="50" t="s">
        <v>88</v>
      </c>
      <c r="D354" s="50" t="s">
        <v>175</v>
      </c>
      <c r="E354" s="50" t="s">
        <v>88</v>
      </c>
      <c r="F354" s="51">
        <v>0.87152777777777779</v>
      </c>
      <c r="G354" s="50" t="s">
        <v>459</v>
      </c>
      <c r="H354" s="50" t="s">
        <v>2254</v>
      </c>
      <c r="I354" s="51"/>
      <c r="J354" s="50"/>
      <c r="K354" s="50"/>
      <c r="L354" s="50"/>
      <c r="M354" s="50"/>
      <c r="XFC354" s="49"/>
      <c r="XFD354" s="50"/>
    </row>
    <row r="355" spans="1:13 16383:16384">
      <c r="A355" s="49">
        <v>33856</v>
      </c>
      <c r="B355" s="50">
        <v>45003</v>
      </c>
      <c r="C355" s="50" t="s">
        <v>711</v>
      </c>
      <c r="D355" s="50" t="s">
        <v>2259</v>
      </c>
      <c r="E355" s="50" t="s">
        <v>711</v>
      </c>
      <c r="F355" s="51">
        <v>0.375</v>
      </c>
      <c r="G355" s="50" t="s">
        <v>653</v>
      </c>
      <c r="H355" s="50" t="s">
        <v>2142</v>
      </c>
      <c r="I355" s="51"/>
      <c r="J355" s="50"/>
      <c r="K355" s="50"/>
      <c r="L355" s="50"/>
      <c r="M355" s="50"/>
      <c r="XFC355" s="49"/>
      <c r="XFD355" s="50"/>
    </row>
    <row r="356" spans="1:13 16383:16384">
      <c r="A356" s="49">
        <v>17083</v>
      </c>
      <c r="B356" s="50">
        <v>45003</v>
      </c>
      <c r="C356" s="50" t="s">
        <v>36</v>
      </c>
      <c r="D356" s="50" t="s">
        <v>68</v>
      </c>
      <c r="E356" s="50" t="s">
        <v>36</v>
      </c>
      <c r="F356" s="51">
        <v>0.375</v>
      </c>
      <c r="G356" s="50" t="s">
        <v>430</v>
      </c>
      <c r="H356" s="50" t="s">
        <v>2230</v>
      </c>
      <c r="I356" s="51"/>
      <c r="J356" s="50"/>
      <c r="K356" s="50"/>
      <c r="L356" s="50"/>
      <c r="M356" s="50"/>
      <c r="XFC356" s="49"/>
      <c r="XFD356" s="50"/>
    </row>
    <row r="357" spans="1:13 16383:16384">
      <c r="A357" s="49">
        <v>13740</v>
      </c>
      <c r="B357" s="50">
        <v>45003</v>
      </c>
      <c r="C357" s="50" t="s">
        <v>43</v>
      </c>
      <c r="D357" s="50" t="s">
        <v>2264</v>
      </c>
      <c r="E357" s="50" t="s">
        <v>43</v>
      </c>
      <c r="F357" s="51">
        <v>0.375</v>
      </c>
      <c r="G357" s="50" t="s">
        <v>430</v>
      </c>
      <c r="H357" s="50" t="s">
        <v>2230</v>
      </c>
      <c r="I357" s="51"/>
      <c r="J357" s="50"/>
      <c r="K357" s="50"/>
      <c r="L357" s="50"/>
      <c r="M357" s="50"/>
      <c r="XFC357" s="49"/>
      <c r="XFD357" s="50"/>
    </row>
    <row r="358" spans="1:13 16383:16384">
      <c r="A358" s="49">
        <v>19686</v>
      </c>
      <c r="B358" s="50">
        <v>45003</v>
      </c>
      <c r="C358" s="50" t="s">
        <v>20</v>
      </c>
      <c r="D358" s="50" t="s">
        <v>20</v>
      </c>
      <c r="E358" s="50" t="s">
        <v>2261</v>
      </c>
      <c r="F358" s="51">
        <v>0.375</v>
      </c>
      <c r="G358" s="50" t="s">
        <v>287</v>
      </c>
      <c r="H358" s="50" t="s">
        <v>2144</v>
      </c>
      <c r="I358" s="55" t="s">
        <v>298</v>
      </c>
      <c r="J358" s="50" t="s">
        <v>20</v>
      </c>
      <c r="K358" s="50"/>
      <c r="L358" s="50"/>
      <c r="M358" s="50"/>
      <c r="XFC358" s="49"/>
      <c r="XFD358" s="50"/>
    </row>
    <row r="359" spans="1:13 16383:16384">
      <c r="A359" s="49">
        <v>19685</v>
      </c>
      <c r="B359" s="50">
        <v>45003</v>
      </c>
      <c r="C359" s="50" t="s">
        <v>40</v>
      </c>
      <c r="D359" s="50" t="s">
        <v>40</v>
      </c>
      <c r="E359" s="50" t="s">
        <v>39</v>
      </c>
      <c r="F359" s="51">
        <v>0.375</v>
      </c>
      <c r="G359" s="50" t="s">
        <v>287</v>
      </c>
      <c r="H359" s="50" t="s">
        <v>2144</v>
      </c>
      <c r="I359" s="55" t="s">
        <v>306</v>
      </c>
      <c r="J359" s="50" t="s">
        <v>40</v>
      </c>
      <c r="K359" s="50"/>
      <c r="L359" s="50"/>
      <c r="M359" s="50"/>
      <c r="XFC359" s="49"/>
      <c r="XFD359" s="50"/>
    </row>
    <row r="360" spans="1:13 16383:16384">
      <c r="A360" s="49">
        <v>13726</v>
      </c>
      <c r="B360" s="50">
        <v>45003</v>
      </c>
      <c r="C360" s="50" t="s">
        <v>53</v>
      </c>
      <c r="D360" s="50" t="s">
        <v>53</v>
      </c>
      <c r="E360" s="50" t="s">
        <v>135</v>
      </c>
      <c r="F360" s="51">
        <v>0.375</v>
      </c>
      <c r="G360" s="50" t="s">
        <v>287</v>
      </c>
      <c r="H360" s="50" t="s">
        <v>2144</v>
      </c>
      <c r="I360" s="55" t="s">
        <v>2131</v>
      </c>
      <c r="J360" s="50" t="s">
        <v>53</v>
      </c>
      <c r="K360" s="50"/>
      <c r="L360" s="50"/>
      <c r="M360" s="50"/>
      <c r="XFC360" s="49"/>
      <c r="XFD360" s="50"/>
    </row>
    <row r="361" spans="1:13 16383:16384">
      <c r="A361" s="49">
        <v>34074</v>
      </c>
      <c r="B361" s="50">
        <v>45003</v>
      </c>
      <c r="C361" s="50" t="s">
        <v>346</v>
      </c>
      <c r="D361" s="50" t="s">
        <v>2183</v>
      </c>
      <c r="E361" s="50" t="s">
        <v>346</v>
      </c>
      <c r="F361" s="51">
        <v>0.375</v>
      </c>
      <c r="G361" s="50" t="s">
        <v>858</v>
      </c>
      <c r="H361" s="50" t="s">
        <v>2331</v>
      </c>
      <c r="I361" s="51"/>
      <c r="J361" s="50"/>
      <c r="K361" s="50"/>
      <c r="L361" s="50"/>
      <c r="M361" s="50"/>
      <c r="XFC361" s="49"/>
      <c r="XFD361" s="50"/>
    </row>
    <row r="362" spans="1:13 16383:16384">
      <c r="A362" s="49">
        <v>20867</v>
      </c>
      <c r="B362" s="50">
        <v>45003</v>
      </c>
      <c r="C362" s="50" t="s">
        <v>99</v>
      </c>
      <c r="D362" s="50" t="s">
        <v>130</v>
      </c>
      <c r="E362" s="50" t="s">
        <v>99</v>
      </c>
      <c r="F362" s="51">
        <v>0.39583333333333331</v>
      </c>
      <c r="G362" s="50" t="s">
        <v>376</v>
      </c>
      <c r="H362" s="50" t="s">
        <v>2158</v>
      </c>
      <c r="I362" s="51"/>
      <c r="J362" s="50"/>
      <c r="K362" s="50"/>
      <c r="L362" s="50"/>
      <c r="M362" s="50"/>
      <c r="XFC362" s="49"/>
      <c r="XFD362" s="50"/>
    </row>
    <row r="363" spans="1:13 16383:16384">
      <c r="A363" s="49">
        <v>17064</v>
      </c>
      <c r="B363" s="50">
        <v>45003</v>
      </c>
      <c r="C363" s="50" t="s">
        <v>67</v>
      </c>
      <c r="D363" s="50" t="s">
        <v>2263</v>
      </c>
      <c r="E363" s="50" t="s">
        <v>67</v>
      </c>
      <c r="F363" s="51">
        <v>0.39583333333333331</v>
      </c>
      <c r="G363" s="50" t="s">
        <v>376</v>
      </c>
      <c r="H363" s="50" t="s">
        <v>2158</v>
      </c>
      <c r="I363" s="51"/>
      <c r="J363" s="50"/>
      <c r="K363" s="50"/>
      <c r="L363" s="50"/>
      <c r="M363" s="50"/>
      <c r="XFC363" s="49"/>
      <c r="XFD363" s="50"/>
    </row>
    <row r="364" spans="1:13 16383:16384">
      <c r="A364" s="49">
        <v>19687</v>
      </c>
      <c r="B364" s="50">
        <v>45003</v>
      </c>
      <c r="C364" s="50" t="s">
        <v>64</v>
      </c>
      <c r="D364" s="50" t="s">
        <v>64</v>
      </c>
      <c r="E364" s="50" t="s">
        <v>2257</v>
      </c>
      <c r="F364" s="51">
        <v>0.41666666666666669</v>
      </c>
      <c r="G364" s="50" t="s">
        <v>287</v>
      </c>
      <c r="H364" s="50" t="s">
        <v>2144</v>
      </c>
      <c r="I364" s="55" t="s">
        <v>566</v>
      </c>
      <c r="J364" s="50" t="s">
        <v>64</v>
      </c>
      <c r="K364" s="50"/>
      <c r="L364" s="50"/>
      <c r="M364" s="50"/>
      <c r="XFC364" s="49"/>
      <c r="XFD364" s="50"/>
    </row>
    <row r="365" spans="1:13 16383:16384">
      <c r="A365" s="49">
        <v>34028</v>
      </c>
      <c r="B365" s="50">
        <v>45003</v>
      </c>
      <c r="C365" s="50" t="s">
        <v>25</v>
      </c>
      <c r="D365" s="50" t="s">
        <v>25</v>
      </c>
      <c r="E365" s="50" t="s">
        <v>2266</v>
      </c>
      <c r="F365" s="51">
        <v>0.41666666666666669</v>
      </c>
      <c r="G365" s="50" t="s">
        <v>287</v>
      </c>
      <c r="H365" s="50" t="s">
        <v>2144</v>
      </c>
      <c r="I365" s="55" t="s">
        <v>2132</v>
      </c>
      <c r="J365" s="50" t="s">
        <v>25</v>
      </c>
      <c r="K365" s="50"/>
      <c r="L365" s="50"/>
      <c r="M365" s="50"/>
      <c r="XFC365" s="49"/>
      <c r="XFD365" s="50"/>
    </row>
    <row r="366" spans="1:13 16383:16384">
      <c r="A366" s="49">
        <v>21197</v>
      </c>
      <c r="B366" s="50">
        <v>45003</v>
      </c>
      <c r="C366" s="50" t="s">
        <v>15</v>
      </c>
      <c r="D366" s="50" t="s">
        <v>2269</v>
      </c>
      <c r="E366" s="50" t="s">
        <v>15</v>
      </c>
      <c r="F366" s="51">
        <v>0.45833333333333331</v>
      </c>
      <c r="G366" s="50" t="s">
        <v>467</v>
      </c>
      <c r="H366" s="50" t="s">
        <v>2158</v>
      </c>
      <c r="I366" s="51"/>
      <c r="J366" s="50"/>
      <c r="K366" s="50"/>
      <c r="L366" s="50"/>
      <c r="M366" s="50"/>
      <c r="XFC366" s="49"/>
      <c r="XFD366" s="50"/>
    </row>
    <row r="367" spans="1:13 16383:16384">
      <c r="A367" s="49">
        <v>17827</v>
      </c>
      <c r="B367" s="50">
        <v>45003</v>
      </c>
      <c r="C367" s="50" t="s">
        <v>82</v>
      </c>
      <c r="D367" s="50" t="s">
        <v>83</v>
      </c>
      <c r="E367" s="50" t="s">
        <v>82</v>
      </c>
      <c r="F367" s="51">
        <v>0.46875</v>
      </c>
      <c r="G367" s="50" t="s">
        <v>968</v>
      </c>
      <c r="H367" s="50" t="s">
        <v>2185</v>
      </c>
      <c r="I367" s="51"/>
      <c r="J367" s="50"/>
      <c r="K367" s="50"/>
      <c r="L367" s="50"/>
      <c r="M367" s="50"/>
      <c r="XFC367" s="49"/>
      <c r="XFD367" s="50"/>
    </row>
    <row r="368" spans="1:13 16383:16384">
      <c r="A368" s="49">
        <v>21204</v>
      </c>
      <c r="B368" s="50">
        <v>45003</v>
      </c>
      <c r="C368" s="50" t="s">
        <v>28</v>
      </c>
      <c r="D368" s="50" t="s">
        <v>2265</v>
      </c>
      <c r="E368" s="50" t="s">
        <v>28</v>
      </c>
      <c r="F368" s="51">
        <v>0.47222222222222227</v>
      </c>
      <c r="G368" s="50" t="s">
        <v>405</v>
      </c>
      <c r="H368" s="50" t="s">
        <v>2312</v>
      </c>
      <c r="I368" s="51"/>
      <c r="J368" s="50"/>
      <c r="K368" s="50"/>
      <c r="L368" s="50"/>
      <c r="M368" s="50"/>
      <c r="XFC368" s="49"/>
      <c r="XFD368" s="50"/>
    </row>
    <row r="369" spans="1:13 16383:16384">
      <c r="A369" s="49">
        <v>21942</v>
      </c>
      <c r="B369" s="50">
        <v>45003</v>
      </c>
      <c r="C369" s="50" t="s">
        <v>32</v>
      </c>
      <c r="D369" s="50" t="s">
        <v>32</v>
      </c>
      <c r="E369" s="50" t="s">
        <v>2260</v>
      </c>
      <c r="F369" s="51">
        <v>0.5</v>
      </c>
      <c r="G369" s="50" t="s">
        <v>287</v>
      </c>
      <c r="H369" s="50" t="s">
        <v>2144</v>
      </c>
      <c r="I369" s="55" t="s">
        <v>506</v>
      </c>
      <c r="J369" s="50" t="s">
        <v>32</v>
      </c>
      <c r="K369" s="50"/>
      <c r="L369" s="50"/>
      <c r="M369" s="50"/>
      <c r="XFC369" s="49"/>
      <c r="XFD369" s="50"/>
    </row>
    <row r="370" spans="1:13 16383:16384">
      <c r="A370" s="49">
        <v>30062</v>
      </c>
      <c r="B370" s="50">
        <v>45003</v>
      </c>
      <c r="C370" s="50" t="s">
        <v>115</v>
      </c>
      <c r="D370" s="50" t="s">
        <v>2278</v>
      </c>
      <c r="E370" s="50" t="s">
        <v>115</v>
      </c>
      <c r="F370" s="51">
        <v>0.50694444444444442</v>
      </c>
      <c r="G370" s="50" t="s">
        <v>451</v>
      </c>
      <c r="H370" s="50" t="s">
        <v>2262</v>
      </c>
      <c r="I370" s="51"/>
      <c r="J370" s="50"/>
      <c r="K370" s="50"/>
      <c r="L370" s="50"/>
      <c r="M370" s="50"/>
      <c r="XFC370" s="49"/>
      <c r="XFD370" s="50"/>
    </row>
    <row r="371" spans="1:13 16383:16384">
      <c r="A371" s="49">
        <v>20576</v>
      </c>
      <c r="B371" s="50">
        <v>45003</v>
      </c>
      <c r="C371" s="50" t="s">
        <v>57</v>
      </c>
      <c r="D371" s="50" t="s">
        <v>154</v>
      </c>
      <c r="E371" s="50" t="s">
        <v>57</v>
      </c>
      <c r="F371" s="51">
        <v>0.51041666666666663</v>
      </c>
      <c r="G371" s="50" t="s">
        <v>985</v>
      </c>
      <c r="H371" s="50" t="s">
        <v>2190</v>
      </c>
      <c r="I371" s="51"/>
      <c r="J371" s="50"/>
      <c r="K371" s="50"/>
      <c r="L371" s="50"/>
      <c r="M371" s="50"/>
      <c r="XFC371" s="49"/>
      <c r="XFD371" s="50"/>
    </row>
    <row r="372" spans="1:13 16383:16384">
      <c r="A372" s="49">
        <v>23944</v>
      </c>
      <c r="B372" s="50">
        <v>45003</v>
      </c>
      <c r="C372" s="50" t="s">
        <v>74</v>
      </c>
      <c r="D372" s="50" t="s">
        <v>191</v>
      </c>
      <c r="E372" s="50" t="s">
        <v>74</v>
      </c>
      <c r="F372" s="51">
        <v>0.51388888888888895</v>
      </c>
      <c r="G372" s="50" t="s">
        <v>405</v>
      </c>
      <c r="H372" s="50" t="s">
        <v>2312</v>
      </c>
      <c r="I372" s="51"/>
      <c r="J372" s="50"/>
      <c r="K372" s="50"/>
      <c r="L372" s="50"/>
      <c r="M372" s="50"/>
      <c r="XFC372" s="49"/>
      <c r="XFD372" s="50"/>
    </row>
    <row r="373" spans="1:13 16383:16384">
      <c r="A373" s="49">
        <v>15846</v>
      </c>
      <c r="B373" s="50">
        <v>45003</v>
      </c>
      <c r="C373" s="50" t="s">
        <v>50</v>
      </c>
      <c r="D373" s="50" t="s">
        <v>50</v>
      </c>
      <c r="E373" s="50" t="s">
        <v>2268</v>
      </c>
      <c r="F373" s="51">
        <v>0.54166666666666663</v>
      </c>
      <c r="G373" s="50" t="s">
        <v>287</v>
      </c>
      <c r="H373" s="50" t="s">
        <v>2144</v>
      </c>
      <c r="I373" s="51" t="s">
        <v>289</v>
      </c>
      <c r="J373" s="60" t="s">
        <v>566</v>
      </c>
      <c r="K373" s="50"/>
      <c r="L373" s="50"/>
      <c r="M373" s="50"/>
      <c r="XFC373" s="49"/>
      <c r="XFD373" s="50"/>
    </row>
    <row r="374" spans="1:13 16383:16384">
      <c r="A374" s="49">
        <v>23929</v>
      </c>
      <c r="B374" s="50">
        <v>45003</v>
      </c>
      <c r="C374" s="50" t="s">
        <v>71</v>
      </c>
      <c r="D374" s="50" t="s">
        <v>2270</v>
      </c>
      <c r="E374" s="50" t="s">
        <v>71</v>
      </c>
      <c r="F374" s="51">
        <v>0.57291666666666663</v>
      </c>
      <c r="G374" s="50" t="s">
        <v>376</v>
      </c>
      <c r="H374" s="50" t="s">
        <v>2158</v>
      </c>
      <c r="I374" s="51"/>
      <c r="J374" s="50"/>
      <c r="K374" s="50"/>
      <c r="L374" s="50"/>
      <c r="M374" s="50"/>
      <c r="XFC374" s="49"/>
      <c r="XFD374" s="50"/>
    </row>
    <row r="375" spans="1:13 16383:16384">
      <c r="A375" s="49">
        <v>26707</v>
      </c>
      <c r="B375" s="50">
        <v>45003</v>
      </c>
      <c r="C375" s="50" t="s">
        <v>47</v>
      </c>
      <c r="D375" s="50" t="s">
        <v>47</v>
      </c>
      <c r="E375" s="50" t="s">
        <v>2272</v>
      </c>
      <c r="F375" s="51">
        <v>0.58333333333333337</v>
      </c>
      <c r="G375" s="50" t="s">
        <v>287</v>
      </c>
      <c r="H375" s="50" t="s">
        <v>2144</v>
      </c>
      <c r="I375" s="55" t="s">
        <v>301</v>
      </c>
      <c r="J375" s="50" t="s">
        <v>47</v>
      </c>
      <c r="K375" s="50"/>
      <c r="L375" s="50"/>
      <c r="M375" s="50"/>
      <c r="XFC375" s="49"/>
      <c r="XFD375" s="50"/>
    </row>
    <row r="376" spans="1:13 16383:16384">
      <c r="A376" s="49">
        <v>15415</v>
      </c>
      <c r="B376" s="50">
        <v>45003</v>
      </c>
      <c r="C376" s="50" t="s">
        <v>91</v>
      </c>
      <c r="D376" s="50" t="s">
        <v>2276</v>
      </c>
      <c r="E376" s="50" t="s">
        <v>91</v>
      </c>
      <c r="F376" s="51">
        <v>0.59375</v>
      </c>
      <c r="G376" s="50" t="s">
        <v>2219</v>
      </c>
      <c r="H376" s="50" t="s">
        <v>2220</v>
      </c>
      <c r="I376" s="51"/>
      <c r="J376" s="50"/>
      <c r="K376" s="50"/>
      <c r="L376" s="50"/>
      <c r="M376" s="50"/>
      <c r="XFC376" s="49"/>
      <c r="XFD376" s="50"/>
    </row>
    <row r="377" spans="1:13 16383:16384">
      <c r="A377" s="49">
        <v>15633</v>
      </c>
      <c r="B377" s="50">
        <v>45003</v>
      </c>
      <c r="C377" s="50" t="s">
        <v>85</v>
      </c>
      <c r="D377" s="50" t="s">
        <v>258</v>
      </c>
      <c r="E377" s="50" t="s">
        <v>85</v>
      </c>
      <c r="F377" s="51">
        <v>0.60416666666666663</v>
      </c>
      <c r="G377" s="50" t="s">
        <v>2328</v>
      </c>
      <c r="H377" s="50" t="s">
        <v>2290</v>
      </c>
      <c r="I377" s="51"/>
      <c r="J377" s="50"/>
      <c r="K377" s="50"/>
      <c r="L377" s="50"/>
      <c r="M377" s="50"/>
      <c r="XFC377" s="49"/>
      <c r="XFD377" s="50"/>
    </row>
    <row r="378" spans="1:13 16383:16384">
      <c r="A378" s="49">
        <v>29329</v>
      </c>
      <c r="B378" s="50">
        <v>45003</v>
      </c>
      <c r="C378" s="50" t="s">
        <v>105</v>
      </c>
      <c r="D378" s="50" t="s">
        <v>105</v>
      </c>
      <c r="E378" s="50" t="s">
        <v>2333</v>
      </c>
      <c r="F378" s="51">
        <v>0.61805555555555558</v>
      </c>
      <c r="G378" s="50" t="s">
        <v>305</v>
      </c>
      <c r="H378" s="50" t="s">
        <v>2144</v>
      </c>
      <c r="I378" s="55" t="s">
        <v>288</v>
      </c>
      <c r="J378" s="50" t="s">
        <v>105</v>
      </c>
      <c r="K378" s="50"/>
      <c r="L378" s="50"/>
      <c r="M378" s="50"/>
      <c r="XFC378" s="49"/>
      <c r="XFD378" s="50"/>
    </row>
    <row r="379" spans="1:13 16383:16384">
      <c r="A379" s="49">
        <v>28539</v>
      </c>
      <c r="B379" s="50">
        <v>45003</v>
      </c>
      <c r="C379" s="50" t="s">
        <v>95</v>
      </c>
      <c r="D379" s="50" t="s">
        <v>95</v>
      </c>
      <c r="E379" s="50" t="s">
        <v>2193</v>
      </c>
      <c r="F379" s="51">
        <v>0.625</v>
      </c>
      <c r="G379" s="50" t="s">
        <v>287</v>
      </c>
      <c r="H379" s="50" t="s">
        <v>2144</v>
      </c>
      <c r="I379" s="55" t="s">
        <v>2082</v>
      </c>
      <c r="J379" s="50" t="s">
        <v>95</v>
      </c>
      <c r="K379" s="50"/>
      <c r="L379" s="50"/>
      <c r="M379" s="50"/>
      <c r="XFC379" s="49"/>
      <c r="XFD379" s="50"/>
    </row>
    <row r="380" spans="1:13 16383:16384">
      <c r="A380" s="49">
        <v>12886</v>
      </c>
      <c r="B380" s="50">
        <v>45003</v>
      </c>
      <c r="C380" s="50" t="s">
        <v>109</v>
      </c>
      <c r="D380" s="50" t="s">
        <v>110</v>
      </c>
      <c r="E380" s="50" t="s">
        <v>109</v>
      </c>
      <c r="F380" s="51">
        <v>0.65972222222222221</v>
      </c>
      <c r="G380" s="50" t="s">
        <v>2219</v>
      </c>
      <c r="H380" s="50" t="s">
        <v>2220</v>
      </c>
      <c r="I380" s="51"/>
      <c r="J380" s="50"/>
      <c r="K380" s="50"/>
      <c r="L380" s="50"/>
      <c r="M380" s="50"/>
      <c r="XFC380" s="49"/>
      <c r="XFD380" s="50"/>
    </row>
    <row r="381" spans="1:13 16383:16384">
      <c r="A381" s="49">
        <v>14513</v>
      </c>
      <c r="B381" s="50">
        <v>45003</v>
      </c>
      <c r="C381" s="50" t="s">
        <v>79</v>
      </c>
      <c r="D381" s="50" t="s">
        <v>79</v>
      </c>
      <c r="E381" s="50" t="s">
        <v>2279</v>
      </c>
      <c r="F381" s="51">
        <v>0.67361111111111116</v>
      </c>
      <c r="G381" s="50" t="s">
        <v>287</v>
      </c>
      <c r="H381" s="50" t="s">
        <v>2144</v>
      </c>
      <c r="I381" s="55" t="s">
        <v>289</v>
      </c>
      <c r="J381" s="60" t="s">
        <v>288</v>
      </c>
      <c r="K381" s="50"/>
      <c r="L381" s="50"/>
      <c r="M381" s="50"/>
      <c r="XFC381" s="49"/>
      <c r="XFD381" s="50"/>
    </row>
    <row r="382" spans="1:13 16383:16384">
      <c r="A382" s="49">
        <v>13499</v>
      </c>
      <c r="B382" s="50">
        <v>45003</v>
      </c>
      <c r="C382" s="50" t="s">
        <v>123</v>
      </c>
      <c r="D382" s="50" t="s">
        <v>172</v>
      </c>
      <c r="E382" s="50" t="s">
        <v>123</v>
      </c>
      <c r="F382" s="51">
        <v>0.68402777777777779</v>
      </c>
      <c r="G382" s="50" t="s">
        <v>459</v>
      </c>
      <c r="H382" s="50" t="s">
        <v>2254</v>
      </c>
      <c r="I382" s="51"/>
      <c r="J382" s="50"/>
      <c r="K382" s="50"/>
      <c r="L382" s="50"/>
      <c r="M382" s="50"/>
      <c r="XFC382" s="49"/>
      <c r="XFD382" s="50"/>
    </row>
    <row r="383" spans="1:13 16383:16384">
      <c r="A383" s="49">
        <v>10762</v>
      </c>
      <c r="B383" s="50">
        <v>45003</v>
      </c>
      <c r="C383" s="50" t="s">
        <v>118</v>
      </c>
      <c r="D383" s="50" t="s">
        <v>119</v>
      </c>
      <c r="E383" s="50" t="s">
        <v>118</v>
      </c>
      <c r="F383" s="51">
        <v>0.71527777777777779</v>
      </c>
      <c r="G383" s="50" t="s">
        <v>2219</v>
      </c>
      <c r="H383" s="50" t="s">
        <v>2220</v>
      </c>
      <c r="I383" s="51"/>
      <c r="J383" s="50"/>
      <c r="K383" s="50"/>
      <c r="L383" s="50"/>
      <c r="M383" s="50"/>
      <c r="XFC383" s="49"/>
      <c r="XFD383" s="50"/>
    </row>
    <row r="384" spans="1:13 16383:16384">
      <c r="A384" s="49">
        <v>14514</v>
      </c>
      <c r="B384" s="50">
        <v>45003</v>
      </c>
      <c r="C384" s="50" t="s">
        <v>88</v>
      </c>
      <c r="D384" s="50" t="s">
        <v>88</v>
      </c>
      <c r="E384" s="50" t="s">
        <v>2277</v>
      </c>
      <c r="F384" s="51">
        <v>0.72222222222222221</v>
      </c>
      <c r="G384" s="50" t="s">
        <v>287</v>
      </c>
      <c r="H384" s="50" t="s">
        <v>2144</v>
      </c>
      <c r="I384" s="51" t="s">
        <v>289</v>
      </c>
      <c r="J384" s="60" t="s">
        <v>288</v>
      </c>
      <c r="K384" s="50"/>
      <c r="L384" s="50"/>
      <c r="M384" s="50"/>
      <c r="XFC384" s="49"/>
      <c r="XFD384" s="50"/>
    </row>
    <row r="385" spans="1:13 16383:16384">
      <c r="A385" s="49">
        <v>30430</v>
      </c>
      <c r="B385" s="50">
        <v>45003</v>
      </c>
      <c r="C385" s="50" t="s">
        <v>112</v>
      </c>
      <c r="D385" s="50" t="s">
        <v>112</v>
      </c>
      <c r="E385" s="50" t="s">
        <v>2274</v>
      </c>
      <c r="F385" s="51">
        <v>0.77083333333333337</v>
      </c>
      <c r="G385" s="50" t="s">
        <v>287</v>
      </c>
      <c r="H385" s="50" t="s">
        <v>2144</v>
      </c>
      <c r="I385" s="55" t="s">
        <v>2136</v>
      </c>
      <c r="J385" s="50" t="s">
        <v>112</v>
      </c>
      <c r="K385" s="50"/>
      <c r="L385" s="50"/>
      <c r="M385" s="50"/>
      <c r="XFC385" s="49"/>
      <c r="XFD385" s="50"/>
    </row>
    <row r="386" spans="1:13 16383:16384">
      <c r="A386" s="49">
        <v>31584</v>
      </c>
      <c r="B386" s="50">
        <v>45003</v>
      </c>
      <c r="C386" s="50" t="s">
        <v>120</v>
      </c>
      <c r="D386" s="50" t="s">
        <v>587</v>
      </c>
      <c r="E386" s="50" t="s">
        <v>120</v>
      </c>
      <c r="F386" s="51">
        <v>0.80208333333333337</v>
      </c>
      <c r="G386" s="50" t="s">
        <v>589</v>
      </c>
      <c r="H386" s="50" t="s">
        <v>2221</v>
      </c>
      <c r="I386" s="51"/>
      <c r="J386" s="50"/>
      <c r="K386" s="50"/>
      <c r="L386" s="50"/>
      <c r="M386" s="50"/>
      <c r="XFC386" s="49"/>
      <c r="XFD386" s="50"/>
    </row>
    <row r="387" spans="1:13 16383:16384">
      <c r="A387" s="49">
        <v>28210</v>
      </c>
      <c r="B387" s="50">
        <v>45003</v>
      </c>
      <c r="C387" s="50" t="s">
        <v>102</v>
      </c>
      <c r="D387" s="50" t="s">
        <v>2271</v>
      </c>
      <c r="E387" s="50" t="s">
        <v>102</v>
      </c>
      <c r="F387" s="51">
        <v>0.82291666666666663</v>
      </c>
      <c r="G387" s="50" t="s">
        <v>2219</v>
      </c>
      <c r="H387" s="50" t="s">
        <v>2220</v>
      </c>
      <c r="I387" s="51"/>
      <c r="J387" s="50"/>
      <c r="K387" s="50"/>
      <c r="L387" s="50"/>
      <c r="M387" s="50"/>
      <c r="XFC387" s="49"/>
      <c r="XFD387" s="50"/>
    </row>
    <row r="388" spans="1:13 16383:16384">
      <c r="A388" s="49">
        <v>19109</v>
      </c>
      <c r="B388" s="50">
        <v>45010</v>
      </c>
      <c r="C388" s="50" t="s">
        <v>36</v>
      </c>
      <c r="D388" s="50" t="s">
        <v>753</v>
      </c>
      <c r="E388" s="50" t="s">
        <v>36</v>
      </c>
      <c r="F388" s="51">
        <v>0.375</v>
      </c>
      <c r="G388" s="50" t="s">
        <v>678</v>
      </c>
      <c r="H388" s="50" t="s">
        <v>2151</v>
      </c>
      <c r="I388" s="51"/>
      <c r="J388" s="50"/>
      <c r="K388" s="50"/>
      <c r="L388" s="50"/>
      <c r="M388" s="50"/>
      <c r="XFC388" s="49"/>
      <c r="XFD388" s="50"/>
    </row>
    <row r="389" spans="1:13 16383:16384">
      <c r="A389" s="49">
        <v>19122</v>
      </c>
      <c r="B389" s="50">
        <v>45010</v>
      </c>
      <c r="C389" s="50" t="s">
        <v>67</v>
      </c>
      <c r="D389" s="50" t="s">
        <v>2282</v>
      </c>
      <c r="E389" s="50" t="s">
        <v>67</v>
      </c>
      <c r="F389" s="51">
        <v>0.375</v>
      </c>
      <c r="G389" s="50" t="s">
        <v>678</v>
      </c>
      <c r="H389" s="50" t="s">
        <v>2151</v>
      </c>
      <c r="I389" s="51"/>
      <c r="J389" s="50"/>
      <c r="K389" s="50"/>
      <c r="L389" s="50"/>
      <c r="M389" s="50"/>
      <c r="XFC389" s="49"/>
      <c r="XFD389" s="50"/>
    </row>
    <row r="390" spans="1:13 16383:16384">
      <c r="A390" s="49">
        <v>33857</v>
      </c>
      <c r="B390" s="50">
        <v>45010</v>
      </c>
      <c r="C390" s="50" t="s">
        <v>711</v>
      </c>
      <c r="D390" s="50" t="s">
        <v>711</v>
      </c>
      <c r="E390" s="50" t="s">
        <v>2288</v>
      </c>
      <c r="F390" s="51">
        <v>0.375</v>
      </c>
      <c r="G390" s="50" t="s">
        <v>287</v>
      </c>
      <c r="H390" s="50" t="s">
        <v>2144</v>
      </c>
      <c r="I390" s="55" t="s">
        <v>444</v>
      </c>
      <c r="J390" s="50" t="s">
        <v>711</v>
      </c>
      <c r="K390" s="50"/>
      <c r="L390" s="50"/>
      <c r="M390" s="50"/>
      <c r="XFC390" s="49"/>
      <c r="XFD390" s="50"/>
    </row>
    <row r="391" spans="1:13 16383:16384">
      <c r="A391" s="49">
        <v>34077</v>
      </c>
      <c r="B391" s="50">
        <v>45010</v>
      </c>
      <c r="C391" s="50" t="s">
        <v>346</v>
      </c>
      <c r="D391" s="50" t="s">
        <v>346</v>
      </c>
      <c r="E391" s="50" t="s">
        <v>2284</v>
      </c>
      <c r="F391" s="51">
        <v>0.375</v>
      </c>
      <c r="G391" s="50" t="s">
        <v>287</v>
      </c>
      <c r="H391" s="50" t="s">
        <v>2144</v>
      </c>
      <c r="I391" s="55" t="s">
        <v>800</v>
      </c>
      <c r="J391" s="50" t="s">
        <v>346</v>
      </c>
      <c r="K391" s="50"/>
      <c r="L391" s="50"/>
      <c r="M391" s="50"/>
      <c r="XFC391" s="49"/>
      <c r="XFD391" s="50"/>
    </row>
    <row r="392" spans="1:13 16383:16384">
      <c r="A392" s="49">
        <v>17284</v>
      </c>
      <c r="B392" s="50">
        <v>45010</v>
      </c>
      <c r="C392" s="50" t="s">
        <v>40</v>
      </c>
      <c r="D392" s="50" t="s">
        <v>2281</v>
      </c>
      <c r="E392" s="50" t="s">
        <v>40</v>
      </c>
      <c r="F392" s="51">
        <v>0.41666666666666669</v>
      </c>
      <c r="G392" s="50" t="s">
        <v>678</v>
      </c>
      <c r="H392" s="50" t="s">
        <v>2151</v>
      </c>
      <c r="I392" s="51"/>
      <c r="J392" s="50"/>
      <c r="K392" s="50"/>
      <c r="L392" s="50"/>
      <c r="M392" s="50"/>
      <c r="XFC392" s="49"/>
      <c r="XFD392" s="50"/>
    </row>
    <row r="393" spans="1:13 16383:16384">
      <c r="A393" s="49">
        <v>17294</v>
      </c>
      <c r="B393" s="50">
        <v>45010</v>
      </c>
      <c r="C393" s="50" t="s">
        <v>20</v>
      </c>
      <c r="D393" s="50" t="s">
        <v>2280</v>
      </c>
      <c r="E393" s="50" t="s">
        <v>20</v>
      </c>
      <c r="F393" s="51">
        <v>0.41666666666666669</v>
      </c>
      <c r="G393" s="50" t="s">
        <v>467</v>
      </c>
      <c r="H393" s="50" t="s">
        <v>2158</v>
      </c>
      <c r="I393" s="51"/>
      <c r="J393" s="50"/>
      <c r="K393" s="50"/>
      <c r="L393" s="50"/>
      <c r="M393" s="50"/>
      <c r="XFC393" s="49"/>
      <c r="XFD393" s="50"/>
    </row>
    <row r="394" spans="1:13 16383:16384">
      <c r="A394" s="49">
        <v>14967</v>
      </c>
      <c r="B394" s="50">
        <v>45010</v>
      </c>
      <c r="C394" s="50" t="s">
        <v>43</v>
      </c>
      <c r="D394" s="50" t="s">
        <v>2283</v>
      </c>
      <c r="E394" s="50" t="s">
        <v>43</v>
      </c>
      <c r="F394" s="51">
        <v>0.41666666666666669</v>
      </c>
      <c r="G394" s="50" t="s">
        <v>334</v>
      </c>
      <c r="H394" s="50" t="s">
        <v>2151</v>
      </c>
      <c r="I394" s="51"/>
      <c r="J394" s="50"/>
      <c r="K394" s="50"/>
      <c r="L394" s="50"/>
      <c r="M394" s="50"/>
      <c r="XFC394" s="49"/>
      <c r="XFD394" s="50"/>
    </row>
    <row r="395" spans="1:13 16383:16384">
      <c r="A395" s="49">
        <v>20937</v>
      </c>
      <c r="B395" s="50">
        <v>45010</v>
      </c>
      <c r="C395" s="50" t="s">
        <v>99</v>
      </c>
      <c r="D395" s="50" t="s">
        <v>99</v>
      </c>
      <c r="E395" s="50" t="s">
        <v>956</v>
      </c>
      <c r="F395" s="51">
        <v>0.45833333333333331</v>
      </c>
      <c r="G395" s="50" t="s">
        <v>287</v>
      </c>
      <c r="H395" s="50" t="s">
        <v>2144</v>
      </c>
      <c r="I395" s="51" t="s">
        <v>289</v>
      </c>
      <c r="J395" s="60" t="s">
        <v>566</v>
      </c>
      <c r="K395" s="50"/>
      <c r="L395" s="50"/>
      <c r="M395" s="50"/>
      <c r="XFC395" s="49"/>
      <c r="XFD395" s="50"/>
    </row>
    <row r="396" spans="1:13 16383:16384">
      <c r="A396" s="49">
        <v>22555</v>
      </c>
      <c r="B396" s="50">
        <v>45010</v>
      </c>
      <c r="C396" s="50" t="s">
        <v>28</v>
      </c>
      <c r="D396" s="50" t="s">
        <v>13</v>
      </c>
      <c r="E396" s="50" t="s">
        <v>28</v>
      </c>
      <c r="F396" s="51">
        <v>0.46180555555555558</v>
      </c>
      <c r="G396" s="50" t="s">
        <v>295</v>
      </c>
      <c r="H396" s="50" t="s">
        <v>2161</v>
      </c>
      <c r="I396" s="51"/>
      <c r="J396" s="50"/>
      <c r="K396" s="50"/>
      <c r="L396" s="50"/>
      <c r="M396" s="50"/>
      <c r="XFC396" s="49"/>
      <c r="XFD396" s="50"/>
    </row>
    <row r="397" spans="1:13 16383:16384">
      <c r="A397" s="49">
        <v>15853</v>
      </c>
      <c r="B397" s="50">
        <v>45010</v>
      </c>
      <c r="C397" s="50" t="s">
        <v>50</v>
      </c>
      <c r="D397" s="50" t="s">
        <v>50</v>
      </c>
      <c r="E397" s="50" t="s">
        <v>133</v>
      </c>
      <c r="F397" s="51">
        <v>0.5</v>
      </c>
      <c r="G397" s="50" t="s">
        <v>287</v>
      </c>
      <c r="H397" s="50" t="s">
        <v>2144</v>
      </c>
      <c r="I397" s="51" t="s">
        <v>289</v>
      </c>
      <c r="J397" s="60" t="s">
        <v>566</v>
      </c>
      <c r="K397" s="50"/>
      <c r="L397" s="50"/>
      <c r="M397" s="50"/>
      <c r="XFC397" s="49"/>
      <c r="XFD397" s="50"/>
    </row>
    <row r="398" spans="1:13 16383:16384">
      <c r="A398" s="49">
        <v>13817</v>
      </c>
      <c r="B398" s="50">
        <v>45010</v>
      </c>
      <c r="C398" s="50" t="s">
        <v>53</v>
      </c>
      <c r="D398" s="50" t="s">
        <v>53</v>
      </c>
      <c r="E398" s="50" t="s">
        <v>850</v>
      </c>
      <c r="F398" s="51">
        <v>0.5</v>
      </c>
      <c r="G398" s="50" t="s">
        <v>373</v>
      </c>
      <c r="H398" s="50" t="s">
        <v>2144</v>
      </c>
      <c r="I398" s="55" t="s">
        <v>2080</v>
      </c>
      <c r="J398" s="50" t="s">
        <v>53</v>
      </c>
      <c r="K398" s="50"/>
      <c r="L398" s="50"/>
      <c r="M398" s="50"/>
      <c r="XFC398" s="49"/>
      <c r="XFD398" s="50"/>
    </row>
    <row r="399" spans="1:13 16383:16384">
      <c r="A399" s="49">
        <v>31235</v>
      </c>
      <c r="B399" s="50">
        <v>45010</v>
      </c>
      <c r="C399" s="50" t="s">
        <v>115</v>
      </c>
      <c r="D399" s="50" t="s">
        <v>2299</v>
      </c>
      <c r="E399" s="50" t="s">
        <v>115</v>
      </c>
      <c r="F399" s="51">
        <v>0.53125</v>
      </c>
      <c r="G399" s="50" t="s">
        <v>914</v>
      </c>
      <c r="H399" s="50" t="s">
        <v>2338</v>
      </c>
      <c r="I399" s="51"/>
      <c r="J399" s="50"/>
      <c r="K399" s="50"/>
      <c r="L399" s="50"/>
      <c r="M399" s="50"/>
      <c r="XFC399" s="49"/>
      <c r="XFD399" s="50"/>
    </row>
    <row r="400" spans="1:13 16383:16384">
      <c r="A400" s="49">
        <v>25096</v>
      </c>
      <c r="B400" s="50">
        <v>45010</v>
      </c>
      <c r="C400" s="50" t="s">
        <v>71</v>
      </c>
      <c r="D400" s="50" t="s">
        <v>2296</v>
      </c>
      <c r="E400" s="50" t="s">
        <v>71</v>
      </c>
      <c r="F400" s="51">
        <v>0.54166666666666663</v>
      </c>
      <c r="G400" s="50" t="s">
        <v>381</v>
      </c>
      <c r="H400" s="50" t="s">
        <v>2180</v>
      </c>
      <c r="I400" s="51"/>
      <c r="J400" s="50"/>
      <c r="K400" s="50"/>
      <c r="L400" s="50"/>
      <c r="M400" s="50"/>
      <c r="XFC400" s="49"/>
      <c r="XFD400" s="50"/>
    </row>
    <row r="401" spans="1:13 16383:16384">
      <c r="A401" s="49">
        <v>22547</v>
      </c>
      <c r="B401" s="50">
        <v>45010</v>
      </c>
      <c r="C401" s="50" t="s">
        <v>32</v>
      </c>
      <c r="D401" s="50" t="s">
        <v>2286</v>
      </c>
      <c r="E401" s="50" t="s">
        <v>32</v>
      </c>
      <c r="F401" s="51">
        <v>0.54166666666666663</v>
      </c>
      <c r="G401" s="50" t="s">
        <v>358</v>
      </c>
      <c r="H401" s="50" t="s">
        <v>2166</v>
      </c>
      <c r="I401" s="51"/>
      <c r="J401" s="50"/>
      <c r="K401" s="50"/>
      <c r="L401" s="50"/>
      <c r="M401" s="50"/>
      <c r="XFC401" s="49"/>
      <c r="XFD401" s="50"/>
    </row>
    <row r="402" spans="1:13 16383:16384">
      <c r="A402" s="49">
        <v>20676</v>
      </c>
      <c r="B402" s="50">
        <v>45010</v>
      </c>
      <c r="C402" s="50" t="s">
        <v>57</v>
      </c>
      <c r="D402" s="50" t="s">
        <v>2287</v>
      </c>
      <c r="E402" s="50" t="s">
        <v>57</v>
      </c>
      <c r="F402" s="51">
        <v>0.54166666666666663</v>
      </c>
      <c r="G402" s="50" t="s">
        <v>2328</v>
      </c>
      <c r="H402" s="50" t="s">
        <v>2290</v>
      </c>
      <c r="I402" s="51"/>
      <c r="J402" s="50"/>
      <c r="K402" s="50"/>
      <c r="L402" s="50"/>
      <c r="M402" s="50"/>
      <c r="XFC402" s="49"/>
      <c r="XFD402" s="50"/>
    </row>
    <row r="403" spans="1:13 16383:16384">
      <c r="A403" s="49">
        <v>19299</v>
      </c>
      <c r="B403" s="50">
        <v>45010</v>
      </c>
      <c r="C403" s="50" t="s">
        <v>62</v>
      </c>
      <c r="D403" s="50" t="s">
        <v>62</v>
      </c>
      <c r="E403" s="50" t="s">
        <v>2292</v>
      </c>
      <c r="F403" s="51">
        <v>0.54166666666666663</v>
      </c>
      <c r="G403" s="50" t="s">
        <v>287</v>
      </c>
      <c r="H403" s="50" t="s">
        <v>2144</v>
      </c>
      <c r="I403" s="51" t="s">
        <v>289</v>
      </c>
      <c r="J403" s="60" t="s">
        <v>566</v>
      </c>
      <c r="K403" s="50"/>
      <c r="L403" s="50"/>
      <c r="M403" s="50"/>
      <c r="XFC403" s="49"/>
      <c r="XFD403" s="50"/>
    </row>
    <row r="404" spans="1:13 16383:16384">
      <c r="A404" s="49">
        <v>27100</v>
      </c>
      <c r="B404" s="50">
        <v>45010</v>
      </c>
      <c r="C404" s="50" t="s">
        <v>47</v>
      </c>
      <c r="D404" s="50" t="s">
        <v>489</v>
      </c>
      <c r="E404" s="50" t="s">
        <v>47</v>
      </c>
      <c r="F404" s="51">
        <v>0.55208333333333337</v>
      </c>
      <c r="G404" s="50" t="s">
        <v>376</v>
      </c>
      <c r="H404" s="50" t="s">
        <v>2158</v>
      </c>
      <c r="I404" s="51"/>
      <c r="J404" s="50"/>
      <c r="K404" s="50"/>
      <c r="L404" s="50"/>
      <c r="M404" s="50"/>
      <c r="XFC404" s="49"/>
      <c r="XFD404" s="50"/>
    </row>
    <row r="405" spans="1:13 16383:16384">
      <c r="A405" s="49">
        <v>15519</v>
      </c>
      <c r="B405" s="50">
        <v>45010</v>
      </c>
      <c r="C405" s="50" t="s">
        <v>91</v>
      </c>
      <c r="D405" s="50" t="s">
        <v>2294</v>
      </c>
      <c r="E405" s="50" t="s">
        <v>91</v>
      </c>
      <c r="F405" s="51">
        <v>0.55555555555555558</v>
      </c>
      <c r="G405" s="50" t="s">
        <v>454</v>
      </c>
      <c r="H405" s="50" t="s">
        <v>2158</v>
      </c>
      <c r="I405" s="51"/>
      <c r="J405" s="50"/>
      <c r="K405" s="50"/>
      <c r="L405" s="50"/>
      <c r="M405" s="50"/>
      <c r="XFC405" s="49"/>
      <c r="XFD405" s="50"/>
    </row>
    <row r="406" spans="1:13 16383:16384">
      <c r="A406" s="49">
        <v>25104</v>
      </c>
      <c r="B406" s="50">
        <v>45010</v>
      </c>
      <c r="C406" s="50" t="s">
        <v>74</v>
      </c>
      <c r="D406" s="50" t="s">
        <v>2297</v>
      </c>
      <c r="E406" s="50" t="s">
        <v>74</v>
      </c>
      <c r="F406" s="51">
        <v>0.58333333333333337</v>
      </c>
      <c r="G406" s="50" t="s">
        <v>358</v>
      </c>
      <c r="H406" s="50" t="s">
        <v>2166</v>
      </c>
      <c r="I406" s="51"/>
      <c r="J406" s="50"/>
      <c r="K406" s="50"/>
      <c r="L406" s="50"/>
      <c r="M406" s="50"/>
      <c r="XFC406" s="49"/>
      <c r="XFD406" s="50"/>
    </row>
    <row r="407" spans="1:13 16383:16384">
      <c r="A407" s="49">
        <v>30034</v>
      </c>
      <c r="B407" s="50">
        <v>45010</v>
      </c>
      <c r="C407" s="50" t="s">
        <v>105</v>
      </c>
      <c r="D407" s="50" t="s">
        <v>2273</v>
      </c>
      <c r="E407" s="50" t="s">
        <v>105</v>
      </c>
      <c r="F407" s="51">
        <v>0.59027777777777779</v>
      </c>
      <c r="G407" s="50" t="s">
        <v>467</v>
      </c>
      <c r="H407" s="50" t="s">
        <v>2158</v>
      </c>
      <c r="I407" s="51"/>
      <c r="J407" s="50"/>
      <c r="K407" s="50"/>
      <c r="L407" s="50"/>
      <c r="M407" s="50"/>
      <c r="XFC407" s="49"/>
      <c r="XFD407" s="50"/>
    </row>
    <row r="408" spans="1:13 16383:16384">
      <c r="A408" s="49">
        <v>18039</v>
      </c>
      <c r="B408" s="50">
        <v>45010</v>
      </c>
      <c r="C408" s="50" t="s">
        <v>82</v>
      </c>
      <c r="D408" s="50" t="s">
        <v>2293</v>
      </c>
      <c r="E408" s="50" t="s">
        <v>82</v>
      </c>
      <c r="F408" s="51">
        <v>0.60069444444444442</v>
      </c>
      <c r="G408" s="50" t="s">
        <v>1068</v>
      </c>
      <c r="H408" s="50" t="s">
        <v>2327</v>
      </c>
      <c r="I408" s="51"/>
      <c r="J408" s="50"/>
      <c r="K408" s="50"/>
      <c r="L408" s="50"/>
      <c r="M408" s="50"/>
      <c r="XFC408" s="49"/>
      <c r="XFD408" s="50"/>
    </row>
    <row r="409" spans="1:13 16383:16384">
      <c r="A409" s="49">
        <v>15735</v>
      </c>
      <c r="B409" s="50">
        <v>45010</v>
      </c>
      <c r="C409" s="50" t="s">
        <v>85</v>
      </c>
      <c r="D409" s="50" t="s">
        <v>185</v>
      </c>
      <c r="E409" s="50" t="s">
        <v>85</v>
      </c>
      <c r="F409" s="51">
        <v>0.625</v>
      </c>
      <c r="G409" s="50" t="s">
        <v>454</v>
      </c>
      <c r="H409" s="50" t="s">
        <v>2158</v>
      </c>
      <c r="I409" s="51"/>
      <c r="J409" s="50"/>
      <c r="K409" s="50"/>
      <c r="L409" s="50"/>
      <c r="M409" s="50"/>
      <c r="XFC409" s="49"/>
      <c r="XFD409" s="50"/>
    </row>
    <row r="410" spans="1:13 16383:16384">
      <c r="A410" s="49">
        <v>22551</v>
      </c>
      <c r="B410" s="50">
        <v>45010</v>
      </c>
      <c r="C410" s="50" t="s">
        <v>15</v>
      </c>
      <c r="D410" s="50" t="s">
        <v>2285</v>
      </c>
      <c r="E410" s="50" t="s">
        <v>15</v>
      </c>
      <c r="F410" s="51">
        <v>0.63541666666666663</v>
      </c>
      <c r="G410" s="50" t="s">
        <v>376</v>
      </c>
      <c r="H410" s="50" t="s">
        <v>2158</v>
      </c>
      <c r="I410" s="51"/>
      <c r="J410" s="50"/>
      <c r="K410" s="50"/>
      <c r="L410" s="50"/>
      <c r="M410" s="50"/>
      <c r="XFC410" s="49"/>
      <c r="XFD410" s="50"/>
    </row>
    <row r="411" spans="1:13 16383:16384">
      <c r="A411" s="49">
        <v>13082</v>
      </c>
      <c r="B411" s="50">
        <v>45010</v>
      </c>
      <c r="C411" s="50" t="s">
        <v>109</v>
      </c>
      <c r="D411" s="50" t="s">
        <v>2295</v>
      </c>
      <c r="E411" s="50" t="s">
        <v>109</v>
      </c>
      <c r="F411" s="51">
        <v>0.67013888888888884</v>
      </c>
      <c r="G411" s="50" t="s">
        <v>2339</v>
      </c>
      <c r="H411" s="50" t="s">
        <v>2340</v>
      </c>
      <c r="I411" s="51"/>
      <c r="J411" s="50"/>
      <c r="K411" s="50"/>
      <c r="L411" s="50"/>
      <c r="M411" s="50"/>
      <c r="XFC411" s="49"/>
      <c r="XFD411" s="50"/>
    </row>
    <row r="412" spans="1:13 16383:16384">
      <c r="A412" s="49">
        <v>10973</v>
      </c>
      <c r="B412" s="50">
        <v>45010</v>
      </c>
      <c r="C412" s="50" t="s">
        <v>118</v>
      </c>
      <c r="D412" s="50" t="s">
        <v>326</v>
      </c>
      <c r="E412" s="50" t="s">
        <v>118</v>
      </c>
      <c r="F412" s="51">
        <v>0.72916666666666663</v>
      </c>
      <c r="G412" s="50" t="s">
        <v>2339</v>
      </c>
      <c r="H412" s="50" t="s">
        <v>2340</v>
      </c>
      <c r="I412" s="51"/>
      <c r="J412" s="50"/>
      <c r="K412" s="50"/>
      <c r="L412" s="50"/>
      <c r="M412" s="50"/>
      <c r="XFC412" s="49"/>
      <c r="XFD412" s="50"/>
    </row>
    <row r="413" spans="1:13 16383:16384">
      <c r="A413" s="49">
        <v>28052</v>
      </c>
      <c r="B413" s="50">
        <v>45010</v>
      </c>
      <c r="C413" s="50" t="s">
        <v>95</v>
      </c>
      <c r="D413" s="50" t="s">
        <v>215</v>
      </c>
      <c r="E413" s="50" t="s">
        <v>95</v>
      </c>
      <c r="F413" s="51">
        <v>0.73958333333333337</v>
      </c>
      <c r="G413" s="50" t="s">
        <v>376</v>
      </c>
      <c r="H413" s="50" t="s">
        <v>2158</v>
      </c>
      <c r="I413" s="51"/>
      <c r="J413" s="50"/>
      <c r="K413" s="50"/>
      <c r="L413" s="50"/>
      <c r="M413" s="50"/>
      <c r="XFC413" s="49"/>
      <c r="XFD413" s="50"/>
    </row>
    <row r="414" spans="1:13 16383:16384">
      <c r="A414" s="49">
        <v>31273</v>
      </c>
      <c r="B414" s="50">
        <v>45010</v>
      </c>
      <c r="C414" s="50" t="s">
        <v>120</v>
      </c>
      <c r="D414" s="50" t="s">
        <v>120</v>
      </c>
      <c r="E414" s="50" t="s">
        <v>2289</v>
      </c>
      <c r="F414" s="51">
        <v>0.76388888888888884</v>
      </c>
      <c r="G414" s="50" t="s">
        <v>287</v>
      </c>
      <c r="H414" s="50" t="s">
        <v>2144</v>
      </c>
      <c r="I414" s="55" t="s">
        <v>606</v>
      </c>
      <c r="J414" s="50" t="s">
        <v>120</v>
      </c>
      <c r="K414" s="50"/>
      <c r="L414" s="50"/>
      <c r="M414" s="50"/>
      <c r="XFC414" s="49"/>
      <c r="XFD414" s="50"/>
    </row>
    <row r="415" spans="1:13 16383:16384">
      <c r="A415" s="49">
        <v>13900</v>
      </c>
      <c r="B415" s="50">
        <v>45010</v>
      </c>
      <c r="C415" s="50" t="s">
        <v>123</v>
      </c>
      <c r="D415" s="50" t="s">
        <v>2298</v>
      </c>
      <c r="E415" s="50" t="s">
        <v>123</v>
      </c>
      <c r="F415" s="51">
        <v>0.78125</v>
      </c>
      <c r="G415" s="50" t="s">
        <v>2341</v>
      </c>
      <c r="H415" s="50" t="s">
        <v>2342</v>
      </c>
      <c r="I415" s="51"/>
      <c r="J415" s="50"/>
      <c r="K415" s="50"/>
      <c r="L415" s="50"/>
      <c r="M415" s="50"/>
      <c r="XFC415" s="49"/>
      <c r="XFD415" s="50"/>
    </row>
    <row r="416" spans="1:13 16383:16384">
      <c r="A416" s="49">
        <v>14556</v>
      </c>
      <c r="B416" s="50">
        <v>45010</v>
      </c>
      <c r="C416" s="50" t="s">
        <v>79</v>
      </c>
      <c r="D416" s="50" t="s">
        <v>79</v>
      </c>
      <c r="E416" s="50" t="s">
        <v>87</v>
      </c>
      <c r="F416" s="51">
        <v>0.8125</v>
      </c>
      <c r="G416" s="50" t="s">
        <v>287</v>
      </c>
      <c r="H416" s="50" t="s">
        <v>2144</v>
      </c>
      <c r="I416" s="55" t="s">
        <v>289</v>
      </c>
      <c r="J416" s="60" t="s">
        <v>328</v>
      </c>
      <c r="K416" s="50"/>
      <c r="L416" s="50"/>
      <c r="M416" s="50"/>
      <c r="XFC416" s="49"/>
      <c r="XFD416" s="50"/>
    </row>
    <row r="417" spans="1:13 16383:16384">
      <c r="A417" s="49">
        <v>14557</v>
      </c>
      <c r="B417" s="50">
        <v>45010</v>
      </c>
      <c r="C417" s="50" t="s">
        <v>88</v>
      </c>
      <c r="D417" s="50" t="s">
        <v>88</v>
      </c>
      <c r="E417" s="50" t="s">
        <v>2291</v>
      </c>
      <c r="F417" s="51">
        <v>0.86111111111111116</v>
      </c>
      <c r="G417" s="50" t="s">
        <v>287</v>
      </c>
      <c r="H417" s="50" t="s">
        <v>2144</v>
      </c>
      <c r="I417" s="51" t="s">
        <v>289</v>
      </c>
      <c r="J417" s="60" t="s">
        <v>328</v>
      </c>
      <c r="K417" s="50"/>
      <c r="L417" s="50"/>
      <c r="M417" s="50"/>
      <c r="XFC417" s="49"/>
      <c r="XFD417" s="50"/>
    </row>
    <row r="418" spans="1:13 16383:16384">
      <c r="A418" s="49">
        <v>29114</v>
      </c>
      <c r="B418" s="50">
        <v>45016</v>
      </c>
      <c r="C418" s="50" t="s">
        <v>120</v>
      </c>
      <c r="D418" s="50" t="s">
        <v>2322</v>
      </c>
      <c r="E418" s="50" t="s">
        <v>120</v>
      </c>
      <c r="F418" s="51">
        <v>0.8125</v>
      </c>
      <c r="G418" s="50" t="s">
        <v>320</v>
      </c>
      <c r="H418" s="50" t="s">
        <v>2148</v>
      </c>
      <c r="I418" s="51"/>
      <c r="J418" s="50"/>
      <c r="K418" s="50"/>
      <c r="L418" s="50"/>
      <c r="M418" s="50"/>
      <c r="XFC418" s="49"/>
      <c r="XFD418" s="50"/>
    </row>
    <row r="419" spans="1:13 16383:16384">
      <c r="A419" s="49">
        <v>14591</v>
      </c>
      <c r="B419" s="50">
        <v>45016</v>
      </c>
      <c r="C419" s="50" t="s">
        <v>88</v>
      </c>
      <c r="D419" s="50" t="s">
        <v>2309</v>
      </c>
      <c r="E419" s="50" t="s">
        <v>88</v>
      </c>
      <c r="F419" s="51">
        <v>0.83333333333333337</v>
      </c>
      <c r="G419" s="50" t="s">
        <v>295</v>
      </c>
      <c r="H419" s="50" t="s">
        <v>2161</v>
      </c>
      <c r="I419" s="51"/>
      <c r="J419" s="50"/>
      <c r="K419" s="50"/>
      <c r="L419" s="50"/>
      <c r="M419" s="50"/>
      <c r="XFC419" s="49"/>
      <c r="XFD419" s="50"/>
    </row>
    <row r="420" spans="1:13 16383:16384">
      <c r="A420" s="49">
        <v>17404</v>
      </c>
      <c r="B420" s="50">
        <v>45017</v>
      </c>
      <c r="C420" s="50" t="s">
        <v>64</v>
      </c>
      <c r="D420" s="50" t="s">
        <v>64</v>
      </c>
      <c r="E420" s="50" t="s">
        <v>2304</v>
      </c>
      <c r="F420" s="51">
        <v>0.375</v>
      </c>
      <c r="G420" s="50" t="s">
        <v>287</v>
      </c>
      <c r="H420" s="50" t="s">
        <v>2144</v>
      </c>
      <c r="I420" s="55" t="s">
        <v>328</v>
      </c>
      <c r="J420" s="50" t="s">
        <v>64</v>
      </c>
      <c r="K420" s="50"/>
      <c r="L420" s="50"/>
      <c r="M420" s="50"/>
      <c r="XFC420" s="49"/>
      <c r="XFD420" s="50"/>
    </row>
    <row r="421" spans="1:13 16383:16384">
      <c r="A421" s="49">
        <v>17403</v>
      </c>
      <c r="B421" s="50">
        <v>45017</v>
      </c>
      <c r="C421" s="50" t="s">
        <v>20</v>
      </c>
      <c r="D421" s="50" t="s">
        <v>20</v>
      </c>
      <c r="E421" s="50" t="s">
        <v>814</v>
      </c>
      <c r="F421" s="51">
        <v>0.375</v>
      </c>
      <c r="G421" s="50" t="s">
        <v>287</v>
      </c>
      <c r="H421" s="50" t="s">
        <v>2144</v>
      </c>
      <c r="I421" s="55" t="s">
        <v>306</v>
      </c>
      <c r="J421" s="50" t="s">
        <v>20</v>
      </c>
      <c r="K421" s="50"/>
      <c r="L421" s="50"/>
      <c r="M421" s="50"/>
      <c r="XFC421" s="49"/>
      <c r="XFD421" s="50"/>
    </row>
    <row r="422" spans="1:13 16383:16384">
      <c r="A422" s="49">
        <v>12845</v>
      </c>
      <c r="B422" s="50">
        <v>45017</v>
      </c>
      <c r="C422" s="50" t="s">
        <v>43</v>
      </c>
      <c r="D422" s="50" t="s">
        <v>43</v>
      </c>
      <c r="E422" s="50" t="s">
        <v>2301</v>
      </c>
      <c r="F422" s="51">
        <v>0.375</v>
      </c>
      <c r="G422" s="50" t="s">
        <v>287</v>
      </c>
      <c r="H422" s="50" t="s">
        <v>2144</v>
      </c>
      <c r="I422" s="55" t="s">
        <v>2134</v>
      </c>
      <c r="J422" s="50" t="s">
        <v>43</v>
      </c>
      <c r="K422" s="50"/>
      <c r="L422" s="50"/>
      <c r="M422" s="50"/>
      <c r="XFC422" s="49"/>
      <c r="XFD422" s="50"/>
    </row>
    <row r="423" spans="1:13 16383:16384">
      <c r="A423" s="49">
        <v>13895</v>
      </c>
      <c r="B423" s="50">
        <v>45017</v>
      </c>
      <c r="C423" s="50" t="s">
        <v>53</v>
      </c>
      <c r="D423" s="50" t="s">
        <v>186</v>
      </c>
      <c r="E423" s="50" t="s">
        <v>53</v>
      </c>
      <c r="F423" s="51">
        <v>0.375</v>
      </c>
      <c r="G423" s="50" t="s">
        <v>295</v>
      </c>
      <c r="H423" s="50" t="s">
        <v>2161</v>
      </c>
      <c r="I423" s="51"/>
      <c r="J423" s="50"/>
      <c r="K423" s="50"/>
      <c r="L423" s="50"/>
      <c r="M423" s="50"/>
      <c r="XFC423" s="49"/>
      <c r="XFD423" s="50"/>
    </row>
    <row r="424" spans="1:13 16383:16384">
      <c r="A424" s="49">
        <v>35327</v>
      </c>
      <c r="B424" s="50">
        <v>45017</v>
      </c>
      <c r="C424" s="50" t="s">
        <v>25</v>
      </c>
      <c r="D424" s="50" t="s">
        <v>2302</v>
      </c>
      <c r="E424" s="50" t="s">
        <v>25</v>
      </c>
      <c r="F424" s="51">
        <v>0.39583333333333331</v>
      </c>
      <c r="G424" s="50" t="s">
        <v>352</v>
      </c>
      <c r="H424" s="50" t="s">
        <v>2343</v>
      </c>
      <c r="I424" s="51"/>
      <c r="J424" s="50"/>
      <c r="K424" s="50"/>
      <c r="L424" s="50"/>
      <c r="M424" s="50"/>
      <c r="XFC424" s="49"/>
      <c r="XFD424" s="50"/>
    </row>
    <row r="425" spans="1:13 16383:16384">
      <c r="A425" s="49">
        <v>21423</v>
      </c>
      <c r="B425" s="50">
        <v>45017</v>
      </c>
      <c r="C425" s="50" t="s">
        <v>15</v>
      </c>
      <c r="D425" s="50" t="s">
        <v>15</v>
      </c>
      <c r="E425" s="50" t="s">
        <v>2318</v>
      </c>
      <c r="F425" s="51">
        <v>0.41666666666666669</v>
      </c>
      <c r="G425" s="50" t="s">
        <v>287</v>
      </c>
      <c r="H425" s="50" t="s">
        <v>2144</v>
      </c>
      <c r="I425" s="55" t="s">
        <v>550</v>
      </c>
      <c r="J425" s="50" t="s">
        <v>15</v>
      </c>
      <c r="K425" s="50"/>
      <c r="L425" s="50"/>
      <c r="M425" s="50"/>
      <c r="XFC425" s="49"/>
      <c r="XFD425" s="50"/>
    </row>
    <row r="426" spans="1:13 16383:16384">
      <c r="A426" s="49">
        <v>19322</v>
      </c>
      <c r="B426" s="50">
        <v>45017</v>
      </c>
      <c r="C426" s="50" t="s">
        <v>62</v>
      </c>
      <c r="D426" s="50" t="s">
        <v>2316</v>
      </c>
      <c r="E426" s="50" t="s">
        <v>62</v>
      </c>
      <c r="F426" s="51">
        <v>0.4236111111111111</v>
      </c>
      <c r="G426" s="50" t="s">
        <v>1068</v>
      </c>
      <c r="H426" s="50" t="s">
        <v>2327</v>
      </c>
      <c r="I426" s="51"/>
      <c r="J426" s="50"/>
      <c r="K426" s="50"/>
      <c r="L426" s="50"/>
      <c r="M426" s="50"/>
      <c r="XFC426" s="49"/>
      <c r="XFD426" s="50"/>
    </row>
    <row r="427" spans="1:13 16383:16384">
      <c r="A427" s="49">
        <v>24454</v>
      </c>
      <c r="B427" s="50">
        <v>45017</v>
      </c>
      <c r="C427" s="50" t="s">
        <v>74</v>
      </c>
      <c r="D427" s="50" t="s">
        <v>2323</v>
      </c>
      <c r="E427" s="50" t="s">
        <v>74</v>
      </c>
      <c r="F427" s="51">
        <v>0.4375</v>
      </c>
      <c r="G427" s="50" t="s">
        <v>441</v>
      </c>
      <c r="H427" s="50" t="s">
        <v>2210</v>
      </c>
      <c r="I427" s="51"/>
      <c r="J427" s="50"/>
      <c r="K427" s="50"/>
      <c r="L427" s="50"/>
      <c r="M427" s="50"/>
      <c r="XFC427" s="49"/>
      <c r="XFD427" s="50"/>
    </row>
    <row r="428" spans="1:13 16383:16384">
      <c r="A428" s="49">
        <v>24134</v>
      </c>
      <c r="B428" s="50">
        <v>45017</v>
      </c>
      <c r="C428" s="50" t="s">
        <v>71</v>
      </c>
      <c r="D428" s="50" t="s">
        <v>71</v>
      </c>
      <c r="E428" s="50" t="s">
        <v>2307</v>
      </c>
      <c r="F428" s="51">
        <v>0.45833333333333331</v>
      </c>
      <c r="G428" s="50" t="s">
        <v>287</v>
      </c>
      <c r="H428" s="50" t="s">
        <v>2144</v>
      </c>
      <c r="I428" s="55" t="s">
        <v>566</v>
      </c>
      <c r="J428" s="50" t="s">
        <v>71</v>
      </c>
      <c r="K428" s="50"/>
      <c r="L428" s="50"/>
      <c r="M428" s="50"/>
      <c r="XFC428" s="49"/>
      <c r="XFD428" s="50"/>
    </row>
    <row r="429" spans="1:13 16383:16384">
      <c r="A429" s="49">
        <v>33858</v>
      </c>
      <c r="B429" s="50">
        <v>45017</v>
      </c>
      <c r="C429" s="50" t="s">
        <v>711</v>
      </c>
      <c r="D429" s="50" t="s">
        <v>2300</v>
      </c>
      <c r="E429" s="50" t="s">
        <v>711</v>
      </c>
      <c r="F429" s="51">
        <v>0.5</v>
      </c>
      <c r="G429" s="50" t="s">
        <v>381</v>
      </c>
      <c r="H429" s="50" t="s">
        <v>2180</v>
      </c>
      <c r="I429" s="51"/>
      <c r="J429" s="50"/>
      <c r="K429" s="50"/>
      <c r="L429" s="50"/>
      <c r="M429" s="50"/>
      <c r="XFC429" s="49"/>
      <c r="XFD429" s="50"/>
    </row>
    <row r="430" spans="1:13 16383:16384">
      <c r="A430" s="49">
        <v>21431</v>
      </c>
      <c r="B430" s="50">
        <v>45017</v>
      </c>
      <c r="C430" s="50" t="s">
        <v>28</v>
      </c>
      <c r="D430" s="50" t="s">
        <v>28</v>
      </c>
      <c r="E430" s="50" t="s">
        <v>2255</v>
      </c>
      <c r="F430" s="51">
        <v>0.5</v>
      </c>
      <c r="G430" s="50" t="s">
        <v>305</v>
      </c>
      <c r="H430" s="50" t="s">
        <v>2144</v>
      </c>
      <c r="I430" s="55" t="s">
        <v>338</v>
      </c>
      <c r="J430" s="50" t="s">
        <v>28</v>
      </c>
      <c r="K430" s="50"/>
      <c r="L430" s="50"/>
      <c r="M430" s="50"/>
      <c r="XFC430" s="49"/>
      <c r="XFD430" s="50"/>
    </row>
    <row r="431" spans="1:13 16383:16384">
      <c r="A431" s="49">
        <v>20592</v>
      </c>
      <c r="B431" s="50">
        <v>45017</v>
      </c>
      <c r="C431" s="50" t="s">
        <v>57</v>
      </c>
      <c r="D431" s="50" t="s">
        <v>57</v>
      </c>
      <c r="E431" s="50" t="s">
        <v>190</v>
      </c>
      <c r="F431" s="51">
        <v>0.5</v>
      </c>
      <c r="G431" s="50" t="s">
        <v>287</v>
      </c>
      <c r="H431" s="50" t="s">
        <v>2144</v>
      </c>
      <c r="I431" s="51" t="s">
        <v>289</v>
      </c>
      <c r="J431" s="60" t="s">
        <v>306</v>
      </c>
      <c r="K431" s="50"/>
      <c r="L431" s="50"/>
      <c r="M431" s="50"/>
      <c r="XFC431" s="49"/>
      <c r="XFD431" s="50"/>
    </row>
    <row r="432" spans="1:13 16383:16384">
      <c r="A432" s="49">
        <v>34513</v>
      </c>
      <c r="B432" s="50">
        <v>45017</v>
      </c>
      <c r="C432" s="50" t="s">
        <v>152</v>
      </c>
      <c r="D432" s="50" t="s">
        <v>152</v>
      </c>
      <c r="E432" s="50" t="s">
        <v>151</v>
      </c>
      <c r="F432" s="51">
        <v>0.5</v>
      </c>
      <c r="G432" s="50" t="s">
        <v>405</v>
      </c>
      <c r="H432" s="50" t="s">
        <v>2312</v>
      </c>
      <c r="I432" s="55" t="s">
        <v>2135</v>
      </c>
      <c r="J432" s="50" t="s">
        <v>152</v>
      </c>
      <c r="K432" s="50"/>
      <c r="L432" s="50"/>
      <c r="M432" s="50"/>
      <c r="XFC432" s="49"/>
      <c r="XFD432" s="50"/>
    </row>
    <row r="433" spans="1:13 16383:16384">
      <c r="A433" s="49">
        <v>28113</v>
      </c>
      <c r="B433" s="50">
        <v>45017</v>
      </c>
      <c r="C433" s="50" t="s">
        <v>102</v>
      </c>
      <c r="D433" s="50" t="s">
        <v>2306</v>
      </c>
      <c r="E433" s="50" t="s">
        <v>102</v>
      </c>
      <c r="F433" s="51">
        <v>0.53472222222222221</v>
      </c>
      <c r="G433" s="50" t="s">
        <v>2267</v>
      </c>
      <c r="H433" s="50" t="s">
        <v>2254</v>
      </c>
      <c r="I433" s="51"/>
      <c r="J433" s="50"/>
      <c r="K433" s="50"/>
      <c r="L433" s="50"/>
      <c r="M433" s="50"/>
      <c r="XFC433" s="49"/>
      <c r="XFD433" s="50"/>
    </row>
    <row r="434" spans="1:13 16383:16384">
      <c r="A434" s="49">
        <v>21430</v>
      </c>
      <c r="B434" s="50">
        <v>45017</v>
      </c>
      <c r="C434" s="50" t="s">
        <v>32</v>
      </c>
      <c r="D434" s="50" t="s">
        <v>32</v>
      </c>
      <c r="E434" s="50" t="s">
        <v>2313</v>
      </c>
      <c r="F434" s="51">
        <v>0.54166666666666663</v>
      </c>
      <c r="G434" s="50" t="s">
        <v>305</v>
      </c>
      <c r="H434" s="50" t="s">
        <v>2144</v>
      </c>
      <c r="I434" s="55" t="s">
        <v>298</v>
      </c>
      <c r="J434" s="50" t="s">
        <v>32</v>
      </c>
      <c r="K434" s="50"/>
      <c r="L434" s="50"/>
      <c r="M434" s="50"/>
      <c r="XFC434" s="49"/>
      <c r="XFD434" s="50"/>
    </row>
    <row r="435" spans="1:13 16383:16384">
      <c r="A435" s="49">
        <v>28096</v>
      </c>
      <c r="B435" s="50">
        <v>45017</v>
      </c>
      <c r="C435" s="50" t="s">
        <v>95</v>
      </c>
      <c r="D435" s="50" t="s">
        <v>95</v>
      </c>
      <c r="E435" s="50" t="s">
        <v>2317</v>
      </c>
      <c r="F435" s="51">
        <v>0.54166666666666663</v>
      </c>
      <c r="G435" s="50" t="s">
        <v>287</v>
      </c>
      <c r="H435" s="50" t="s">
        <v>2144</v>
      </c>
      <c r="I435" s="55" t="s">
        <v>567</v>
      </c>
      <c r="J435" s="50" t="s">
        <v>95</v>
      </c>
      <c r="K435" s="50"/>
      <c r="L435" s="50"/>
      <c r="M435" s="50"/>
      <c r="XFC435" s="49"/>
      <c r="XFD435" s="50"/>
    </row>
    <row r="436" spans="1:13 16383:16384">
      <c r="A436" s="49">
        <v>34508</v>
      </c>
      <c r="B436" s="50">
        <v>45017</v>
      </c>
      <c r="C436" s="50" t="s">
        <v>152</v>
      </c>
      <c r="D436" s="50" t="s">
        <v>247</v>
      </c>
      <c r="E436" s="50" t="s">
        <v>152</v>
      </c>
      <c r="F436" s="51">
        <v>0.54166666666666663</v>
      </c>
      <c r="G436" s="50" t="s">
        <v>405</v>
      </c>
      <c r="H436" s="50" t="s">
        <v>2312</v>
      </c>
      <c r="I436" s="51"/>
      <c r="J436" s="50"/>
      <c r="K436" s="50"/>
      <c r="L436" s="50"/>
      <c r="M436" s="50"/>
      <c r="XFC436" s="49"/>
      <c r="XFD436" s="50"/>
    </row>
    <row r="437" spans="1:13 16383:16384">
      <c r="A437" s="49">
        <v>17687</v>
      </c>
      <c r="B437" s="50">
        <v>45017</v>
      </c>
      <c r="C437" s="50" t="s">
        <v>82</v>
      </c>
      <c r="D437" s="50" t="s">
        <v>82</v>
      </c>
      <c r="E437" s="50" t="s">
        <v>245</v>
      </c>
      <c r="F437" s="51">
        <v>0.58333333333333337</v>
      </c>
      <c r="G437" s="50" t="s">
        <v>305</v>
      </c>
      <c r="H437" s="50" t="s">
        <v>2144</v>
      </c>
      <c r="I437" s="51" t="s">
        <v>289</v>
      </c>
      <c r="J437" s="60" t="s">
        <v>338</v>
      </c>
      <c r="K437" s="50"/>
      <c r="L437" s="50"/>
      <c r="M437" s="50"/>
      <c r="XFC437" s="49"/>
      <c r="XFD437" s="50"/>
    </row>
    <row r="438" spans="1:13 16383:16384">
      <c r="A438" s="49">
        <v>13200</v>
      </c>
      <c r="B438" s="50">
        <v>45017</v>
      </c>
      <c r="C438" s="50" t="s">
        <v>123</v>
      </c>
      <c r="D438" s="50" t="s">
        <v>123</v>
      </c>
      <c r="E438" s="50" t="s">
        <v>2310</v>
      </c>
      <c r="F438" s="51">
        <v>0.59027777777777779</v>
      </c>
      <c r="G438" s="50" t="s">
        <v>287</v>
      </c>
      <c r="H438" s="50" t="s">
        <v>2144</v>
      </c>
      <c r="I438" s="51" t="s">
        <v>289</v>
      </c>
      <c r="J438" s="60" t="s">
        <v>584</v>
      </c>
      <c r="K438" s="50"/>
      <c r="L438" s="50"/>
      <c r="M438" s="50"/>
      <c r="XFC438" s="49"/>
      <c r="XFD438" s="50"/>
    </row>
    <row r="439" spans="1:13 16383:16384">
      <c r="A439" s="49">
        <v>26360</v>
      </c>
      <c r="B439" s="50">
        <v>45017</v>
      </c>
      <c r="C439" s="50" t="s">
        <v>47</v>
      </c>
      <c r="D439" s="50" t="s">
        <v>47</v>
      </c>
      <c r="E439" s="50" t="s">
        <v>2320</v>
      </c>
      <c r="F439" s="51">
        <v>0.63541666666666663</v>
      </c>
      <c r="G439" s="50" t="s">
        <v>305</v>
      </c>
      <c r="H439" s="50" t="s">
        <v>2144</v>
      </c>
      <c r="I439" s="55" t="s">
        <v>606</v>
      </c>
      <c r="J439" s="50" t="s">
        <v>47</v>
      </c>
      <c r="K439" s="50"/>
      <c r="L439" s="50"/>
      <c r="M439" s="50"/>
      <c r="XFC439" s="49"/>
      <c r="XFD439" s="50"/>
    </row>
    <row r="440" spans="1:13 16383:16384">
      <c r="A440" s="49">
        <v>15340</v>
      </c>
      <c r="B440" s="50">
        <v>45017</v>
      </c>
      <c r="C440" s="50" t="s">
        <v>91</v>
      </c>
      <c r="D440" s="50" t="s">
        <v>91</v>
      </c>
      <c r="E440" s="50" t="s">
        <v>1129</v>
      </c>
      <c r="F440" s="51">
        <v>0.63888888888888895</v>
      </c>
      <c r="G440" s="50" t="s">
        <v>287</v>
      </c>
      <c r="H440" s="50" t="s">
        <v>2144</v>
      </c>
      <c r="I440" s="51" t="s">
        <v>289</v>
      </c>
      <c r="J440" s="60" t="s">
        <v>567</v>
      </c>
      <c r="K440" s="50"/>
      <c r="L440" s="50"/>
      <c r="M440" s="50"/>
      <c r="XFC440" s="49"/>
      <c r="XFD440" s="50"/>
    </row>
    <row r="441" spans="1:13 16383:16384">
      <c r="A441" s="49">
        <v>30319</v>
      </c>
      <c r="B441" s="50">
        <v>45017</v>
      </c>
      <c r="C441" s="50" t="s">
        <v>569</v>
      </c>
      <c r="D441" s="50" t="s">
        <v>569</v>
      </c>
      <c r="E441" s="50" t="s">
        <v>2334</v>
      </c>
      <c r="F441" s="51">
        <v>0.68055555555555547</v>
      </c>
      <c r="G441" s="50" t="s">
        <v>305</v>
      </c>
      <c r="H441" s="50" t="s">
        <v>2144</v>
      </c>
      <c r="I441" s="55" t="s">
        <v>288</v>
      </c>
      <c r="J441" s="50" t="s">
        <v>569</v>
      </c>
      <c r="K441" s="50"/>
      <c r="L441" s="50"/>
      <c r="M441" s="50"/>
      <c r="XFC441" s="49"/>
      <c r="XFD441" s="50"/>
    </row>
    <row r="442" spans="1:13 16383:16384">
      <c r="A442" s="49">
        <v>12734</v>
      </c>
      <c r="B442" s="50">
        <v>45017</v>
      </c>
      <c r="C442" s="50" t="s">
        <v>109</v>
      </c>
      <c r="D442" s="50" t="s">
        <v>109</v>
      </c>
      <c r="E442" s="50" t="s">
        <v>2319</v>
      </c>
      <c r="F442" s="51">
        <v>0.69444444444444453</v>
      </c>
      <c r="G442" s="50" t="s">
        <v>287</v>
      </c>
      <c r="H442" s="50" t="s">
        <v>2144</v>
      </c>
      <c r="I442" s="51" t="s">
        <v>289</v>
      </c>
      <c r="J442" s="60" t="s">
        <v>301</v>
      </c>
      <c r="K442" s="50"/>
      <c r="L442" s="50"/>
      <c r="M442" s="50"/>
      <c r="XFC442" s="49"/>
      <c r="XFD442" s="50"/>
    </row>
    <row r="443" spans="1:13 16383:16384">
      <c r="A443" s="49">
        <v>10607</v>
      </c>
      <c r="B443" s="50">
        <v>45017</v>
      </c>
      <c r="C443" s="50" t="s">
        <v>118</v>
      </c>
      <c r="D443" s="50" t="s">
        <v>118</v>
      </c>
      <c r="E443" s="50" t="s">
        <v>2321</v>
      </c>
      <c r="F443" s="51">
        <v>0.75</v>
      </c>
      <c r="G443" s="50" t="s">
        <v>287</v>
      </c>
      <c r="H443" s="50" t="s">
        <v>2144</v>
      </c>
      <c r="I443" s="51" t="s">
        <v>289</v>
      </c>
      <c r="J443" s="60" t="s">
        <v>301</v>
      </c>
      <c r="K443" s="50"/>
      <c r="L443" s="50"/>
      <c r="M443" s="50"/>
      <c r="XFC443" s="49"/>
      <c r="XFD443" s="50"/>
    </row>
    <row r="444" spans="1:13 16383:16384">
      <c r="A444" s="49">
        <v>29133</v>
      </c>
      <c r="B444" s="50">
        <v>45017</v>
      </c>
      <c r="C444" s="50" t="s">
        <v>105</v>
      </c>
      <c r="D444" s="50" t="s">
        <v>105</v>
      </c>
      <c r="E444" s="50" t="s">
        <v>168</v>
      </c>
      <c r="F444" s="51">
        <v>0.80555555555555547</v>
      </c>
      <c r="G444" s="50" t="s">
        <v>287</v>
      </c>
      <c r="H444" s="50" t="s">
        <v>2144</v>
      </c>
      <c r="I444" s="55" t="s">
        <v>301</v>
      </c>
      <c r="J444" s="50" t="s">
        <v>105</v>
      </c>
      <c r="K444" s="50"/>
      <c r="L444" s="50"/>
      <c r="M444" s="50"/>
      <c r="XFC444" s="49"/>
      <c r="XFD444" s="50"/>
    </row>
    <row r="445" spans="1:13 16383:16384">
      <c r="A445" s="49">
        <v>30347</v>
      </c>
      <c r="B445" s="50">
        <v>45017</v>
      </c>
      <c r="C445" s="50" t="s">
        <v>112</v>
      </c>
      <c r="D445" s="50" t="s">
        <v>112</v>
      </c>
      <c r="E445" s="50" t="s">
        <v>167</v>
      </c>
      <c r="F445" s="51">
        <v>0.85416666666666663</v>
      </c>
      <c r="G445" s="50" t="s">
        <v>287</v>
      </c>
      <c r="H445" s="50" t="s">
        <v>2144</v>
      </c>
      <c r="I445" s="55" t="s">
        <v>584</v>
      </c>
      <c r="J445" s="50" t="s">
        <v>112</v>
      </c>
      <c r="K445" s="50"/>
      <c r="L445" s="50"/>
      <c r="M445" s="50"/>
      <c r="XFC445" s="49"/>
      <c r="XFD445" s="50"/>
    </row>
  </sheetData>
  <autoFilter ref="A1:J445" xr:uid="{2C14D5AA-BE83-4358-A83B-1A2D39579B0E}">
    <sortState xmlns:xlrd2="http://schemas.microsoft.com/office/spreadsheetml/2017/richdata2" ref="A2:J445">
      <sortCondition ref="B1:B445"/>
    </sortState>
  </autoFilter>
  <conditionalFormatting sqref="A2:XFD445">
    <cfRule type="expression" dxfId="0" priority="2">
      <formula>ISNUMBER(SEARCH("Albatros", $E2))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501"/>
  <sheetViews>
    <sheetView workbookViewId="0">
      <selection activeCell="J15" sqref="J15"/>
    </sheetView>
  </sheetViews>
  <sheetFormatPr defaultColWidth="12.6640625" defaultRowHeight="15.75" customHeight="1"/>
  <sheetData>
    <row r="1" spans="1:12" ht="15.75" customHeight="1">
      <c r="A1" s="32" t="s">
        <v>279</v>
      </c>
      <c r="B1" s="32" t="s">
        <v>1</v>
      </c>
      <c r="C1" s="32" t="s">
        <v>2</v>
      </c>
      <c r="D1" s="32" t="s">
        <v>3</v>
      </c>
      <c r="E1" s="32" t="s">
        <v>4</v>
      </c>
      <c r="F1" s="32" t="s">
        <v>280</v>
      </c>
      <c r="G1" s="32" t="s">
        <v>5</v>
      </c>
      <c r="H1" s="33" t="s">
        <v>6</v>
      </c>
      <c r="I1" s="32" t="s">
        <v>281</v>
      </c>
      <c r="J1" s="32" t="s">
        <v>282</v>
      </c>
      <c r="K1" s="32" t="s">
        <v>10</v>
      </c>
      <c r="L1" s="32" t="s">
        <v>11</v>
      </c>
    </row>
    <row r="2" spans="1:12" ht="15.75" customHeight="1">
      <c r="A2" s="34">
        <v>15275</v>
      </c>
      <c r="B2" s="35" t="s">
        <v>283</v>
      </c>
      <c r="C2" s="35" t="s">
        <v>284</v>
      </c>
      <c r="D2" s="36">
        <v>42742</v>
      </c>
      <c r="E2" s="35" t="s">
        <v>109</v>
      </c>
      <c r="F2" s="35" t="s">
        <v>14</v>
      </c>
      <c r="G2" s="35" t="s">
        <v>285</v>
      </c>
      <c r="H2" s="35" t="s">
        <v>286</v>
      </c>
      <c r="I2" s="37">
        <v>0.69444444444444442</v>
      </c>
      <c r="J2" s="35" t="s">
        <v>287</v>
      </c>
      <c r="K2" s="35" t="s">
        <v>288</v>
      </c>
      <c r="L2" s="35" t="s">
        <v>289</v>
      </c>
    </row>
    <row r="3" spans="1:12" ht="15.75" customHeight="1">
      <c r="A3" s="34">
        <v>15250</v>
      </c>
      <c r="B3" s="35" t="s">
        <v>290</v>
      </c>
      <c r="C3" s="35" t="s">
        <v>284</v>
      </c>
      <c r="D3" s="36">
        <v>42742</v>
      </c>
      <c r="E3" s="35" t="s">
        <v>123</v>
      </c>
      <c r="F3" s="35" t="s">
        <v>14</v>
      </c>
      <c r="G3" s="35" t="s">
        <v>291</v>
      </c>
      <c r="H3" s="35" t="s">
        <v>292</v>
      </c>
      <c r="I3" s="37">
        <v>0.64236111111111116</v>
      </c>
      <c r="J3" s="35" t="s">
        <v>287</v>
      </c>
      <c r="K3" s="35" t="s">
        <v>288</v>
      </c>
      <c r="L3" s="35" t="s">
        <v>289</v>
      </c>
    </row>
    <row r="4" spans="1:12" ht="15.75" customHeight="1">
      <c r="A4" s="34">
        <v>15080</v>
      </c>
      <c r="B4" s="35" t="s">
        <v>290</v>
      </c>
      <c r="C4" s="35" t="s">
        <v>284</v>
      </c>
      <c r="D4" s="36">
        <v>42714</v>
      </c>
      <c r="E4" s="35" t="s">
        <v>293</v>
      </c>
      <c r="F4" s="35" t="s">
        <v>14</v>
      </c>
      <c r="G4" s="35" t="s">
        <v>123</v>
      </c>
      <c r="H4" s="35" t="s">
        <v>294</v>
      </c>
      <c r="I4" s="37">
        <v>0.72569444444444442</v>
      </c>
      <c r="J4" s="35" t="s">
        <v>295</v>
      </c>
      <c r="K4" s="35" t="s">
        <v>14</v>
      </c>
      <c r="L4" s="35" t="s">
        <v>14</v>
      </c>
    </row>
    <row r="5" spans="1:12" ht="15.75" customHeight="1">
      <c r="A5" s="34">
        <v>14841</v>
      </c>
      <c r="B5" s="35" t="s">
        <v>283</v>
      </c>
      <c r="C5" s="35" t="s">
        <v>284</v>
      </c>
      <c r="D5" s="36">
        <v>42700</v>
      </c>
      <c r="E5" s="35" t="s">
        <v>109</v>
      </c>
      <c r="F5" s="35" t="s">
        <v>14</v>
      </c>
      <c r="G5" s="35" t="s">
        <v>296</v>
      </c>
      <c r="H5" s="35" t="s">
        <v>297</v>
      </c>
      <c r="I5" s="37">
        <v>0.70833333333333337</v>
      </c>
      <c r="J5" s="35" t="s">
        <v>287</v>
      </c>
      <c r="K5" s="35" t="s">
        <v>298</v>
      </c>
      <c r="L5" s="35" t="s">
        <v>289</v>
      </c>
    </row>
    <row r="6" spans="1:12" ht="15.75" customHeight="1">
      <c r="A6" s="34">
        <v>14631</v>
      </c>
      <c r="B6" s="35" t="s">
        <v>283</v>
      </c>
      <c r="C6" s="35" t="s">
        <v>284</v>
      </c>
      <c r="D6" s="36">
        <v>42693</v>
      </c>
      <c r="E6" s="35" t="s">
        <v>109</v>
      </c>
      <c r="F6" s="35" t="s">
        <v>14</v>
      </c>
      <c r="G6" s="35" t="s">
        <v>299</v>
      </c>
      <c r="H6" s="35" t="s">
        <v>300</v>
      </c>
      <c r="I6" s="37">
        <v>0.71875</v>
      </c>
      <c r="J6" s="35" t="s">
        <v>287</v>
      </c>
      <c r="K6" s="35" t="s">
        <v>301</v>
      </c>
      <c r="L6" s="35" t="s">
        <v>289</v>
      </c>
    </row>
    <row r="7" spans="1:12" ht="15.75" customHeight="1">
      <c r="A7" s="34">
        <v>14606</v>
      </c>
      <c r="B7" s="35" t="s">
        <v>302</v>
      </c>
      <c r="C7" s="35" t="s">
        <v>284</v>
      </c>
      <c r="D7" s="36">
        <v>42693</v>
      </c>
      <c r="E7" s="35" t="s">
        <v>88</v>
      </c>
      <c r="F7" s="35" t="s">
        <v>14</v>
      </c>
      <c r="G7" s="35" t="s">
        <v>303</v>
      </c>
      <c r="H7" s="35" t="s">
        <v>304</v>
      </c>
      <c r="I7" s="37">
        <v>0.70833333333333337</v>
      </c>
      <c r="J7" s="35" t="s">
        <v>305</v>
      </c>
      <c r="K7" s="35" t="s">
        <v>306</v>
      </c>
      <c r="L7" s="35" t="s">
        <v>289</v>
      </c>
    </row>
    <row r="8" spans="1:12" ht="15.75" customHeight="1">
      <c r="A8" s="34">
        <v>14466</v>
      </c>
      <c r="B8" s="35" t="s">
        <v>290</v>
      </c>
      <c r="C8" s="35" t="s">
        <v>284</v>
      </c>
      <c r="D8" s="36">
        <v>42693</v>
      </c>
      <c r="E8" s="35" t="s">
        <v>123</v>
      </c>
      <c r="F8" s="35" t="s">
        <v>14</v>
      </c>
      <c r="G8" s="35" t="s">
        <v>307</v>
      </c>
      <c r="H8" s="35" t="s">
        <v>308</v>
      </c>
      <c r="I8" s="37">
        <v>0.81944444444444442</v>
      </c>
      <c r="J8" s="35" t="s">
        <v>287</v>
      </c>
      <c r="K8" s="35" t="s">
        <v>288</v>
      </c>
      <c r="L8" s="35" t="s">
        <v>289</v>
      </c>
    </row>
    <row r="9" spans="1:12" ht="15.75" customHeight="1">
      <c r="A9" s="34">
        <v>14393</v>
      </c>
      <c r="B9" s="35" t="s">
        <v>290</v>
      </c>
      <c r="C9" s="35" t="s">
        <v>284</v>
      </c>
      <c r="D9" s="36">
        <v>42686</v>
      </c>
      <c r="E9" s="35" t="s">
        <v>210</v>
      </c>
      <c r="F9" s="35" t="s">
        <v>14</v>
      </c>
      <c r="G9" s="35" t="s">
        <v>123</v>
      </c>
      <c r="H9" s="35" t="s">
        <v>309</v>
      </c>
      <c r="I9" s="37">
        <v>0.65972222222222221</v>
      </c>
      <c r="J9" s="35" t="s">
        <v>310</v>
      </c>
      <c r="K9" s="35" t="s">
        <v>14</v>
      </c>
      <c r="L9" s="35" t="s">
        <v>14</v>
      </c>
    </row>
    <row r="10" spans="1:12" ht="15.75" customHeight="1">
      <c r="A10" s="34">
        <v>14310</v>
      </c>
      <c r="B10" s="35" t="s">
        <v>302</v>
      </c>
      <c r="C10" s="35" t="s">
        <v>284</v>
      </c>
      <c r="D10" s="36">
        <v>42686</v>
      </c>
      <c r="E10" s="35" t="s">
        <v>311</v>
      </c>
      <c r="F10" s="35" t="s">
        <v>14</v>
      </c>
      <c r="G10" s="35" t="s">
        <v>88</v>
      </c>
      <c r="H10" s="35" t="s">
        <v>312</v>
      </c>
      <c r="I10" s="37">
        <v>0.76388888888888884</v>
      </c>
      <c r="J10" s="35" t="s">
        <v>313</v>
      </c>
      <c r="K10" s="35" t="s">
        <v>14</v>
      </c>
      <c r="L10" s="35" t="s">
        <v>14</v>
      </c>
    </row>
    <row r="11" spans="1:12" ht="15.75" customHeight="1">
      <c r="A11" s="34">
        <v>14026</v>
      </c>
      <c r="B11" s="35" t="s">
        <v>314</v>
      </c>
      <c r="C11" s="35" t="s">
        <v>284</v>
      </c>
      <c r="D11" s="36">
        <v>42805</v>
      </c>
      <c r="E11" s="35" t="s">
        <v>315</v>
      </c>
      <c r="F11" s="35" t="s">
        <v>14</v>
      </c>
      <c r="G11" s="35" t="s">
        <v>118</v>
      </c>
      <c r="H11" s="35" t="s">
        <v>316</v>
      </c>
      <c r="I11" s="37">
        <v>0.81944444444444442</v>
      </c>
      <c r="J11" s="35" t="s">
        <v>317</v>
      </c>
      <c r="K11" s="35" t="s">
        <v>14</v>
      </c>
      <c r="L11" s="35" t="s">
        <v>14</v>
      </c>
    </row>
    <row r="12" spans="1:12" ht="15.75" customHeight="1">
      <c r="A12" s="34">
        <v>13897</v>
      </c>
      <c r="B12" s="35" t="s">
        <v>314</v>
      </c>
      <c r="C12" s="35" t="s">
        <v>284</v>
      </c>
      <c r="D12" s="36">
        <v>42777</v>
      </c>
      <c r="E12" s="35" t="s">
        <v>318</v>
      </c>
      <c r="F12" s="35" t="s">
        <v>14</v>
      </c>
      <c r="G12" s="35" t="s">
        <v>118</v>
      </c>
      <c r="H12" s="35" t="s">
        <v>319</v>
      </c>
      <c r="I12" s="37">
        <v>0.56597222222222221</v>
      </c>
      <c r="J12" s="35" t="s">
        <v>320</v>
      </c>
      <c r="K12" s="35" t="s">
        <v>14</v>
      </c>
      <c r="L12" s="35" t="s">
        <v>14</v>
      </c>
    </row>
    <row r="13" spans="1:12" ht="15.75" customHeight="1">
      <c r="A13" s="34">
        <v>13857</v>
      </c>
      <c r="B13" s="35" t="s">
        <v>314</v>
      </c>
      <c r="C13" s="35" t="s">
        <v>284</v>
      </c>
      <c r="D13" s="36">
        <v>42770</v>
      </c>
      <c r="E13" s="35" t="s">
        <v>118</v>
      </c>
      <c r="F13" s="35" t="s">
        <v>14</v>
      </c>
      <c r="G13" s="35" t="s">
        <v>321</v>
      </c>
      <c r="H13" s="35" t="s">
        <v>322</v>
      </c>
      <c r="I13" s="37">
        <v>0.74305555555555558</v>
      </c>
      <c r="J13" s="35" t="s">
        <v>287</v>
      </c>
      <c r="K13" s="35" t="s">
        <v>306</v>
      </c>
      <c r="L13" s="35" t="s">
        <v>289</v>
      </c>
    </row>
    <row r="14" spans="1:12" ht="15.75" customHeight="1">
      <c r="A14" s="34">
        <v>13694</v>
      </c>
      <c r="B14" s="35" t="s">
        <v>314</v>
      </c>
      <c r="C14" s="35" t="s">
        <v>284</v>
      </c>
      <c r="D14" s="36">
        <v>42763</v>
      </c>
      <c r="E14" s="35" t="s">
        <v>323</v>
      </c>
      <c r="F14" s="35" t="s">
        <v>14</v>
      </c>
      <c r="G14" s="35" t="s">
        <v>118</v>
      </c>
      <c r="H14" s="35" t="s">
        <v>324</v>
      </c>
      <c r="I14" s="37">
        <v>0.84027777777777779</v>
      </c>
      <c r="J14" s="35" t="s">
        <v>325</v>
      </c>
      <c r="K14" s="35" t="s">
        <v>14</v>
      </c>
      <c r="L14" s="35" t="s">
        <v>14</v>
      </c>
    </row>
    <row r="15" spans="1:12" ht="15.75" customHeight="1">
      <c r="A15" s="34">
        <v>13528</v>
      </c>
      <c r="B15" s="35" t="s">
        <v>314</v>
      </c>
      <c r="C15" s="35" t="s">
        <v>284</v>
      </c>
      <c r="D15" s="36">
        <v>42749</v>
      </c>
      <c r="E15" s="35" t="s">
        <v>118</v>
      </c>
      <c r="F15" s="35" t="s">
        <v>14</v>
      </c>
      <c r="G15" s="35" t="s">
        <v>326</v>
      </c>
      <c r="H15" s="35" t="s">
        <v>327</v>
      </c>
      <c r="I15" s="37">
        <v>0.76736111111111116</v>
      </c>
      <c r="J15" s="35" t="s">
        <v>287</v>
      </c>
      <c r="K15" s="35" t="s">
        <v>328</v>
      </c>
      <c r="L15" s="35" t="s">
        <v>289</v>
      </c>
    </row>
    <row r="16" spans="1:12" ht="15.75" customHeight="1">
      <c r="A16" s="34">
        <v>13388</v>
      </c>
      <c r="B16" s="35" t="s">
        <v>314</v>
      </c>
      <c r="C16" s="35" t="s">
        <v>284</v>
      </c>
      <c r="D16" s="36">
        <v>42721</v>
      </c>
      <c r="E16" s="35" t="s">
        <v>329</v>
      </c>
      <c r="F16" s="35" t="s">
        <v>14</v>
      </c>
      <c r="G16" s="35" t="s">
        <v>118</v>
      </c>
      <c r="H16" s="35" t="s">
        <v>330</v>
      </c>
      <c r="I16" s="37">
        <v>0.82638888888888884</v>
      </c>
      <c r="J16" s="35" t="s">
        <v>331</v>
      </c>
      <c r="K16" s="35" t="s">
        <v>14</v>
      </c>
      <c r="L16" s="35" t="s">
        <v>14</v>
      </c>
    </row>
    <row r="17" spans="1:12" ht="15.75" customHeight="1">
      <c r="A17" s="34">
        <v>13240</v>
      </c>
      <c r="B17" s="35" t="s">
        <v>314</v>
      </c>
      <c r="C17" s="35" t="s">
        <v>284</v>
      </c>
      <c r="D17" s="36">
        <v>42714</v>
      </c>
      <c r="E17" s="35" t="s">
        <v>118</v>
      </c>
      <c r="F17" s="35" t="s">
        <v>14</v>
      </c>
      <c r="G17" s="35" t="s">
        <v>318</v>
      </c>
      <c r="H17" s="35" t="s">
        <v>332</v>
      </c>
      <c r="I17" s="37">
        <v>0.76388888888888884</v>
      </c>
      <c r="J17" s="35" t="s">
        <v>287</v>
      </c>
      <c r="K17" s="35" t="s">
        <v>306</v>
      </c>
      <c r="L17" s="35" t="s">
        <v>289</v>
      </c>
    </row>
    <row r="18" spans="1:12" ht="15.75" customHeight="1">
      <c r="A18" s="34">
        <v>13158</v>
      </c>
      <c r="B18" s="35" t="s">
        <v>314</v>
      </c>
      <c r="C18" s="35" t="s">
        <v>284</v>
      </c>
      <c r="D18" s="36">
        <v>42707</v>
      </c>
      <c r="E18" s="35" t="s">
        <v>321</v>
      </c>
      <c r="F18" s="35" t="s">
        <v>14</v>
      </c>
      <c r="G18" s="35" t="s">
        <v>118</v>
      </c>
      <c r="H18" s="35" t="s">
        <v>333</v>
      </c>
      <c r="I18" s="37">
        <v>0.65972222222222221</v>
      </c>
      <c r="J18" s="35" t="s">
        <v>334</v>
      </c>
      <c r="K18" s="35" t="s">
        <v>14</v>
      </c>
      <c r="L18" s="35" t="s">
        <v>14</v>
      </c>
    </row>
    <row r="19" spans="1:12" ht="15.75" customHeight="1">
      <c r="A19" s="34">
        <v>13069</v>
      </c>
      <c r="B19" s="35" t="s">
        <v>314</v>
      </c>
      <c r="C19" s="35" t="s">
        <v>284</v>
      </c>
      <c r="D19" s="36">
        <v>42686</v>
      </c>
      <c r="E19" s="35" t="s">
        <v>326</v>
      </c>
      <c r="F19" s="35" t="s">
        <v>14</v>
      </c>
      <c r="G19" s="35" t="s">
        <v>118</v>
      </c>
      <c r="H19" s="35" t="s">
        <v>335</v>
      </c>
      <c r="I19" s="37">
        <v>0.78472222222222221</v>
      </c>
      <c r="J19" s="35" t="s">
        <v>336</v>
      </c>
      <c r="K19" s="35" t="s">
        <v>14</v>
      </c>
      <c r="L19" s="35" t="s">
        <v>14</v>
      </c>
    </row>
    <row r="20" spans="1:12" ht="15.75" customHeight="1">
      <c r="A20" s="34">
        <v>12910</v>
      </c>
      <c r="B20" s="35" t="s">
        <v>314</v>
      </c>
      <c r="C20" s="35" t="s">
        <v>284</v>
      </c>
      <c r="D20" s="36">
        <v>42784</v>
      </c>
      <c r="E20" s="35" t="s">
        <v>118</v>
      </c>
      <c r="F20" s="35" t="s">
        <v>14</v>
      </c>
      <c r="G20" s="35" t="s">
        <v>329</v>
      </c>
      <c r="H20" s="35" t="s">
        <v>337</v>
      </c>
      <c r="I20" s="37">
        <v>0.75</v>
      </c>
      <c r="J20" s="35" t="s">
        <v>287</v>
      </c>
      <c r="K20" s="35" t="s">
        <v>338</v>
      </c>
      <c r="L20" s="35" t="s">
        <v>289</v>
      </c>
    </row>
    <row r="21" spans="1:12" ht="15.75" customHeight="1">
      <c r="A21" s="34">
        <v>12570</v>
      </c>
      <c r="B21" s="35" t="s">
        <v>314</v>
      </c>
      <c r="C21" s="35" t="s">
        <v>284</v>
      </c>
      <c r="D21" s="36">
        <v>42756</v>
      </c>
      <c r="E21" s="35" t="s">
        <v>339</v>
      </c>
      <c r="F21" s="35" t="s">
        <v>14</v>
      </c>
      <c r="G21" s="35" t="s">
        <v>118</v>
      </c>
      <c r="H21" s="35" t="s">
        <v>340</v>
      </c>
      <c r="I21" s="37">
        <v>0.85416666666666663</v>
      </c>
      <c r="J21" s="35" t="s">
        <v>341</v>
      </c>
      <c r="K21" s="35" t="s">
        <v>14</v>
      </c>
      <c r="L21" s="35" t="s">
        <v>14</v>
      </c>
    </row>
    <row r="22" spans="1:12" ht="15.75" customHeight="1">
      <c r="A22" s="34">
        <v>12418</v>
      </c>
      <c r="B22" s="35" t="s">
        <v>314</v>
      </c>
      <c r="C22" s="35" t="s">
        <v>284</v>
      </c>
      <c r="D22" s="36">
        <v>42742</v>
      </c>
      <c r="E22" s="35" t="s">
        <v>118</v>
      </c>
      <c r="F22" s="35" t="s">
        <v>14</v>
      </c>
      <c r="G22" s="35" t="s">
        <v>315</v>
      </c>
      <c r="H22" s="35" t="s">
        <v>342</v>
      </c>
      <c r="I22" s="37">
        <v>0.75</v>
      </c>
      <c r="J22" s="35" t="s">
        <v>287</v>
      </c>
      <c r="K22" s="35" t="s">
        <v>298</v>
      </c>
      <c r="L22" s="35" t="s">
        <v>289</v>
      </c>
    </row>
    <row r="23" spans="1:12" ht="15.75" customHeight="1">
      <c r="A23" s="34">
        <v>12175</v>
      </c>
      <c r="B23" s="35" t="s">
        <v>314</v>
      </c>
      <c r="C23" s="35" t="s">
        <v>284</v>
      </c>
      <c r="D23" s="36">
        <v>42700</v>
      </c>
      <c r="E23" s="35" t="s">
        <v>118</v>
      </c>
      <c r="F23" s="35" t="s">
        <v>14</v>
      </c>
      <c r="G23" s="35" t="s">
        <v>323</v>
      </c>
      <c r="H23" s="35" t="s">
        <v>343</v>
      </c>
      <c r="I23" s="37">
        <v>0.76388888888888884</v>
      </c>
      <c r="J23" s="35" t="s">
        <v>287</v>
      </c>
      <c r="K23" s="35" t="s">
        <v>328</v>
      </c>
      <c r="L23" s="35" t="s">
        <v>289</v>
      </c>
    </row>
    <row r="24" spans="1:12" ht="15.75" customHeight="1">
      <c r="A24" s="34">
        <v>12052</v>
      </c>
      <c r="B24" s="35" t="s">
        <v>314</v>
      </c>
      <c r="C24" s="35" t="s">
        <v>284</v>
      </c>
      <c r="D24" s="36">
        <v>42693</v>
      </c>
      <c r="E24" s="35" t="s">
        <v>118</v>
      </c>
      <c r="F24" s="35" t="s">
        <v>14</v>
      </c>
      <c r="G24" s="35" t="s">
        <v>339</v>
      </c>
      <c r="H24" s="35" t="s">
        <v>344</v>
      </c>
      <c r="I24" s="37">
        <v>0.77083333333333337</v>
      </c>
      <c r="J24" s="35" t="s">
        <v>287</v>
      </c>
      <c r="K24" s="35" t="s">
        <v>288</v>
      </c>
      <c r="L24" s="35" t="s">
        <v>289</v>
      </c>
    </row>
    <row r="25" spans="1:12" ht="15.75" customHeight="1">
      <c r="A25" s="34">
        <v>10263</v>
      </c>
      <c r="B25" s="35" t="s">
        <v>345</v>
      </c>
      <c r="C25" s="35" t="s">
        <v>284</v>
      </c>
      <c r="D25" s="36">
        <v>42686</v>
      </c>
      <c r="E25" s="35" t="s">
        <v>346</v>
      </c>
      <c r="F25" s="35" t="s">
        <v>14</v>
      </c>
      <c r="G25" s="35" t="s">
        <v>347</v>
      </c>
      <c r="H25" s="35" t="s">
        <v>348</v>
      </c>
      <c r="I25" s="37">
        <v>0.375</v>
      </c>
      <c r="J25" s="35" t="s">
        <v>287</v>
      </c>
      <c r="K25" s="35" t="s">
        <v>349</v>
      </c>
      <c r="L25" s="35" t="s">
        <v>350</v>
      </c>
    </row>
    <row r="26" spans="1:12" ht="15.75" customHeight="1">
      <c r="A26" s="34">
        <v>10257</v>
      </c>
      <c r="B26" s="35" t="s">
        <v>345</v>
      </c>
      <c r="C26" s="35" t="s">
        <v>284</v>
      </c>
      <c r="D26" s="36">
        <v>42707</v>
      </c>
      <c r="E26" s="35" t="s">
        <v>347</v>
      </c>
      <c r="F26" s="35" t="s">
        <v>14</v>
      </c>
      <c r="G26" s="35" t="s">
        <v>346</v>
      </c>
      <c r="H26" s="35" t="s">
        <v>351</v>
      </c>
      <c r="I26" s="37">
        <v>0.375</v>
      </c>
      <c r="J26" s="35" t="s">
        <v>352</v>
      </c>
      <c r="K26" s="35" t="s">
        <v>14</v>
      </c>
      <c r="L26" s="35" t="s">
        <v>14</v>
      </c>
    </row>
    <row r="27" spans="1:12" ht="15.75" customHeight="1">
      <c r="A27" s="34">
        <v>10085</v>
      </c>
      <c r="B27" s="35" t="s">
        <v>353</v>
      </c>
      <c r="C27" s="35" t="s">
        <v>284</v>
      </c>
      <c r="D27" s="36">
        <v>42777</v>
      </c>
      <c r="E27" s="35" t="s">
        <v>354</v>
      </c>
      <c r="F27" s="35" t="s">
        <v>14</v>
      </c>
      <c r="G27" s="35" t="s">
        <v>152</v>
      </c>
      <c r="H27" s="35" t="s">
        <v>355</v>
      </c>
      <c r="I27" s="37">
        <v>0.58333333333333337</v>
      </c>
      <c r="J27" s="35" t="s">
        <v>356</v>
      </c>
      <c r="K27" s="35" t="s">
        <v>14</v>
      </c>
      <c r="L27" s="35" t="s">
        <v>14</v>
      </c>
    </row>
    <row r="28" spans="1:12" ht="13.2">
      <c r="A28" s="34">
        <v>10084</v>
      </c>
      <c r="B28" s="35" t="s">
        <v>353</v>
      </c>
      <c r="C28" s="35" t="s">
        <v>284</v>
      </c>
      <c r="D28" s="36">
        <v>42721</v>
      </c>
      <c r="E28" s="35" t="s">
        <v>152</v>
      </c>
      <c r="F28" s="35" t="s">
        <v>14</v>
      </c>
      <c r="G28" s="35" t="s">
        <v>354</v>
      </c>
      <c r="H28" s="35" t="s">
        <v>357</v>
      </c>
      <c r="I28" s="37">
        <v>0.70833333333333337</v>
      </c>
      <c r="J28" s="35" t="s">
        <v>358</v>
      </c>
      <c r="K28" s="35" t="s">
        <v>14</v>
      </c>
      <c r="L28" s="35" t="s">
        <v>14</v>
      </c>
    </row>
    <row r="29" spans="1:12" ht="13.2">
      <c r="A29" s="34">
        <v>10081</v>
      </c>
      <c r="B29" s="35" t="s">
        <v>353</v>
      </c>
      <c r="C29" s="35" t="s">
        <v>284</v>
      </c>
      <c r="D29" s="36">
        <v>42777</v>
      </c>
      <c r="E29" s="35" t="s">
        <v>152</v>
      </c>
      <c r="F29" s="35" t="s">
        <v>14</v>
      </c>
      <c r="G29" s="35" t="s">
        <v>359</v>
      </c>
      <c r="H29" s="35" t="s">
        <v>360</v>
      </c>
      <c r="I29" s="37">
        <v>0.62847222222222221</v>
      </c>
      <c r="J29" s="35" t="s">
        <v>356</v>
      </c>
      <c r="K29" s="35" t="s">
        <v>14</v>
      </c>
      <c r="L29" s="35" t="s">
        <v>14</v>
      </c>
    </row>
    <row r="30" spans="1:12" ht="13.2">
      <c r="A30" s="34">
        <v>10076</v>
      </c>
      <c r="B30" s="35" t="s">
        <v>353</v>
      </c>
      <c r="C30" s="35" t="s">
        <v>284</v>
      </c>
      <c r="D30" s="36">
        <v>42693</v>
      </c>
      <c r="E30" s="35" t="s">
        <v>152</v>
      </c>
      <c r="F30" s="35" t="s">
        <v>14</v>
      </c>
      <c r="G30" s="35" t="s">
        <v>361</v>
      </c>
      <c r="H30" s="35" t="s">
        <v>362</v>
      </c>
      <c r="I30" s="37">
        <v>0.60069444444444442</v>
      </c>
      <c r="J30" s="35" t="s">
        <v>363</v>
      </c>
      <c r="K30" s="35" t="s">
        <v>14</v>
      </c>
      <c r="L30" s="35" t="s">
        <v>14</v>
      </c>
    </row>
    <row r="31" spans="1:12" ht="13.2">
      <c r="A31" s="34">
        <v>10072</v>
      </c>
      <c r="B31" s="35" t="s">
        <v>353</v>
      </c>
      <c r="C31" s="35" t="s">
        <v>284</v>
      </c>
      <c r="D31" s="36">
        <v>42693</v>
      </c>
      <c r="E31" s="35" t="s">
        <v>242</v>
      </c>
      <c r="F31" s="35" t="s">
        <v>14</v>
      </c>
      <c r="G31" s="35" t="s">
        <v>152</v>
      </c>
      <c r="H31" s="35" t="s">
        <v>364</v>
      </c>
      <c r="I31" s="37">
        <v>0.64930555555555558</v>
      </c>
      <c r="J31" s="35" t="s">
        <v>363</v>
      </c>
      <c r="K31" s="35" t="s">
        <v>14</v>
      </c>
      <c r="L31" s="35" t="s">
        <v>14</v>
      </c>
    </row>
    <row r="32" spans="1:12" ht="13.2">
      <c r="A32" s="34">
        <v>10071</v>
      </c>
      <c r="B32" s="35" t="s">
        <v>353</v>
      </c>
      <c r="C32" s="35" t="s">
        <v>284</v>
      </c>
      <c r="D32" s="36">
        <v>42756</v>
      </c>
      <c r="E32" s="35" t="s">
        <v>152</v>
      </c>
      <c r="F32" s="35" t="s">
        <v>14</v>
      </c>
      <c r="G32" s="35" t="s">
        <v>242</v>
      </c>
      <c r="H32" s="35" t="s">
        <v>365</v>
      </c>
      <c r="I32" s="37">
        <v>0.54861111111111116</v>
      </c>
      <c r="J32" s="35" t="s">
        <v>366</v>
      </c>
      <c r="K32" s="35" t="s">
        <v>14</v>
      </c>
      <c r="L32" s="35" t="s">
        <v>14</v>
      </c>
    </row>
    <row r="33" spans="1:12" ht="13.2">
      <c r="A33" s="34">
        <v>10070</v>
      </c>
      <c r="B33" s="35" t="s">
        <v>353</v>
      </c>
      <c r="C33" s="35" t="s">
        <v>284</v>
      </c>
      <c r="D33" s="36">
        <v>42721</v>
      </c>
      <c r="E33" s="35" t="s">
        <v>359</v>
      </c>
      <c r="F33" s="35" t="s">
        <v>14</v>
      </c>
      <c r="G33" s="35" t="s">
        <v>152</v>
      </c>
      <c r="H33" s="35" t="s">
        <v>367</v>
      </c>
      <c r="I33" s="37">
        <v>0.75</v>
      </c>
      <c r="J33" s="35" t="s">
        <v>358</v>
      </c>
      <c r="K33" s="35" t="s">
        <v>14</v>
      </c>
      <c r="L33" s="35" t="s">
        <v>14</v>
      </c>
    </row>
    <row r="34" spans="1:12" ht="13.2">
      <c r="A34" s="34">
        <v>10069</v>
      </c>
      <c r="B34" s="35" t="s">
        <v>353</v>
      </c>
      <c r="C34" s="35" t="s">
        <v>284</v>
      </c>
      <c r="D34" s="36">
        <v>42756</v>
      </c>
      <c r="E34" s="35" t="s">
        <v>361</v>
      </c>
      <c r="F34" s="35" t="s">
        <v>14</v>
      </c>
      <c r="G34" s="35" t="s">
        <v>152</v>
      </c>
      <c r="H34" s="35" t="s">
        <v>368</v>
      </c>
      <c r="I34" s="37">
        <v>0.59722222222222221</v>
      </c>
      <c r="J34" s="35" t="s">
        <v>366</v>
      </c>
      <c r="K34" s="35" t="s">
        <v>14</v>
      </c>
      <c r="L34" s="35" t="s">
        <v>14</v>
      </c>
    </row>
    <row r="35" spans="1:12" ht="13.2">
      <c r="A35" s="34">
        <v>10020</v>
      </c>
      <c r="B35" s="35" t="s">
        <v>369</v>
      </c>
      <c r="C35" s="35" t="s">
        <v>284</v>
      </c>
      <c r="D35" s="36">
        <v>42756</v>
      </c>
      <c r="E35" s="35" t="s">
        <v>370</v>
      </c>
      <c r="F35" s="35" t="s">
        <v>14</v>
      </c>
      <c r="G35" s="35" t="s">
        <v>371</v>
      </c>
      <c r="H35" s="35" t="s">
        <v>372</v>
      </c>
      <c r="I35" s="37">
        <v>0.41666666666666669</v>
      </c>
      <c r="J35" s="35" t="s">
        <v>373</v>
      </c>
      <c r="K35" s="35" t="s">
        <v>374</v>
      </c>
      <c r="L35" s="35" t="s">
        <v>14</v>
      </c>
    </row>
    <row r="36" spans="1:12" ht="13.2">
      <c r="A36" s="34">
        <v>10014</v>
      </c>
      <c r="B36" s="35" t="s">
        <v>369</v>
      </c>
      <c r="C36" s="35" t="s">
        <v>284</v>
      </c>
      <c r="D36" s="36">
        <v>42693</v>
      </c>
      <c r="E36" s="35" t="s">
        <v>371</v>
      </c>
      <c r="F36" s="35" t="s">
        <v>14</v>
      </c>
      <c r="G36" s="35" t="s">
        <v>370</v>
      </c>
      <c r="H36" s="35" t="s">
        <v>375</v>
      </c>
      <c r="I36" s="37">
        <v>0.375</v>
      </c>
      <c r="J36" s="35" t="s">
        <v>376</v>
      </c>
      <c r="K36" s="35" t="s">
        <v>14</v>
      </c>
      <c r="L36" s="35" t="s">
        <v>14</v>
      </c>
    </row>
    <row r="37" spans="1:12" ht="13.2">
      <c r="A37" s="34">
        <v>10012</v>
      </c>
      <c r="B37" s="35" t="s">
        <v>377</v>
      </c>
      <c r="C37" s="35" t="s">
        <v>284</v>
      </c>
      <c r="D37" s="36">
        <v>42805</v>
      </c>
      <c r="E37" s="35" t="s">
        <v>378</v>
      </c>
      <c r="F37" s="35" t="s">
        <v>14</v>
      </c>
      <c r="G37" s="35" t="s">
        <v>379</v>
      </c>
      <c r="H37" s="35" t="s">
        <v>380</v>
      </c>
      <c r="I37" s="37">
        <v>0.47916666666666669</v>
      </c>
      <c r="J37" s="35" t="s">
        <v>381</v>
      </c>
      <c r="K37" s="35" t="s">
        <v>14</v>
      </c>
      <c r="L37" s="35" t="s">
        <v>14</v>
      </c>
    </row>
    <row r="38" spans="1:12" ht="13.2">
      <c r="A38" s="34">
        <v>10011</v>
      </c>
      <c r="B38" s="35" t="s">
        <v>377</v>
      </c>
      <c r="C38" s="35" t="s">
        <v>284</v>
      </c>
      <c r="D38" s="36">
        <v>42784</v>
      </c>
      <c r="E38" s="35" t="s">
        <v>379</v>
      </c>
      <c r="F38" s="35" t="s">
        <v>14</v>
      </c>
      <c r="G38" s="35" t="s">
        <v>382</v>
      </c>
      <c r="H38" s="35" t="s">
        <v>383</v>
      </c>
      <c r="I38" s="37">
        <v>0.41666666666666669</v>
      </c>
      <c r="J38" s="35" t="s">
        <v>287</v>
      </c>
      <c r="K38" s="35" t="s">
        <v>384</v>
      </c>
      <c r="L38" s="35" t="s">
        <v>14</v>
      </c>
    </row>
    <row r="39" spans="1:12" ht="13.2">
      <c r="A39" s="34">
        <v>10010</v>
      </c>
      <c r="B39" s="35" t="s">
        <v>377</v>
      </c>
      <c r="C39" s="35" t="s">
        <v>284</v>
      </c>
      <c r="D39" s="36">
        <v>42777</v>
      </c>
      <c r="E39" s="35" t="s">
        <v>385</v>
      </c>
      <c r="F39" s="35" t="s">
        <v>14</v>
      </c>
      <c r="G39" s="35" t="s">
        <v>379</v>
      </c>
      <c r="H39" s="35" t="s">
        <v>386</v>
      </c>
      <c r="I39" s="37">
        <v>0.375</v>
      </c>
      <c r="J39" s="35" t="s">
        <v>387</v>
      </c>
      <c r="K39" s="35" t="s">
        <v>14</v>
      </c>
      <c r="L39" s="35" t="s">
        <v>14</v>
      </c>
    </row>
    <row r="40" spans="1:12" ht="13.2">
      <c r="A40" s="34">
        <v>10009</v>
      </c>
      <c r="B40" s="35" t="s">
        <v>377</v>
      </c>
      <c r="C40" s="35" t="s">
        <v>284</v>
      </c>
      <c r="D40" s="36">
        <v>42798</v>
      </c>
      <c r="E40" s="35" t="s">
        <v>388</v>
      </c>
      <c r="F40" s="35" t="s">
        <v>14</v>
      </c>
      <c r="G40" s="35" t="s">
        <v>379</v>
      </c>
      <c r="H40" s="35" t="s">
        <v>389</v>
      </c>
      <c r="I40" s="37">
        <v>0.375</v>
      </c>
      <c r="J40" s="35" t="s">
        <v>320</v>
      </c>
      <c r="K40" s="35" t="s">
        <v>14</v>
      </c>
      <c r="L40" s="35" t="s">
        <v>14</v>
      </c>
    </row>
    <row r="41" spans="1:12" ht="13.2">
      <c r="A41" s="34">
        <v>10008</v>
      </c>
      <c r="B41" s="35" t="s">
        <v>377</v>
      </c>
      <c r="C41" s="35" t="s">
        <v>284</v>
      </c>
      <c r="D41" s="36">
        <v>42791</v>
      </c>
      <c r="E41" s="35" t="s">
        <v>390</v>
      </c>
      <c r="F41" s="35" t="s">
        <v>14</v>
      </c>
      <c r="G41" s="35" t="s">
        <v>379</v>
      </c>
      <c r="H41" s="35" t="s">
        <v>391</v>
      </c>
      <c r="I41" s="37">
        <v>0.375</v>
      </c>
      <c r="J41" s="35" t="s">
        <v>295</v>
      </c>
      <c r="K41" s="35" t="s">
        <v>14</v>
      </c>
      <c r="L41" s="35" t="s">
        <v>14</v>
      </c>
    </row>
    <row r="42" spans="1:12" ht="13.2">
      <c r="A42" s="34">
        <v>10007</v>
      </c>
      <c r="B42" s="35" t="s">
        <v>377</v>
      </c>
      <c r="C42" s="35" t="s">
        <v>284</v>
      </c>
      <c r="D42" s="36">
        <v>42812</v>
      </c>
      <c r="E42" s="35" t="s">
        <v>379</v>
      </c>
      <c r="F42" s="35" t="s">
        <v>14</v>
      </c>
      <c r="G42" s="35" t="s">
        <v>392</v>
      </c>
      <c r="H42" s="35" t="s">
        <v>393</v>
      </c>
      <c r="I42" s="37">
        <v>0.41666666666666669</v>
      </c>
      <c r="J42" s="35" t="s">
        <v>287</v>
      </c>
      <c r="K42" s="35" t="s">
        <v>394</v>
      </c>
      <c r="L42" s="35" t="s">
        <v>395</v>
      </c>
    </row>
    <row r="43" spans="1:12" ht="13.2">
      <c r="A43" s="34">
        <v>10006</v>
      </c>
      <c r="B43" s="35" t="s">
        <v>377</v>
      </c>
      <c r="C43" s="35" t="s">
        <v>284</v>
      </c>
      <c r="D43" s="36">
        <v>42742</v>
      </c>
      <c r="E43" s="35" t="s">
        <v>379</v>
      </c>
      <c r="F43" s="35" t="s">
        <v>14</v>
      </c>
      <c r="G43" s="35" t="s">
        <v>378</v>
      </c>
      <c r="H43" s="35" t="s">
        <v>396</v>
      </c>
      <c r="I43" s="37">
        <v>0.375</v>
      </c>
      <c r="J43" s="35" t="s">
        <v>287</v>
      </c>
      <c r="K43" s="35" t="s">
        <v>394</v>
      </c>
      <c r="L43" s="35" t="s">
        <v>14</v>
      </c>
    </row>
    <row r="44" spans="1:12" ht="13.2">
      <c r="A44" s="34">
        <v>10005</v>
      </c>
      <c r="B44" s="35" t="s">
        <v>377</v>
      </c>
      <c r="C44" s="35" t="s">
        <v>284</v>
      </c>
      <c r="D44" s="36">
        <v>42721</v>
      </c>
      <c r="E44" s="35" t="s">
        <v>382</v>
      </c>
      <c r="F44" s="35" t="s">
        <v>14</v>
      </c>
      <c r="G44" s="35" t="s">
        <v>379</v>
      </c>
      <c r="H44" s="35" t="s">
        <v>397</v>
      </c>
      <c r="I44" s="37">
        <v>0.41666666666666669</v>
      </c>
      <c r="J44" s="35" t="s">
        <v>376</v>
      </c>
      <c r="K44" s="35" t="s">
        <v>14</v>
      </c>
      <c r="L44" s="35" t="s">
        <v>14</v>
      </c>
    </row>
    <row r="45" spans="1:12" ht="13.2">
      <c r="A45" s="34">
        <v>10004</v>
      </c>
      <c r="B45" s="35" t="s">
        <v>377</v>
      </c>
      <c r="C45" s="35" t="s">
        <v>284</v>
      </c>
      <c r="D45" s="36">
        <v>42714</v>
      </c>
      <c r="E45" s="35" t="s">
        <v>379</v>
      </c>
      <c r="F45" s="35" t="s">
        <v>14</v>
      </c>
      <c r="G45" s="35" t="s">
        <v>385</v>
      </c>
      <c r="H45" s="35" t="s">
        <v>398</v>
      </c>
      <c r="I45" s="37">
        <v>0.375</v>
      </c>
      <c r="J45" s="35" t="s">
        <v>373</v>
      </c>
      <c r="K45" s="35" t="s">
        <v>394</v>
      </c>
      <c r="L45" s="35" t="s">
        <v>399</v>
      </c>
    </row>
    <row r="46" spans="1:12" ht="13.2">
      <c r="A46" s="34">
        <v>10003</v>
      </c>
      <c r="B46" s="35" t="s">
        <v>377</v>
      </c>
      <c r="C46" s="35" t="s">
        <v>284</v>
      </c>
      <c r="D46" s="36">
        <v>42700</v>
      </c>
      <c r="E46" s="35" t="s">
        <v>379</v>
      </c>
      <c r="F46" s="35" t="s">
        <v>14</v>
      </c>
      <c r="G46" s="35" t="s">
        <v>388</v>
      </c>
      <c r="H46" s="35" t="s">
        <v>400</v>
      </c>
      <c r="I46" s="37">
        <v>0.41319444444444442</v>
      </c>
      <c r="J46" s="35" t="s">
        <v>287</v>
      </c>
      <c r="K46" s="35" t="s">
        <v>394</v>
      </c>
      <c r="L46" s="35" t="s">
        <v>401</v>
      </c>
    </row>
    <row r="47" spans="1:12" ht="13.2">
      <c r="A47" s="34">
        <v>10002</v>
      </c>
      <c r="B47" s="35" t="s">
        <v>377</v>
      </c>
      <c r="C47" s="35" t="s">
        <v>284</v>
      </c>
      <c r="D47" s="36">
        <v>42756</v>
      </c>
      <c r="E47" s="35" t="s">
        <v>379</v>
      </c>
      <c r="F47" s="35" t="s">
        <v>14</v>
      </c>
      <c r="G47" s="35" t="s">
        <v>390</v>
      </c>
      <c r="H47" s="35" t="s">
        <v>402</v>
      </c>
      <c r="I47" s="37">
        <v>0.375</v>
      </c>
      <c r="J47" s="35" t="s">
        <v>287</v>
      </c>
      <c r="K47" s="35" t="s">
        <v>394</v>
      </c>
      <c r="L47" s="35" t="s">
        <v>14</v>
      </c>
    </row>
    <row r="48" spans="1:12" ht="13.2">
      <c r="A48" s="34">
        <v>10001</v>
      </c>
      <c r="B48" s="35" t="s">
        <v>377</v>
      </c>
      <c r="C48" s="35" t="s">
        <v>403</v>
      </c>
      <c r="D48" s="36">
        <v>42773</v>
      </c>
      <c r="E48" s="35" t="s">
        <v>392</v>
      </c>
      <c r="F48" s="35" t="s">
        <v>14</v>
      </c>
      <c r="G48" s="35" t="s">
        <v>379</v>
      </c>
      <c r="H48" s="35" t="s">
        <v>404</v>
      </c>
      <c r="I48" s="37">
        <v>0.77083333333333337</v>
      </c>
      <c r="J48" s="35" t="s">
        <v>405</v>
      </c>
      <c r="K48" s="35" t="s">
        <v>14</v>
      </c>
      <c r="L48" s="35" t="s">
        <v>14</v>
      </c>
    </row>
    <row r="49" spans="1:12" ht="13.2">
      <c r="A49" s="34">
        <v>9999</v>
      </c>
      <c r="B49" s="35" t="s">
        <v>369</v>
      </c>
      <c r="C49" s="35" t="s">
        <v>284</v>
      </c>
      <c r="D49" s="36">
        <v>42784</v>
      </c>
      <c r="E49" s="35" t="s">
        <v>406</v>
      </c>
      <c r="F49" s="35" t="s">
        <v>14</v>
      </c>
      <c r="G49" s="35" t="s">
        <v>370</v>
      </c>
      <c r="H49" s="35" t="s">
        <v>407</v>
      </c>
      <c r="I49" s="37">
        <v>0.375</v>
      </c>
      <c r="J49" s="35" t="s">
        <v>295</v>
      </c>
      <c r="K49" s="35" t="s">
        <v>14</v>
      </c>
      <c r="L49" s="35" t="s">
        <v>14</v>
      </c>
    </row>
    <row r="50" spans="1:12" ht="13.2">
      <c r="A50" s="34">
        <v>9994</v>
      </c>
      <c r="B50" s="35" t="s">
        <v>369</v>
      </c>
      <c r="C50" s="35" t="s">
        <v>284</v>
      </c>
      <c r="D50" s="36">
        <v>42798</v>
      </c>
      <c r="E50" s="35" t="s">
        <v>370</v>
      </c>
      <c r="F50" s="35" t="s">
        <v>14</v>
      </c>
      <c r="G50" s="35" t="s">
        <v>406</v>
      </c>
      <c r="H50" s="35" t="s">
        <v>408</v>
      </c>
      <c r="I50" s="37">
        <v>0.41666666666666669</v>
      </c>
      <c r="J50" s="35" t="s">
        <v>287</v>
      </c>
      <c r="K50" s="35" t="s">
        <v>374</v>
      </c>
      <c r="L50" s="35" t="s">
        <v>350</v>
      </c>
    </row>
    <row r="51" spans="1:12" ht="13.2">
      <c r="A51" s="34">
        <v>9893</v>
      </c>
      <c r="B51" s="35" t="s">
        <v>409</v>
      </c>
      <c r="C51" s="35" t="s">
        <v>284</v>
      </c>
      <c r="D51" s="36">
        <v>42805</v>
      </c>
      <c r="E51" s="35" t="s">
        <v>410</v>
      </c>
      <c r="F51" s="35" t="s">
        <v>14</v>
      </c>
      <c r="G51" s="35" t="s">
        <v>62</v>
      </c>
      <c r="H51" s="35" t="s">
        <v>411</v>
      </c>
      <c r="I51" s="37">
        <v>0.58333333333333337</v>
      </c>
      <c r="J51" s="35" t="s">
        <v>412</v>
      </c>
      <c r="K51" s="35" t="s">
        <v>14</v>
      </c>
      <c r="L51" s="35" t="s">
        <v>14</v>
      </c>
    </row>
    <row r="52" spans="1:12" ht="13.2">
      <c r="A52" s="34">
        <v>9890</v>
      </c>
      <c r="B52" s="35" t="s">
        <v>409</v>
      </c>
      <c r="C52" s="35" t="s">
        <v>284</v>
      </c>
      <c r="D52" s="36">
        <v>42777</v>
      </c>
      <c r="E52" s="35" t="s">
        <v>413</v>
      </c>
      <c r="F52" s="35" t="s">
        <v>14</v>
      </c>
      <c r="G52" s="35" t="s">
        <v>62</v>
      </c>
      <c r="H52" s="35" t="s">
        <v>414</v>
      </c>
      <c r="I52" s="37">
        <v>0.5625</v>
      </c>
      <c r="J52" s="35" t="s">
        <v>405</v>
      </c>
      <c r="K52" s="35" t="s">
        <v>14</v>
      </c>
      <c r="L52" s="35" t="s">
        <v>14</v>
      </c>
    </row>
    <row r="53" spans="1:12" ht="13.2">
      <c r="A53" s="34">
        <v>9889</v>
      </c>
      <c r="B53" s="35" t="s">
        <v>409</v>
      </c>
      <c r="C53" s="35" t="s">
        <v>284</v>
      </c>
      <c r="D53" s="36">
        <v>42770</v>
      </c>
      <c r="E53" s="35" t="s">
        <v>62</v>
      </c>
      <c r="F53" s="35" t="s">
        <v>14</v>
      </c>
      <c r="G53" s="35" t="s">
        <v>415</v>
      </c>
      <c r="H53" s="35" t="s">
        <v>416</v>
      </c>
      <c r="I53" s="37">
        <v>0.58680555555555558</v>
      </c>
      <c r="J53" s="35" t="s">
        <v>287</v>
      </c>
      <c r="K53" s="35" t="s">
        <v>417</v>
      </c>
      <c r="L53" s="35" t="s">
        <v>418</v>
      </c>
    </row>
    <row r="54" spans="1:12" ht="13.2">
      <c r="A54" s="34">
        <v>9886</v>
      </c>
      <c r="B54" s="35" t="s">
        <v>409</v>
      </c>
      <c r="C54" s="35" t="s">
        <v>284</v>
      </c>
      <c r="D54" s="36">
        <v>42763</v>
      </c>
      <c r="E54" s="35" t="s">
        <v>419</v>
      </c>
      <c r="F54" s="35" t="s">
        <v>14</v>
      </c>
      <c r="G54" s="35" t="s">
        <v>62</v>
      </c>
      <c r="H54" s="35" t="s">
        <v>420</v>
      </c>
      <c r="I54" s="37">
        <v>0.80208333333333337</v>
      </c>
      <c r="J54" s="35" t="s">
        <v>295</v>
      </c>
      <c r="K54" s="35" t="s">
        <v>14</v>
      </c>
      <c r="L54" s="35" t="s">
        <v>14</v>
      </c>
    </row>
    <row r="55" spans="1:12" ht="13.2">
      <c r="A55" s="34">
        <v>9883</v>
      </c>
      <c r="B55" s="35" t="s">
        <v>409</v>
      </c>
      <c r="C55" s="35" t="s">
        <v>284</v>
      </c>
      <c r="D55" s="36">
        <v>42749</v>
      </c>
      <c r="E55" s="35" t="s">
        <v>62</v>
      </c>
      <c r="F55" s="35" t="s">
        <v>14</v>
      </c>
      <c r="G55" s="35" t="s">
        <v>421</v>
      </c>
      <c r="H55" s="35" t="s">
        <v>422</v>
      </c>
      <c r="I55" s="37">
        <v>0.79166666666666663</v>
      </c>
      <c r="J55" s="35" t="s">
        <v>305</v>
      </c>
      <c r="K55" s="35" t="s">
        <v>417</v>
      </c>
      <c r="L55" s="35" t="s">
        <v>423</v>
      </c>
    </row>
    <row r="56" spans="1:12" ht="13.2">
      <c r="A56" s="34">
        <v>9879</v>
      </c>
      <c r="B56" s="35" t="s">
        <v>409</v>
      </c>
      <c r="C56" s="35" t="s">
        <v>284</v>
      </c>
      <c r="D56" s="36">
        <v>42714</v>
      </c>
      <c r="E56" s="35" t="s">
        <v>62</v>
      </c>
      <c r="F56" s="35" t="s">
        <v>14</v>
      </c>
      <c r="G56" s="35" t="s">
        <v>413</v>
      </c>
      <c r="H56" s="35" t="s">
        <v>424</v>
      </c>
      <c r="I56" s="37">
        <v>0.66666666666666663</v>
      </c>
      <c r="J56" s="35" t="s">
        <v>287</v>
      </c>
      <c r="K56" s="35" t="s">
        <v>417</v>
      </c>
      <c r="L56" s="35" t="s">
        <v>425</v>
      </c>
    </row>
    <row r="57" spans="1:12" ht="13.2">
      <c r="A57" s="34">
        <v>9878</v>
      </c>
      <c r="B57" s="35" t="s">
        <v>409</v>
      </c>
      <c r="C57" s="35" t="s">
        <v>284</v>
      </c>
      <c r="D57" s="36">
        <v>42707</v>
      </c>
      <c r="E57" s="35" t="s">
        <v>415</v>
      </c>
      <c r="F57" s="35" t="s">
        <v>14</v>
      </c>
      <c r="G57" s="35" t="s">
        <v>62</v>
      </c>
      <c r="H57" s="35" t="s">
        <v>426</v>
      </c>
      <c r="I57" s="37">
        <v>0.52777777777777779</v>
      </c>
      <c r="J57" s="35" t="s">
        <v>334</v>
      </c>
      <c r="K57" s="35" t="s">
        <v>14</v>
      </c>
      <c r="L57" s="35" t="s">
        <v>14</v>
      </c>
    </row>
    <row r="58" spans="1:12" ht="13.2">
      <c r="A58" s="34">
        <v>9876</v>
      </c>
      <c r="B58" s="35" t="s">
        <v>409</v>
      </c>
      <c r="C58" s="35" t="s">
        <v>284</v>
      </c>
      <c r="D58" s="36">
        <v>42686</v>
      </c>
      <c r="E58" s="35" t="s">
        <v>421</v>
      </c>
      <c r="F58" s="35" t="s">
        <v>14</v>
      </c>
      <c r="G58" s="35" t="s">
        <v>62</v>
      </c>
      <c r="H58" s="35" t="s">
        <v>427</v>
      </c>
      <c r="I58" s="37">
        <v>0.63194444444444442</v>
      </c>
      <c r="J58" s="35" t="s">
        <v>358</v>
      </c>
      <c r="K58" s="35" t="s">
        <v>14</v>
      </c>
      <c r="L58" s="35" t="s">
        <v>14</v>
      </c>
    </row>
    <row r="59" spans="1:12" ht="13.2">
      <c r="A59" s="34">
        <v>9867</v>
      </c>
      <c r="B59" s="35" t="s">
        <v>409</v>
      </c>
      <c r="C59" s="35" t="s">
        <v>284</v>
      </c>
      <c r="D59" s="36">
        <v>42798</v>
      </c>
      <c r="E59" s="35" t="s">
        <v>428</v>
      </c>
      <c r="F59" s="35" t="s">
        <v>14</v>
      </c>
      <c r="G59" s="35" t="s">
        <v>62</v>
      </c>
      <c r="H59" s="35" t="s">
        <v>429</v>
      </c>
      <c r="I59" s="37">
        <v>0.58333333333333337</v>
      </c>
      <c r="J59" s="35" t="s">
        <v>430</v>
      </c>
      <c r="K59" s="35" t="s">
        <v>14</v>
      </c>
      <c r="L59" s="35" t="s">
        <v>14</v>
      </c>
    </row>
    <row r="60" spans="1:12" ht="13.2">
      <c r="A60" s="34">
        <v>9864</v>
      </c>
      <c r="B60" s="35" t="s">
        <v>409</v>
      </c>
      <c r="C60" s="35" t="s">
        <v>284</v>
      </c>
      <c r="D60" s="36">
        <v>42742</v>
      </c>
      <c r="E60" s="35" t="s">
        <v>62</v>
      </c>
      <c r="F60" s="35" t="s">
        <v>14</v>
      </c>
      <c r="G60" s="35" t="s">
        <v>410</v>
      </c>
      <c r="H60" s="35" t="s">
        <v>431</v>
      </c>
      <c r="I60" s="37">
        <v>0.54166666666666663</v>
      </c>
      <c r="J60" s="35" t="s">
        <v>305</v>
      </c>
      <c r="K60" s="35" t="s">
        <v>417</v>
      </c>
      <c r="L60" s="35" t="s">
        <v>432</v>
      </c>
    </row>
    <row r="61" spans="1:12" ht="13.2">
      <c r="A61" s="34">
        <v>9858</v>
      </c>
      <c r="B61" s="35" t="s">
        <v>409</v>
      </c>
      <c r="C61" s="35" t="s">
        <v>284</v>
      </c>
      <c r="D61" s="36">
        <v>42700</v>
      </c>
      <c r="E61" s="35" t="s">
        <v>62</v>
      </c>
      <c r="F61" s="35" t="s">
        <v>14</v>
      </c>
      <c r="G61" s="35" t="s">
        <v>419</v>
      </c>
      <c r="H61" s="35" t="s">
        <v>433</v>
      </c>
      <c r="I61" s="37">
        <v>0.61805555555555558</v>
      </c>
      <c r="J61" s="35" t="s">
        <v>287</v>
      </c>
      <c r="K61" s="35" t="s">
        <v>417</v>
      </c>
      <c r="L61" s="35" t="s">
        <v>418</v>
      </c>
    </row>
    <row r="62" spans="1:12" ht="13.2">
      <c r="A62" s="34">
        <v>9856</v>
      </c>
      <c r="B62" s="35" t="s">
        <v>409</v>
      </c>
      <c r="C62" s="35" t="s">
        <v>284</v>
      </c>
      <c r="D62" s="36">
        <v>42693</v>
      </c>
      <c r="E62" s="35" t="s">
        <v>62</v>
      </c>
      <c r="F62" s="35" t="s">
        <v>14</v>
      </c>
      <c r="G62" s="35" t="s">
        <v>428</v>
      </c>
      <c r="H62" s="35" t="s">
        <v>434</v>
      </c>
      <c r="I62" s="37">
        <v>0.57638888888888884</v>
      </c>
      <c r="J62" s="35" t="s">
        <v>287</v>
      </c>
      <c r="K62" s="35" t="s">
        <v>417</v>
      </c>
      <c r="L62" s="35" t="s">
        <v>423</v>
      </c>
    </row>
    <row r="63" spans="1:12" ht="13.2">
      <c r="A63" s="34">
        <v>9623</v>
      </c>
      <c r="B63" s="35" t="s">
        <v>435</v>
      </c>
      <c r="C63" s="35" t="s">
        <v>284</v>
      </c>
      <c r="D63" s="36">
        <v>42742</v>
      </c>
      <c r="E63" s="35" t="s">
        <v>436</v>
      </c>
      <c r="F63" s="35" t="s">
        <v>14</v>
      </c>
      <c r="G63" s="35" t="s">
        <v>47</v>
      </c>
      <c r="H63" s="35" t="s">
        <v>437</v>
      </c>
      <c r="I63" s="37">
        <v>0.45833333333333331</v>
      </c>
      <c r="J63" s="35" t="s">
        <v>438</v>
      </c>
      <c r="K63" s="35" t="s">
        <v>14</v>
      </c>
      <c r="L63" s="35" t="s">
        <v>14</v>
      </c>
    </row>
    <row r="64" spans="1:12" ht="13.2">
      <c r="A64" s="34">
        <v>9620</v>
      </c>
      <c r="B64" s="35" t="s">
        <v>435</v>
      </c>
      <c r="C64" s="35" t="s">
        <v>284</v>
      </c>
      <c r="D64" s="36">
        <v>42777</v>
      </c>
      <c r="E64" s="35" t="s">
        <v>439</v>
      </c>
      <c r="F64" s="35" t="s">
        <v>14</v>
      </c>
      <c r="G64" s="35" t="s">
        <v>47</v>
      </c>
      <c r="H64" s="35" t="s">
        <v>440</v>
      </c>
      <c r="I64" s="37">
        <v>0.5</v>
      </c>
      <c r="J64" s="35" t="s">
        <v>441</v>
      </c>
      <c r="K64" s="35" t="s">
        <v>14</v>
      </c>
      <c r="L64" s="35" t="s">
        <v>14</v>
      </c>
    </row>
    <row r="65" spans="1:12" ht="13.2">
      <c r="A65" s="34">
        <v>9619</v>
      </c>
      <c r="B65" s="35" t="s">
        <v>435</v>
      </c>
      <c r="C65" s="35" t="s">
        <v>284</v>
      </c>
      <c r="D65" s="36">
        <v>42686</v>
      </c>
      <c r="E65" s="35" t="s">
        <v>47</v>
      </c>
      <c r="F65" s="35" t="s">
        <v>14</v>
      </c>
      <c r="G65" s="35" t="s">
        <v>442</v>
      </c>
      <c r="H65" s="35" t="s">
        <v>443</v>
      </c>
      <c r="I65" s="37">
        <v>0.64583333333333337</v>
      </c>
      <c r="J65" s="35" t="s">
        <v>305</v>
      </c>
      <c r="K65" s="35" t="s">
        <v>444</v>
      </c>
      <c r="L65" s="35" t="s">
        <v>445</v>
      </c>
    </row>
    <row r="66" spans="1:12" ht="13.2">
      <c r="A66" s="34">
        <v>9616</v>
      </c>
      <c r="B66" s="35" t="s">
        <v>435</v>
      </c>
      <c r="C66" s="35" t="s">
        <v>284</v>
      </c>
      <c r="D66" s="36">
        <v>42693</v>
      </c>
      <c r="E66" s="35" t="s">
        <v>446</v>
      </c>
      <c r="F66" s="35" t="s">
        <v>14</v>
      </c>
      <c r="G66" s="35" t="s">
        <v>47</v>
      </c>
      <c r="H66" s="35" t="s">
        <v>447</v>
      </c>
      <c r="I66" s="37">
        <v>0.39583333333333331</v>
      </c>
      <c r="J66" s="35" t="s">
        <v>448</v>
      </c>
      <c r="K66" s="35" t="s">
        <v>14</v>
      </c>
      <c r="L66" s="35" t="s">
        <v>14</v>
      </c>
    </row>
    <row r="67" spans="1:12" ht="13.2">
      <c r="A67" s="34">
        <v>9611</v>
      </c>
      <c r="B67" s="35" t="s">
        <v>435</v>
      </c>
      <c r="C67" s="35" t="s">
        <v>284</v>
      </c>
      <c r="D67" s="36">
        <v>42721</v>
      </c>
      <c r="E67" s="35" t="s">
        <v>449</v>
      </c>
      <c r="F67" s="35" t="s">
        <v>14</v>
      </c>
      <c r="G67" s="35" t="s">
        <v>47</v>
      </c>
      <c r="H67" s="35" t="s">
        <v>450</v>
      </c>
      <c r="I67" s="37">
        <v>0.54166666666666663</v>
      </c>
      <c r="J67" s="35" t="s">
        <v>451</v>
      </c>
      <c r="K67" s="35" t="s">
        <v>14</v>
      </c>
      <c r="L67" s="35" t="s">
        <v>14</v>
      </c>
    </row>
    <row r="68" spans="1:12" ht="13.2">
      <c r="A68" s="34">
        <v>9609</v>
      </c>
      <c r="B68" s="35" t="s">
        <v>435</v>
      </c>
      <c r="C68" s="35" t="s">
        <v>284</v>
      </c>
      <c r="D68" s="36">
        <v>42714</v>
      </c>
      <c r="E68" s="35" t="s">
        <v>47</v>
      </c>
      <c r="F68" s="35" t="s">
        <v>14</v>
      </c>
      <c r="G68" s="35" t="s">
        <v>439</v>
      </c>
      <c r="H68" s="35" t="s">
        <v>452</v>
      </c>
      <c r="I68" s="37">
        <v>0.625</v>
      </c>
      <c r="J68" s="35" t="s">
        <v>287</v>
      </c>
      <c r="K68" s="35" t="s">
        <v>444</v>
      </c>
      <c r="L68" s="35" t="s">
        <v>445</v>
      </c>
    </row>
    <row r="69" spans="1:12" ht="13.2">
      <c r="A69" s="34">
        <v>9607</v>
      </c>
      <c r="B69" s="35" t="s">
        <v>435</v>
      </c>
      <c r="C69" s="35" t="s">
        <v>284</v>
      </c>
      <c r="D69" s="36">
        <v>42770</v>
      </c>
      <c r="E69" s="35" t="s">
        <v>442</v>
      </c>
      <c r="F69" s="35" t="s">
        <v>14</v>
      </c>
      <c r="G69" s="35" t="s">
        <v>47</v>
      </c>
      <c r="H69" s="35" t="s">
        <v>453</v>
      </c>
      <c r="I69" s="37">
        <v>0.58333333333333337</v>
      </c>
      <c r="J69" s="35" t="s">
        <v>454</v>
      </c>
      <c r="K69" s="35" t="s">
        <v>14</v>
      </c>
      <c r="L69" s="35" t="s">
        <v>14</v>
      </c>
    </row>
    <row r="70" spans="1:12" ht="13.2">
      <c r="A70" s="34">
        <v>9603</v>
      </c>
      <c r="B70" s="35" t="s">
        <v>435</v>
      </c>
      <c r="C70" s="35" t="s">
        <v>284</v>
      </c>
      <c r="D70" s="36">
        <v>42784</v>
      </c>
      <c r="E70" s="35" t="s">
        <v>47</v>
      </c>
      <c r="F70" s="35" t="s">
        <v>14</v>
      </c>
      <c r="G70" s="35" t="s">
        <v>449</v>
      </c>
      <c r="H70" s="35" t="s">
        <v>455</v>
      </c>
      <c r="I70" s="37">
        <v>0.5</v>
      </c>
      <c r="J70" s="35" t="s">
        <v>305</v>
      </c>
      <c r="K70" s="35" t="s">
        <v>444</v>
      </c>
      <c r="L70" s="35" t="s">
        <v>456</v>
      </c>
    </row>
    <row r="71" spans="1:12" ht="13.2">
      <c r="A71" s="34">
        <v>9597</v>
      </c>
      <c r="B71" s="35" t="s">
        <v>435</v>
      </c>
      <c r="C71" s="35" t="s">
        <v>284</v>
      </c>
      <c r="D71" s="36">
        <v>42805</v>
      </c>
      <c r="E71" s="35" t="s">
        <v>457</v>
      </c>
      <c r="F71" s="35" t="s">
        <v>14</v>
      </c>
      <c r="G71" s="35" t="s">
        <v>47</v>
      </c>
      <c r="H71" s="35" t="s">
        <v>458</v>
      </c>
      <c r="I71" s="37">
        <v>0.59722222222222221</v>
      </c>
      <c r="J71" s="35" t="s">
        <v>459</v>
      </c>
      <c r="K71" s="35" t="s">
        <v>14</v>
      </c>
      <c r="L71" s="35" t="s">
        <v>14</v>
      </c>
    </row>
    <row r="72" spans="1:12" ht="13.2">
      <c r="A72" s="34">
        <v>9594</v>
      </c>
      <c r="B72" s="35" t="s">
        <v>435</v>
      </c>
      <c r="C72" s="35" t="s">
        <v>284</v>
      </c>
      <c r="D72" s="36">
        <v>42756</v>
      </c>
      <c r="E72" s="35" t="s">
        <v>47</v>
      </c>
      <c r="F72" s="35" t="s">
        <v>14</v>
      </c>
      <c r="G72" s="35" t="s">
        <v>436</v>
      </c>
      <c r="H72" s="35" t="s">
        <v>460</v>
      </c>
      <c r="I72" s="37">
        <v>0.5</v>
      </c>
      <c r="J72" s="35" t="s">
        <v>287</v>
      </c>
      <c r="K72" s="35" t="s">
        <v>444</v>
      </c>
      <c r="L72" s="35" t="s">
        <v>425</v>
      </c>
    </row>
    <row r="73" spans="1:12" ht="13.2">
      <c r="A73" s="34">
        <v>9590</v>
      </c>
      <c r="B73" s="35" t="s">
        <v>435</v>
      </c>
      <c r="C73" s="35" t="s">
        <v>284</v>
      </c>
      <c r="D73" s="36">
        <v>42700</v>
      </c>
      <c r="E73" s="35" t="s">
        <v>47</v>
      </c>
      <c r="F73" s="35" t="s">
        <v>14</v>
      </c>
      <c r="G73" s="35" t="s">
        <v>446</v>
      </c>
      <c r="H73" s="35" t="s">
        <v>461</v>
      </c>
      <c r="I73" s="37">
        <v>0.57638888888888884</v>
      </c>
      <c r="J73" s="35" t="s">
        <v>287</v>
      </c>
      <c r="K73" s="35" t="s">
        <v>444</v>
      </c>
      <c r="L73" s="35" t="s">
        <v>425</v>
      </c>
    </row>
    <row r="74" spans="1:12" ht="13.2">
      <c r="A74" s="34">
        <v>9587</v>
      </c>
      <c r="B74" s="35" t="s">
        <v>435</v>
      </c>
      <c r="C74" s="35" t="s">
        <v>284</v>
      </c>
      <c r="D74" s="36">
        <v>42812</v>
      </c>
      <c r="E74" s="35" t="s">
        <v>47</v>
      </c>
      <c r="F74" s="35" t="s">
        <v>14</v>
      </c>
      <c r="G74" s="35" t="s">
        <v>457</v>
      </c>
      <c r="H74" s="35" t="s">
        <v>462</v>
      </c>
      <c r="I74" s="37">
        <v>0.54166666666666663</v>
      </c>
      <c r="J74" s="35" t="s">
        <v>287</v>
      </c>
      <c r="K74" s="35" t="s">
        <v>444</v>
      </c>
      <c r="L74" s="35" t="s">
        <v>425</v>
      </c>
    </row>
    <row r="75" spans="1:12" ht="13.2">
      <c r="A75" s="34">
        <v>9580</v>
      </c>
      <c r="B75" s="35" t="s">
        <v>463</v>
      </c>
      <c r="C75" s="35" t="s">
        <v>284</v>
      </c>
      <c r="D75" s="36">
        <v>42805</v>
      </c>
      <c r="E75" s="35" t="s">
        <v>464</v>
      </c>
      <c r="F75" s="35" t="s">
        <v>14</v>
      </c>
      <c r="G75" s="35" t="s">
        <v>465</v>
      </c>
      <c r="H75" s="35" t="s">
        <v>466</v>
      </c>
      <c r="I75" s="37">
        <v>0.54166666666666663</v>
      </c>
      <c r="J75" s="35" t="s">
        <v>467</v>
      </c>
      <c r="K75" s="35" t="s">
        <v>14</v>
      </c>
      <c r="L75" s="35" t="s">
        <v>14</v>
      </c>
    </row>
    <row r="76" spans="1:12" ht="13.2">
      <c r="A76" s="34">
        <v>9579</v>
      </c>
      <c r="B76" s="35" t="s">
        <v>468</v>
      </c>
      <c r="C76" s="35" t="s">
        <v>284</v>
      </c>
      <c r="D76" s="36">
        <v>42805</v>
      </c>
      <c r="E76" s="38" t="s">
        <v>469</v>
      </c>
      <c r="F76" s="35" t="s">
        <v>14</v>
      </c>
      <c r="G76" s="35" t="s">
        <v>470</v>
      </c>
      <c r="H76" s="38" t="s">
        <v>471</v>
      </c>
      <c r="I76" s="37">
        <v>0.45833333333333331</v>
      </c>
      <c r="J76" s="35" t="s">
        <v>472</v>
      </c>
      <c r="K76" s="35" t="s">
        <v>14</v>
      </c>
      <c r="L76" s="35" t="s">
        <v>14</v>
      </c>
    </row>
    <row r="77" spans="1:12" ht="13.2">
      <c r="A77" s="34">
        <v>9570</v>
      </c>
      <c r="B77" s="35" t="s">
        <v>463</v>
      </c>
      <c r="C77" s="35" t="s">
        <v>284</v>
      </c>
      <c r="D77" s="36">
        <v>42777</v>
      </c>
      <c r="E77" s="35" t="s">
        <v>473</v>
      </c>
      <c r="F77" s="35" t="s">
        <v>14</v>
      </c>
      <c r="G77" s="35" t="s">
        <v>465</v>
      </c>
      <c r="H77" s="35" t="s">
        <v>474</v>
      </c>
      <c r="I77" s="37">
        <v>0.54166666666666663</v>
      </c>
      <c r="J77" s="35" t="s">
        <v>387</v>
      </c>
      <c r="K77" s="35" t="s">
        <v>14</v>
      </c>
      <c r="L77" s="35" t="s">
        <v>14</v>
      </c>
    </row>
    <row r="78" spans="1:12" ht="13.2">
      <c r="A78" s="34">
        <v>9569</v>
      </c>
      <c r="B78" s="35" t="s">
        <v>468</v>
      </c>
      <c r="C78" s="35" t="s">
        <v>284</v>
      </c>
      <c r="D78" s="36">
        <v>42777</v>
      </c>
      <c r="E78" s="35" t="s">
        <v>475</v>
      </c>
      <c r="F78" s="35" t="s">
        <v>14</v>
      </c>
      <c r="G78" s="35" t="s">
        <v>470</v>
      </c>
      <c r="H78" s="35" t="s">
        <v>476</v>
      </c>
      <c r="I78" s="37">
        <v>0.63541666666666663</v>
      </c>
      <c r="J78" s="35" t="s">
        <v>295</v>
      </c>
      <c r="K78" s="35" t="s">
        <v>14</v>
      </c>
      <c r="L78" s="35" t="s">
        <v>14</v>
      </c>
    </row>
    <row r="79" spans="1:12" ht="13.2">
      <c r="A79" s="34">
        <v>9567</v>
      </c>
      <c r="B79" s="35" t="s">
        <v>463</v>
      </c>
      <c r="C79" s="35" t="s">
        <v>284</v>
      </c>
      <c r="D79" s="36">
        <v>42770</v>
      </c>
      <c r="E79" s="35" t="s">
        <v>465</v>
      </c>
      <c r="F79" s="35" t="s">
        <v>14</v>
      </c>
      <c r="G79" s="35" t="s">
        <v>477</v>
      </c>
      <c r="H79" s="35" t="s">
        <v>478</v>
      </c>
      <c r="I79" s="37">
        <v>0.54166666666666663</v>
      </c>
      <c r="J79" s="35" t="s">
        <v>287</v>
      </c>
      <c r="K79" s="35" t="s">
        <v>479</v>
      </c>
      <c r="L79" s="35" t="s">
        <v>456</v>
      </c>
    </row>
    <row r="80" spans="1:12" ht="13.2">
      <c r="A80" s="34">
        <v>9566</v>
      </c>
      <c r="B80" s="35" t="s">
        <v>468</v>
      </c>
      <c r="C80" s="35" t="s">
        <v>284</v>
      </c>
      <c r="D80" s="36">
        <v>42812</v>
      </c>
      <c r="E80" s="35" t="s">
        <v>470</v>
      </c>
      <c r="F80" s="35" t="s">
        <v>14</v>
      </c>
      <c r="G80" s="35" t="s">
        <v>480</v>
      </c>
      <c r="H80" s="35" t="s">
        <v>481</v>
      </c>
      <c r="I80" s="37">
        <v>0.5</v>
      </c>
      <c r="J80" s="35" t="s">
        <v>287</v>
      </c>
      <c r="K80" s="35" t="s">
        <v>482</v>
      </c>
      <c r="L80" s="35" t="s">
        <v>445</v>
      </c>
    </row>
    <row r="81" spans="1:12" ht="13.2">
      <c r="A81" s="34">
        <v>9555</v>
      </c>
      <c r="B81" s="35" t="s">
        <v>463</v>
      </c>
      <c r="C81" s="35" t="s">
        <v>284</v>
      </c>
      <c r="D81" s="36">
        <v>42763</v>
      </c>
      <c r="E81" s="35" t="s">
        <v>483</v>
      </c>
      <c r="F81" s="35" t="s">
        <v>14</v>
      </c>
      <c r="G81" s="35" t="s">
        <v>465</v>
      </c>
      <c r="H81" s="35" t="s">
        <v>484</v>
      </c>
      <c r="I81" s="37">
        <v>0.71527777777777779</v>
      </c>
      <c r="J81" s="35" t="s">
        <v>295</v>
      </c>
      <c r="K81" s="35" t="s">
        <v>14</v>
      </c>
      <c r="L81" s="35" t="s">
        <v>14</v>
      </c>
    </row>
    <row r="82" spans="1:12" ht="13.2">
      <c r="A82" s="34">
        <v>9554</v>
      </c>
      <c r="B82" s="35" t="s">
        <v>468</v>
      </c>
      <c r="C82" s="35" t="s">
        <v>284</v>
      </c>
      <c r="D82" s="36">
        <v>42763</v>
      </c>
      <c r="E82" s="35" t="s">
        <v>485</v>
      </c>
      <c r="F82" s="35" t="s">
        <v>14</v>
      </c>
      <c r="G82" s="35" t="s">
        <v>470</v>
      </c>
      <c r="H82" s="35" t="s">
        <v>486</v>
      </c>
      <c r="I82" s="37">
        <v>0.63194444444444442</v>
      </c>
      <c r="J82" s="35" t="s">
        <v>358</v>
      </c>
      <c r="K82" s="35" t="s">
        <v>14</v>
      </c>
      <c r="L82" s="35" t="s">
        <v>14</v>
      </c>
    </row>
    <row r="83" spans="1:12" ht="13.2">
      <c r="A83" s="34">
        <v>9545</v>
      </c>
      <c r="B83" s="35" t="s">
        <v>463</v>
      </c>
      <c r="C83" s="35" t="s">
        <v>284</v>
      </c>
      <c r="D83" s="36">
        <v>42749</v>
      </c>
      <c r="E83" s="35" t="s">
        <v>465</v>
      </c>
      <c r="F83" s="35" t="s">
        <v>14</v>
      </c>
      <c r="G83" s="35" t="s">
        <v>487</v>
      </c>
      <c r="H83" s="35" t="s">
        <v>488</v>
      </c>
      <c r="I83" s="37">
        <v>0.75</v>
      </c>
      <c r="J83" s="35" t="s">
        <v>373</v>
      </c>
      <c r="K83" s="35" t="s">
        <v>479</v>
      </c>
      <c r="L83" s="35" t="s">
        <v>14</v>
      </c>
    </row>
    <row r="84" spans="1:12" ht="13.2">
      <c r="A84" s="34">
        <v>9544</v>
      </c>
      <c r="B84" s="35" t="s">
        <v>468</v>
      </c>
      <c r="C84" s="35" t="s">
        <v>284</v>
      </c>
      <c r="D84" s="36">
        <v>42749</v>
      </c>
      <c r="E84" s="35" t="s">
        <v>470</v>
      </c>
      <c r="F84" s="35" t="s">
        <v>14</v>
      </c>
      <c r="G84" s="35" t="s">
        <v>489</v>
      </c>
      <c r="H84" s="35" t="s">
        <v>490</v>
      </c>
      <c r="I84" s="37">
        <v>0.75</v>
      </c>
      <c r="J84" s="35" t="s">
        <v>305</v>
      </c>
      <c r="K84" s="35" t="s">
        <v>482</v>
      </c>
      <c r="L84" s="35" t="s">
        <v>14</v>
      </c>
    </row>
    <row r="85" spans="1:12" ht="13.2">
      <c r="A85" s="34">
        <v>9528</v>
      </c>
      <c r="B85" s="35" t="s">
        <v>463</v>
      </c>
      <c r="C85" s="35" t="s">
        <v>284</v>
      </c>
      <c r="D85" s="36">
        <v>42714</v>
      </c>
      <c r="E85" s="35" t="s">
        <v>465</v>
      </c>
      <c r="F85" s="35" t="s">
        <v>14</v>
      </c>
      <c r="G85" s="35" t="s">
        <v>473</v>
      </c>
      <c r="H85" s="35" t="s">
        <v>491</v>
      </c>
      <c r="I85" s="37">
        <v>0.58333333333333337</v>
      </c>
      <c r="J85" s="35" t="s">
        <v>287</v>
      </c>
      <c r="K85" s="35" t="s">
        <v>479</v>
      </c>
      <c r="L85" s="35" t="s">
        <v>456</v>
      </c>
    </row>
    <row r="86" spans="1:12" ht="13.2">
      <c r="A86" s="34">
        <v>9527</v>
      </c>
      <c r="B86" s="35" t="s">
        <v>468</v>
      </c>
      <c r="C86" s="35" t="s">
        <v>284</v>
      </c>
      <c r="D86" s="36">
        <v>42714</v>
      </c>
      <c r="E86" s="35" t="s">
        <v>470</v>
      </c>
      <c r="F86" s="35" t="s">
        <v>14</v>
      </c>
      <c r="G86" s="35" t="s">
        <v>475</v>
      </c>
      <c r="H86" s="35" t="s">
        <v>492</v>
      </c>
      <c r="I86" s="37">
        <v>0.54166666666666663</v>
      </c>
      <c r="J86" s="35" t="s">
        <v>287</v>
      </c>
      <c r="K86" s="35" t="s">
        <v>482</v>
      </c>
      <c r="L86" s="35" t="s">
        <v>493</v>
      </c>
    </row>
    <row r="87" spans="1:12" ht="13.2">
      <c r="A87" s="34">
        <v>9524</v>
      </c>
      <c r="B87" s="35" t="s">
        <v>468</v>
      </c>
      <c r="C87" s="35" t="s">
        <v>284</v>
      </c>
      <c r="D87" s="36">
        <v>42707</v>
      </c>
      <c r="E87" s="35" t="s">
        <v>480</v>
      </c>
      <c r="F87" s="35" t="s">
        <v>14</v>
      </c>
      <c r="G87" s="35" t="s">
        <v>470</v>
      </c>
      <c r="H87" s="35" t="s">
        <v>494</v>
      </c>
      <c r="I87" s="37">
        <v>0.5</v>
      </c>
      <c r="J87" s="35" t="s">
        <v>376</v>
      </c>
      <c r="K87" s="35" t="s">
        <v>14</v>
      </c>
      <c r="L87" s="35" t="s">
        <v>14</v>
      </c>
    </row>
    <row r="88" spans="1:12" ht="13.2">
      <c r="A88" s="34">
        <v>9523</v>
      </c>
      <c r="B88" s="35" t="s">
        <v>463</v>
      </c>
      <c r="C88" s="35" t="s">
        <v>284</v>
      </c>
      <c r="D88" s="36">
        <v>42707</v>
      </c>
      <c r="E88" s="35" t="s">
        <v>477</v>
      </c>
      <c r="F88" s="35" t="s">
        <v>14</v>
      </c>
      <c r="G88" s="35" t="s">
        <v>465</v>
      </c>
      <c r="H88" s="35" t="s">
        <v>495</v>
      </c>
      <c r="I88" s="37">
        <v>0.80208333333333337</v>
      </c>
      <c r="J88" s="35" t="s">
        <v>438</v>
      </c>
      <c r="K88" s="35" t="s">
        <v>14</v>
      </c>
      <c r="L88" s="35" t="s">
        <v>14</v>
      </c>
    </row>
    <row r="89" spans="1:12" ht="13.2">
      <c r="A89" s="34">
        <v>9518</v>
      </c>
      <c r="B89" s="35" t="s">
        <v>463</v>
      </c>
      <c r="C89" s="35" t="s">
        <v>284</v>
      </c>
      <c r="D89" s="36">
        <v>42686</v>
      </c>
      <c r="E89" s="35" t="s">
        <v>487</v>
      </c>
      <c r="F89" s="35" t="s">
        <v>14</v>
      </c>
      <c r="G89" s="35" t="s">
        <v>465</v>
      </c>
      <c r="H89" s="35" t="s">
        <v>496</v>
      </c>
      <c r="I89" s="37">
        <v>0.66666666666666663</v>
      </c>
      <c r="J89" s="35" t="s">
        <v>497</v>
      </c>
      <c r="K89" s="35" t="s">
        <v>14</v>
      </c>
      <c r="L89" s="35" t="s">
        <v>14</v>
      </c>
    </row>
    <row r="90" spans="1:12" ht="13.2">
      <c r="A90" s="34">
        <v>9516</v>
      </c>
      <c r="B90" s="35" t="s">
        <v>468</v>
      </c>
      <c r="C90" s="35" t="s">
        <v>284</v>
      </c>
      <c r="D90" s="36">
        <v>42686</v>
      </c>
      <c r="E90" s="35" t="s">
        <v>489</v>
      </c>
      <c r="F90" s="35" t="s">
        <v>14</v>
      </c>
      <c r="G90" s="35" t="s">
        <v>470</v>
      </c>
      <c r="H90" s="35" t="s">
        <v>498</v>
      </c>
      <c r="I90" s="37">
        <v>0.5</v>
      </c>
      <c r="J90" s="35" t="s">
        <v>376</v>
      </c>
      <c r="K90" s="35" t="s">
        <v>14</v>
      </c>
      <c r="L90" s="35" t="s">
        <v>14</v>
      </c>
    </row>
    <row r="91" spans="1:12" ht="13.2">
      <c r="A91" s="34">
        <v>9483</v>
      </c>
      <c r="B91" s="35" t="s">
        <v>468</v>
      </c>
      <c r="C91" s="35" t="s">
        <v>284</v>
      </c>
      <c r="D91" s="36">
        <v>42756</v>
      </c>
      <c r="E91" s="35" t="s">
        <v>499</v>
      </c>
      <c r="F91" s="35" t="s">
        <v>14</v>
      </c>
      <c r="G91" s="35" t="s">
        <v>470</v>
      </c>
      <c r="H91" s="35" t="s">
        <v>500</v>
      </c>
      <c r="I91" s="37">
        <v>0.46527777777777779</v>
      </c>
      <c r="J91" s="35" t="s">
        <v>501</v>
      </c>
      <c r="K91" s="35" t="s">
        <v>14</v>
      </c>
      <c r="L91" s="35" t="s">
        <v>14</v>
      </c>
    </row>
    <row r="92" spans="1:12" ht="13.2">
      <c r="A92" s="34">
        <v>9482</v>
      </c>
      <c r="B92" s="35" t="s">
        <v>463</v>
      </c>
      <c r="C92" s="35" t="s">
        <v>284</v>
      </c>
      <c r="D92" s="36">
        <v>42798</v>
      </c>
      <c r="E92" s="35" t="s">
        <v>502</v>
      </c>
      <c r="F92" s="35" t="s">
        <v>14</v>
      </c>
      <c r="G92" s="35" t="s">
        <v>465</v>
      </c>
      <c r="H92" s="35" t="s">
        <v>503</v>
      </c>
      <c r="I92" s="37">
        <v>0.54166666666666663</v>
      </c>
      <c r="J92" s="35" t="s">
        <v>430</v>
      </c>
      <c r="K92" s="35" t="s">
        <v>14</v>
      </c>
      <c r="L92" s="35" t="s">
        <v>14</v>
      </c>
    </row>
    <row r="93" spans="1:12" ht="13.2">
      <c r="A93" s="34">
        <v>9473</v>
      </c>
      <c r="B93" s="35" t="s">
        <v>463</v>
      </c>
      <c r="C93" s="35" t="s">
        <v>284</v>
      </c>
      <c r="D93" s="36">
        <v>42742</v>
      </c>
      <c r="E93" s="35" t="s">
        <v>465</v>
      </c>
      <c r="F93" s="35" t="s">
        <v>14</v>
      </c>
      <c r="G93" s="35" t="s">
        <v>464</v>
      </c>
      <c r="H93" s="35" t="s">
        <v>504</v>
      </c>
      <c r="I93" s="37">
        <v>0.5</v>
      </c>
      <c r="J93" s="35" t="s">
        <v>305</v>
      </c>
      <c r="K93" s="35" t="s">
        <v>479</v>
      </c>
      <c r="L93" s="35" t="s">
        <v>445</v>
      </c>
    </row>
    <row r="94" spans="1:12" ht="13.2">
      <c r="A94" s="34">
        <v>9472</v>
      </c>
      <c r="B94" s="35" t="s">
        <v>468</v>
      </c>
      <c r="C94" s="35" t="s">
        <v>284</v>
      </c>
      <c r="D94" s="36">
        <v>42742</v>
      </c>
      <c r="E94" s="35" t="s">
        <v>470</v>
      </c>
      <c r="F94" s="35" t="s">
        <v>14</v>
      </c>
      <c r="G94" s="38" t="s">
        <v>469</v>
      </c>
      <c r="H94" s="35" t="s">
        <v>505</v>
      </c>
      <c r="I94" s="37">
        <v>0.5</v>
      </c>
      <c r="J94" s="35" t="s">
        <v>287</v>
      </c>
      <c r="K94" s="35" t="s">
        <v>482</v>
      </c>
      <c r="L94" s="35" t="s">
        <v>506</v>
      </c>
    </row>
    <row r="95" spans="1:12" ht="13.2">
      <c r="A95" s="34">
        <v>9451</v>
      </c>
      <c r="B95" s="35" t="s">
        <v>463</v>
      </c>
      <c r="C95" s="35" t="s">
        <v>284</v>
      </c>
      <c r="D95" s="36">
        <v>42700</v>
      </c>
      <c r="E95" s="35" t="s">
        <v>465</v>
      </c>
      <c r="F95" s="35" t="s">
        <v>14</v>
      </c>
      <c r="G95" s="35" t="s">
        <v>483</v>
      </c>
      <c r="H95" s="35" t="s">
        <v>507</v>
      </c>
      <c r="I95" s="37">
        <v>0.53472222222222221</v>
      </c>
      <c r="J95" s="35" t="s">
        <v>287</v>
      </c>
      <c r="K95" s="35" t="s">
        <v>479</v>
      </c>
      <c r="L95" s="35" t="s">
        <v>423</v>
      </c>
    </row>
    <row r="96" spans="1:12" ht="13.2">
      <c r="A96" s="34">
        <v>9450</v>
      </c>
      <c r="B96" s="35" t="s">
        <v>468</v>
      </c>
      <c r="C96" s="35" t="s">
        <v>284</v>
      </c>
      <c r="D96" s="36">
        <v>42700</v>
      </c>
      <c r="E96" s="35" t="s">
        <v>470</v>
      </c>
      <c r="F96" s="35" t="s">
        <v>14</v>
      </c>
      <c r="G96" s="35" t="s">
        <v>485</v>
      </c>
      <c r="H96" s="35" t="s">
        <v>508</v>
      </c>
      <c r="I96" s="37">
        <v>0.49305555555555558</v>
      </c>
      <c r="J96" s="35" t="s">
        <v>287</v>
      </c>
      <c r="K96" s="35" t="s">
        <v>482</v>
      </c>
      <c r="L96" s="35" t="s">
        <v>506</v>
      </c>
    </row>
    <row r="97" spans="1:12" ht="13.2">
      <c r="A97" s="34">
        <v>9444</v>
      </c>
      <c r="B97" s="35" t="s">
        <v>463</v>
      </c>
      <c r="C97" s="35" t="s">
        <v>284</v>
      </c>
      <c r="D97" s="36">
        <v>42693</v>
      </c>
      <c r="E97" s="35" t="s">
        <v>465</v>
      </c>
      <c r="F97" s="35" t="s">
        <v>14</v>
      </c>
      <c r="G97" s="35" t="s">
        <v>502</v>
      </c>
      <c r="H97" s="35" t="s">
        <v>509</v>
      </c>
      <c r="I97" s="37">
        <v>0.53472222222222221</v>
      </c>
      <c r="J97" s="35" t="s">
        <v>287</v>
      </c>
      <c r="K97" s="35" t="s">
        <v>479</v>
      </c>
      <c r="L97" s="35" t="s">
        <v>506</v>
      </c>
    </row>
    <row r="98" spans="1:12" ht="13.2">
      <c r="A98" s="34">
        <v>9443</v>
      </c>
      <c r="B98" s="35" t="s">
        <v>468</v>
      </c>
      <c r="C98" s="35" t="s">
        <v>284</v>
      </c>
      <c r="D98" s="36">
        <v>42693</v>
      </c>
      <c r="E98" s="35" t="s">
        <v>470</v>
      </c>
      <c r="F98" s="35" t="s">
        <v>14</v>
      </c>
      <c r="G98" s="35" t="s">
        <v>499</v>
      </c>
      <c r="H98" s="35" t="s">
        <v>510</v>
      </c>
      <c r="I98" s="37">
        <v>0.45833333333333331</v>
      </c>
      <c r="J98" s="35" t="s">
        <v>373</v>
      </c>
      <c r="K98" s="35" t="s">
        <v>482</v>
      </c>
      <c r="L98" s="35" t="s">
        <v>301</v>
      </c>
    </row>
    <row r="99" spans="1:12" ht="13.2">
      <c r="A99" s="34">
        <v>9097</v>
      </c>
      <c r="B99" s="35" t="s">
        <v>511</v>
      </c>
      <c r="C99" s="35" t="s">
        <v>284</v>
      </c>
      <c r="D99" s="36">
        <v>42777</v>
      </c>
      <c r="E99" s="35" t="s">
        <v>512</v>
      </c>
      <c r="F99" s="35" t="s">
        <v>14</v>
      </c>
      <c r="G99" s="35" t="s">
        <v>57</v>
      </c>
      <c r="H99" s="35" t="s">
        <v>513</v>
      </c>
      <c r="I99" s="37">
        <v>0.625</v>
      </c>
      <c r="J99" s="35" t="s">
        <v>514</v>
      </c>
      <c r="K99" s="35" t="s">
        <v>14</v>
      </c>
      <c r="L99" s="35" t="s">
        <v>14</v>
      </c>
    </row>
    <row r="100" spans="1:12" ht="13.2">
      <c r="A100" s="34">
        <v>9096</v>
      </c>
      <c r="B100" s="35" t="s">
        <v>511</v>
      </c>
      <c r="C100" s="35" t="s">
        <v>284</v>
      </c>
      <c r="D100" s="36">
        <v>42770</v>
      </c>
      <c r="E100" s="35" t="s">
        <v>57</v>
      </c>
      <c r="F100" s="35" t="s">
        <v>14</v>
      </c>
      <c r="G100" s="35" t="s">
        <v>515</v>
      </c>
      <c r="H100" s="35" t="s">
        <v>516</v>
      </c>
      <c r="I100" s="37">
        <v>0.5</v>
      </c>
      <c r="J100" s="35" t="s">
        <v>287</v>
      </c>
      <c r="K100" s="35" t="s">
        <v>517</v>
      </c>
      <c r="L100" s="35" t="s">
        <v>423</v>
      </c>
    </row>
    <row r="101" spans="1:12" ht="13.2">
      <c r="A101" s="34">
        <v>9093</v>
      </c>
      <c r="B101" s="35" t="s">
        <v>511</v>
      </c>
      <c r="C101" s="35" t="s">
        <v>284</v>
      </c>
      <c r="D101" s="36">
        <v>42763</v>
      </c>
      <c r="E101" s="35" t="s">
        <v>518</v>
      </c>
      <c r="F101" s="35" t="s">
        <v>14</v>
      </c>
      <c r="G101" s="35" t="s">
        <v>57</v>
      </c>
      <c r="H101" s="35" t="s">
        <v>519</v>
      </c>
      <c r="I101" s="37">
        <v>0.72916666666666663</v>
      </c>
      <c r="J101" s="35" t="s">
        <v>520</v>
      </c>
      <c r="K101" s="35" t="s">
        <v>14</v>
      </c>
      <c r="L101" s="35" t="s">
        <v>14</v>
      </c>
    </row>
    <row r="102" spans="1:12" ht="13.2">
      <c r="A102" s="34">
        <v>9090</v>
      </c>
      <c r="B102" s="35" t="s">
        <v>511</v>
      </c>
      <c r="C102" s="35" t="s">
        <v>284</v>
      </c>
      <c r="D102" s="36">
        <v>42791</v>
      </c>
      <c r="E102" s="35" t="s">
        <v>57</v>
      </c>
      <c r="F102" s="35" t="s">
        <v>14</v>
      </c>
      <c r="G102" s="35" t="s">
        <v>521</v>
      </c>
      <c r="H102" s="35" t="s">
        <v>522</v>
      </c>
      <c r="I102" s="37">
        <v>0.5</v>
      </c>
      <c r="J102" s="35" t="s">
        <v>287</v>
      </c>
      <c r="K102" s="35" t="s">
        <v>517</v>
      </c>
      <c r="L102" s="35" t="s">
        <v>506</v>
      </c>
    </row>
    <row r="103" spans="1:12" ht="13.2">
      <c r="A103" s="34">
        <v>9086</v>
      </c>
      <c r="B103" s="35" t="s">
        <v>511</v>
      </c>
      <c r="C103" s="35" t="s">
        <v>284</v>
      </c>
      <c r="D103" s="36">
        <v>42721</v>
      </c>
      <c r="E103" s="35" t="s">
        <v>523</v>
      </c>
      <c r="F103" s="35" t="s">
        <v>14</v>
      </c>
      <c r="G103" s="35" t="s">
        <v>57</v>
      </c>
      <c r="H103" s="35" t="s">
        <v>524</v>
      </c>
      <c r="I103" s="37">
        <v>0.41666666666666669</v>
      </c>
      <c r="J103" s="35" t="s">
        <v>525</v>
      </c>
      <c r="K103" s="35" t="s">
        <v>14</v>
      </c>
      <c r="L103" s="35" t="s">
        <v>14</v>
      </c>
    </row>
    <row r="104" spans="1:12" ht="13.2">
      <c r="A104" s="34">
        <v>9084</v>
      </c>
      <c r="B104" s="35" t="s">
        <v>511</v>
      </c>
      <c r="C104" s="35" t="s">
        <v>284</v>
      </c>
      <c r="D104" s="36">
        <v>42714</v>
      </c>
      <c r="E104" s="35" t="s">
        <v>57</v>
      </c>
      <c r="F104" s="35" t="s">
        <v>14</v>
      </c>
      <c r="G104" s="35" t="s">
        <v>512</v>
      </c>
      <c r="H104" s="35" t="s">
        <v>526</v>
      </c>
      <c r="I104" s="37">
        <v>0.5</v>
      </c>
      <c r="J104" s="35" t="s">
        <v>287</v>
      </c>
      <c r="K104" s="35" t="s">
        <v>517</v>
      </c>
      <c r="L104" s="35" t="s">
        <v>423</v>
      </c>
    </row>
    <row r="105" spans="1:12" ht="13.2">
      <c r="A105" s="34">
        <v>9083</v>
      </c>
      <c r="B105" s="35" t="s">
        <v>511</v>
      </c>
      <c r="C105" s="35" t="s">
        <v>284</v>
      </c>
      <c r="D105" s="36">
        <v>42700</v>
      </c>
      <c r="E105" s="35" t="s">
        <v>515</v>
      </c>
      <c r="F105" s="35" t="s">
        <v>14</v>
      </c>
      <c r="G105" s="35" t="s">
        <v>57</v>
      </c>
      <c r="H105" s="35" t="s">
        <v>527</v>
      </c>
      <c r="I105" s="37">
        <v>0.59027777777777779</v>
      </c>
      <c r="J105" s="35" t="s">
        <v>528</v>
      </c>
      <c r="K105" s="35" t="s">
        <v>14</v>
      </c>
      <c r="L105" s="35" t="s">
        <v>14</v>
      </c>
    </row>
    <row r="106" spans="1:12" ht="13.2">
      <c r="A106" s="34">
        <v>9081</v>
      </c>
      <c r="B106" s="35" t="s">
        <v>511</v>
      </c>
      <c r="C106" s="35" t="s">
        <v>284</v>
      </c>
      <c r="D106" s="36">
        <v>42742</v>
      </c>
      <c r="E106" s="35" t="s">
        <v>521</v>
      </c>
      <c r="F106" s="35" t="s">
        <v>14</v>
      </c>
      <c r="G106" s="35" t="s">
        <v>57</v>
      </c>
      <c r="H106" s="35" t="s">
        <v>529</v>
      </c>
      <c r="I106" s="37">
        <v>0.61111111111111116</v>
      </c>
      <c r="J106" s="35" t="s">
        <v>530</v>
      </c>
      <c r="K106" s="35" t="s">
        <v>14</v>
      </c>
      <c r="L106" s="35" t="s">
        <v>14</v>
      </c>
    </row>
    <row r="107" spans="1:12" ht="13.2">
      <c r="A107" s="34">
        <v>9078</v>
      </c>
      <c r="B107" s="35" t="s">
        <v>511</v>
      </c>
      <c r="C107" s="35" t="s">
        <v>284</v>
      </c>
      <c r="D107" s="36">
        <v>42784</v>
      </c>
      <c r="E107" s="35" t="s">
        <v>57</v>
      </c>
      <c r="F107" s="35" t="s">
        <v>14</v>
      </c>
      <c r="G107" s="35" t="s">
        <v>523</v>
      </c>
      <c r="H107" s="35" t="s">
        <v>531</v>
      </c>
      <c r="I107" s="37">
        <v>0.54861111111111116</v>
      </c>
      <c r="J107" s="35" t="s">
        <v>287</v>
      </c>
      <c r="K107" s="35" t="s">
        <v>517</v>
      </c>
      <c r="L107" s="35" t="s">
        <v>425</v>
      </c>
    </row>
    <row r="108" spans="1:12" ht="13.2">
      <c r="A108" s="34">
        <v>9072</v>
      </c>
      <c r="B108" s="35" t="s">
        <v>511</v>
      </c>
      <c r="C108" s="35" t="s">
        <v>284</v>
      </c>
      <c r="D108" s="36">
        <v>42798</v>
      </c>
      <c r="E108" s="35" t="s">
        <v>532</v>
      </c>
      <c r="F108" s="35" t="s">
        <v>14</v>
      </c>
      <c r="G108" s="35" t="s">
        <v>57</v>
      </c>
      <c r="H108" s="35" t="s">
        <v>533</v>
      </c>
      <c r="I108" s="37">
        <v>0.54166666666666663</v>
      </c>
      <c r="J108" s="35" t="s">
        <v>352</v>
      </c>
      <c r="K108" s="35" t="s">
        <v>14</v>
      </c>
      <c r="L108" s="35" t="s">
        <v>14</v>
      </c>
    </row>
    <row r="109" spans="1:12" ht="13.2">
      <c r="A109" s="34">
        <v>9065</v>
      </c>
      <c r="B109" s="35" t="s">
        <v>511</v>
      </c>
      <c r="C109" s="35" t="s">
        <v>284</v>
      </c>
      <c r="D109" s="36">
        <v>42812</v>
      </c>
      <c r="E109" s="35" t="s">
        <v>57</v>
      </c>
      <c r="F109" s="35" t="s">
        <v>14</v>
      </c>
      <c r="G109" s="35" t="s">
        <v>518</v>
      </c>
      <c r="H109" s="35" t="s">
        <v>534</v>
      </c>
      <c r="I109" s="37">
        <v>0.45833333333333331</v>
      </c>
      <c r="J109" s="35" t="s">
        <v>305</v>
      </c>
      <c r="K109" s="35" t="s">
        <v>517</v>
      </c>
      <c r="L109" s="35" t="s">
        <v>456</v>
      </c>
    </row>
    <row r="110" spans="1:12" ht="13.2">
      <c r="A110" s="34">
        <v>9063</v>
      </c>
      <c r="B110" s="35" t="s">
        <v>511</v>
      </c>
      <c r="C110" s="35" t="s">
        <v>284</v>
      </c>
      <c r="D110" s="36">
        <v>42693</v>
      </c>
      <c r="E110" s="35" t="s">
        <v>57</v>
      </c>
      <c r="F110" s="35" t="s">
        <v>14</v>
      </c>
      <c r="G110" s="35" t="s">
        <v>532</v>
      </c>
      <c r="H110" s="35" t="s">
        <v>535</v>
      </c>
      <c r="I110" s="37">
        <v>0.41666666666666669</v>
      </c>
      <c r="J110" s="35" t="s">
        <v>373</v>
      </c>
      <c r="K110" s="35" t="s">
        <v>517</v>
      </c>
      <c r="L110" s="35" t="s">
        <v>445</v>
      </c>
    </row>
    <row r="111" spans="1:12" ht="13.2">
      <c r="A111" s="34">
        <v>8887</v>
      </c>
      <c r="B111" s="35" t="s">
        <v>536</v>
      </c>
      <c r="C111" s="35" t="s">
        <v>284</v>
      </c>
      <c r="D111" s="36">
        <v>42805</v>
      </c>
      <c r="E111" s="35" t="s">
        <v>537</v>
      </c>
      <c r="F111" s="35" t="s">
        <v>14</v>
      </c>
      <c r="G111" s="35" t="s">
        <v>71</v>
      </c>
      <c r="H111" s="35" t="s">
        <v>538</v>
      </c>
      <c r="I111" s="37">
        <v>0.5</v>
      </c>
      <c r="J111" s="35" t="s">
        <v>412</v>
      </c>
      <c r="K111" s="35" t="s">
        <v>14</v>
      </c>
      <c r="L111" s="35" t="s">
        <v>14</v>
      </c>
    </row>
    <row r="112" spans="1:12" ht="13.2">
      <c r="A112" s="34">
        <v>8876</v>
      </c>
      <c r="B112" s="35" t="s">
        <v>536</v>
      </c>
      <c r="C112" s="35" t="s">
        <v>284</v>
      </c>
      <c r="D112" s="36">
        <v>42777</v>
      </c>
      <c r="E112" s="35" t="s">
        <v>539</v>
      </c>
      <c r="F112" s="35" t="s">
        <v>14</v>
      </c>
      <c r="G112" s="35" t="s">
        <v>71</v>
      </c>
      <c r="H112" s="35" t="s">
        <v>540</v>
      </c>
      <c r="I112" s="37">
        <v>0.63194444444444442</v>
      </c>
      <c r="J112" s="35" t="s">
        <v>358</v>
      </c>
      <c r="K112" s="35" t="s">
        <v>14</v>
      </c>
      <c r="L112" s="35" t="s">
        <v>14</v>
      </c>
    </row>
    <row r="113" spans="1:12" ht="13.2">
      <c r="A113" s="34">
        <v>8875</v>
      </c>
      <c r="B113" s="35" t="s">
        <v>536</v>
      </c>
      <c r="C113" s="35" t="s">
        <v>284</v>
      </c>
      <c r="D113" s="36">
        <v>42770</v>
      </c>
      <c r="E113" s="35" t="s">
        <v>71</v>
      </c>
      <c r="F113" s="35" t="s">
        <v>14</v>
      </c>
      <c r="G113" s="35" t="s">
        <v>541</v>
      </c>
      <c r="H113" s="35" t="s">
        <v>542</v>
      </c>
      <c r="I113" s="37">
        <v>0.45833333333333331</v>
      </c>
      <c r="J113" s="35" t="s">
        <v>287</v>
      </c>
      <c r="K113" s="35" t="s">
        <v>543</v>
      </c>
      <c r="L113" s="35" t="s">
        <v>506</v>
      </c>
    </row>
    <row r="114" spans="1:12" ht="13.2">
      <c r="A114" s="34">
        <v>8862</v>
      </c>
      <c r="B114" s="35" t="s">
        <v>536</v>
      </c>
      <c r="C114" s="35" t="s">
        <v>284</v>
      </c>
      <c r="D114" s="36">
        <v>42763</v>
      </c>
      <c r="E114" s="35" t="s">
        <v>544</v>
      </c>
      <c r="F114" s="35" t="s">
        <v>14</v>
      </c>
      <c r="G114" s="35" t="s">
        <v>71</v>
      </c>
      <c r="H114" s="35" t="s">
        <v>545</v>
      </c>
      <c r="I114" s="37">
        <v>0.5</v>
      </c>
      <c r="J114" s="35" t="s">
        <v>546</v>
      </c>
      <c r="K114" s="35" t="s">
        <v>14</v>
      </c>
      <c r="L114" s="35" t="s">
        <v>14</v>
      </c>
    </row>
    <row r="115" spans="1:12" ht="13.2">
      <c r="A115" s="34">
        <v>8851</v>
      </c>
      <c r="B115" s="35" t="s">
        <v>536</v>
      </c>
      <c r="C115" s="35" t="s">
        <v>284</v>
      </c>
      <c r="D115" s="36">
        <v>42798</v>
      </c>
      <c r="E115" s="35" t="s">
        <v>71</v>
      </c>
      <c r="F115" s="35" t="s">
        <v>14</v>
      </c>
      <c r="G115" s="35" t="s">
        <v>547</v>
      </c>
      <c r="H115" s="35" t="s">
        <v>548</v>
      </c>
      <c r="I115" s="37">
        <v>0.54861111111111116</v>
      </c>
      <c r="J115" s="35" t="s">
        <v>287</v>
      </c>
      <c r="K115" s="35" t="s">
        <v>543</v>
      </c>
      <c r="L115" s="35" t="s">
        <v>423</v>
      </c>
    </row>
    <row r="116" spans="1:12" ht="13.2">
      <c r="A116" s="34">
        <v>8832</v>
      </c>
      <c r="B116" s="35" t="s">
        <v>536</v>
      </c>
      <c r="C116" s="35" t="s">
        <v>284</v>
      </c>
      <c r="D116" s="36">
        <v>42714</v>
      </c>
      <c r="E116" s="35" t="s">
        <v>71</v>
      </c>
      <c r="F116" s="35" t="s">
        <v>14</v>
      </c>
      <c r="G116" s="35" t="s">
        <v>539</v>
      </c>
      <c r="H116" s="35" t="s">
        <v>549</v>
      </c>
      <c r="I116" s="37">
        <v>0.45833333333333331</v>
      </c>
      <c r="J116" s="35" t="s">
        <v>287</v>
      </c>
      <c r="K116" s="35" t="s">
        <v>543</v>
      </c>
      <c r="L116" s="35" t="s">
        <v>550</v>
      </c>
    </row>
    <row r="117" spans="1:12" ht="13.2">
      <c r="A117" s="34">
        <v>8826</v>
      </c>
      <c r="B117" s="35" t="s">
        <v>536</v>
      </c>
      <c r="C117" s="35" t="s">
        <v>284</v>
      </c>
      <c r="D117" s="36">
        <v>42693</v>
      </c>
      <c r="E117" s="35" t="s">
        <v>541</v>
      </c>
      <c r="F117" s="35" t="s">
        <v>14</v>
      </c>
      <c r="G117" s="35" t="s">
        <v>71</v>
      </c>
      <c r="H117" s="35" t="s">
        <v>551</v>
      </c>
      <c r="I117" s="37">
        <v>0.50347222222222221</v>
      </c>
      <c r="J117" s="35" t="s">
        <v>552</v>
      </c>
      <c r="K117" s="35" t="s">
        <v>14</v>
      </c>
      <c r="L117" s="35" t="s">
        <v>14</v>
      </c>
    </row>
    <row r="118" spans="1:12" ht="13.2">
      <c r="A118" s="34">
        <v>8819</v>
      </c>
      <c r="B118" s="35" t="s">
        <v>536</v>
      </c>
      <c r="C118" s="35" t="s">
        <v>284</v>
      </c>
      <c r="D118" s="36">
        <v>42686</v>
      </c>
      <c r="E118" s="35" t="s">
        <v>547</v>
      </c>
      <c r="F118" s="35" t="s">
        <v>14</v>
      </c>
      <c r="G118" s="35" t="s">
        <v>71</v>
      </c>
      <c r="H118" s="35" t="s">
        <v>553</v>
      </c>
      <c r="I118" s="37">
        <v>0.54166666666666663</v>
      </c>
      <c r="J118" s="35" t="s">
        <v>376</v>
      </c>
      <c r="K118" s="35" t="s">
        <v>14</v>
      </c>
      <c r="L118" s="35" t="s">
        <v>14</v>
      </c>
    </row>
    <row r="119" spans="1:12" ht="13.2">
      <c r="A119" s="34">
        <v>8783</v>
      </c>
      <c r="B119" s="35" t="s">
        <v>536</v>
      </c>
      <c r="C119" s="35" t="s">
        <v>284</v>
      </c>
      <c r="D119" s="36">
        <v>42756</v>
      </c>
      <c r="E119" s="35" t="s">
        <v>554</v>
      </c>
      <c r="F119" s="35" t="s">
        <v>14</v>
      </c>
      <c r="G119" s="35" t="s">
        <v>71</v>
      </c>
      <c r="H119" s="35" t="s">
        <v>555</v>
      </c>
      <c r="I119" s="37">
        <v>0.59375</v>
      </c>
      <c r="J119" s="35" t="s">
        <v>459</v>
      </c>
      <c r="K119" s="35" t="s">
        <v>14</v>
      </c>
      <c r="L119" s="35" t="s">
        <v>14</v>
      </c>
    </row>
    <row r="120" spans="1:12" ht="13.2">
      <c r="A120" s="34">
        <v>8773</v>
      </c>
      <c r="B120" s="35" t="s">
        <v>536</v>
      </c>
      <c r="C120" s="35" t="s">
        <v>284</v>
      </c>
      <c r="D120" s="36">
        <v>42742</v>
      </c>
      <c r="E120" s="35" t="s">
        <v>71</v>
      </c>
      <c r="F120" s="35" t="s">
        <v>14</v>
      </c>
      <c r="G120" s="35" t="s">
        <v>537</v>
      </c>
      <c r="H120" s="35" t="s">
        <v>556</v>
      </c>
      <c r="I120" s="37">
        <v>0.45833333333333331</v>
      </c>
      <c r="J120" s="35" t="s">
        <v>305</v>
      </c>
      <c r="K120" s="35" t="s">
        <v>543</v>
      </c>
      <c r="L120" s="35" t="s">
        <v>423</v>
      </c>
    </row>
    <row r="121" spans="1:12" ht="13.2">
      <c r="A121" s="34">
        <v>8751</v>
      </c>
      <c r="B121" s="35" t="s">
        <v>536</v>
      </c>
      <c r="C121" s="35" t="s">
        <v>284</v>
      </c>
      <c r="D121" s="36">
        <v>42700</v>
      </c>
      <c r="E121" s="35" t="s">
        <v>71</v>
      </c>
      <c r="F121" s="35" t="s">
        <v>14</v>
      </c>
      <c r="G121" s="35" t="s">
        <v>544</v>
      </c>
      <c r="H121" s="35" t="s">
        <v>557</v>
      </c>
      <c r="I121" s="37">
        <v>0.4513888888888889</v>
      </c>
      <c r="J121" s="35" t="s">
        <v>287</v>
      </c>
      <c r="K121" s="35" t="s">
        <v>543</v>
      </c>
      <c r="L121" s="35" t="s">
        <v>558</v>
      </c>
    </row>
    <row r="122" spans="1:12" ht="13.2">
      <c r="A122" s="34">
        <v>8743</v>
      </c>
      <c r="B122" s="35" t="s">
        <v>536</v>
      </c>
      <c r="C122" s="35" t="s">
        <v>284</v>
      </c>
      <c r="D122" s="36">
        <v>42812</v>
      </c>
      <c r="E122" s="35" t="s">
        <v>71</v>
      </c>
      <c r="F122" s="35" t="s">
        <v>14</v>
      </c>
      <c r="G122" s="35" t="s">
        <v>554</v>
      </c>
      <c r="H122" s="35" t="s">
        <v>559</v>
      </c>
      <c r="I122" s="37">
        <v>0.41666666666666669</v>
      </c>
      <c r="J122" s="35" t="s">
        <v>305</v>
      </c>
      <c r="K122" s="35" t="s">
        <v>543</v>
      </c>
      <c r="L122" s="35" t="s">
        <v>506</v>
      </c>
    </row>
    <row r="123" spans="1:12" ht="13.2">
      <c r="A123" s="34">
        <v>8721</v>
      </c>
      <c r="B123" s="35" t="s">
        <v>560</v>
      </c>
      <c r="C123" s="35" t="s">
        <v>284</v>
      </c>
      <c r="D123" s="36">
        <v>42805</v>
      </c>
      <c r="E123" s="35" t="s">
        <v>105</v>
      </c>
      <c r="F123" s="35" t="s">
        <v>14</v>
      </c>
      <c r="G123" s="35" t="s">
        <v>561</v>
      </c>
      <c r="H123" s="35" t="s">
        <v>562</v>
      </c>
      <c r="I123" s="37">
        <v>0.86458333333333337</v>
      </c>
      <c r="J123" s="35" t="s">
        <v>287</v>
      </c>
      <c r="K123" s="35" t="s">
        <v>328</v>
      </c>
      <c r="L123" s="35" t="s">
        <v>306</v>
      </c>
    </row>
    <row r="124" spans="1:12" ht="13.2">
      <c r="A124" s="34">
        <v>8710</v>
      </c>
      <c r="B124" s="35" t="s">
        <v>563</v>
      </c>
      <c r="C124" s="35" t="s">
        <v>284</v>
      </c>
      <c r="D124" s="36">
        <v>42798</v>
      </c>
      <c r="E124" s="35" t="s">
        <v>120</v>
      </c>
      <c r="F124" s="35" t="s">
        <v>14</v>
      </c>
      <c r="G124" s="35" t="s">
        <v>564</v>
      </c>
      <c r="H124" s="35" t="s">
        <v>565</v>
      </c>
      <c r="I124" s="37">
        <v>0.69097222222222221</v>
      </c>
      <c r="J124" s="35" t="s">
        <v>287</v>
      </c>
      <c r="K124" s="35" t="s">
        <v>566</v>
      </c>
      <c r="L124" s="35" t="s">
        <v>567</v>
      </c>
    </row>
    <row r="125" spans="1:12" ht="13.2">
      <c r="A125" s="34">
        <v>8709</v>
      </c>
      <c r="B125" s="35" t="s">
        <v>568</v>
      </c>
      <c r="C125" s="35" t="s">
        <v>284</v>
      </c>
      <c r="D125" s="36">
        <v>42805</v>
      </c>
      <c r="E125" s="35" t="s">
        <v>569</v>
      </c>
      <c r="F125" s="35" t="s">
        <v>14</v>
      </c>
      <c r="G125" s="35" t="s">
        <v>570</v>
      </c>
      <c r="H125" s="35" t="s">
        <v>571</v>
      </c>
      <c r="I125" s="37">
        <v>0.79861111111111116</v>
      </c>
      <c r="J125" s="35" t="s">
        <v>305</v>
      </c>
      <c r="K125" s="35" t="s">
        <v>306</v>
      </c>
      <c r="L125" s="35" t="s">
        <v>298</v>
      </c>
    </row>
    <row r="126" spans="1:12" ht="13.2">
      <c r="A126" s="34">
        <v>8705</v>
      </c>
      <c r="B126" s="35" t="s">
        <v>572</v>
      </c>
      <c r="C126" s="35" t="s">
        <v>284</v>
      </c>
      <c r="D126" s="36">
        <v>42805</v>
      </c>
      <c r="E126" s="35" t="s">
        <v>573</v>
      </c>
      <c r="F126" s="35" t="s">
        <v>14</v>
      </c>
      <c r="G126" s="35" t="s">
        <v>115</v>
      </c>
      <c r="H126" s="35" t="s">
        <v>574</v>
      </c>
      <c r="I126" s="37">
        <v>0.57986111111111116</v>
      </c>
      <c r="J126" s="35" t="s">
        <v>520</v>
      </c>
      <c r="K126" s="35" t="s">
        <v>14</v>
      </c>
      <c r="L126" s="35" t="s">
        <v>14</v>
      </c>
    </row>
    <row r="127" spans="1:12" ht="13.2">
      <c r="A127" s="34">
        <v>8700</v>
      </c>
      <c r="B127" s="35" t="s">
        <v>575</v>
      </c>
      <c r="C127" s="35" t="s">
        <v>284</v>
      </c>
      <c r="D127" s="36">
        <v>42805</v>
      </c>
      <c r="E127" s="35" t="s">
        <v>576</v>
      </c>
      <c r="F127" s="35" t="s">
        <v>14</v>
      </c>
      <c r="G127" s="35" t="s">
        <v>112</v>
      </c>
      <c r="H127" s="35" t="s">
        <v>577</v>
      </c>
      <c r="I127" s="37">
        <v>0.77083333333333337</v>
      </c>
      <c r="J127" s="35" t="s">
        <v>334</v>
      </c>
      <c r="K127" s="35" t="s">
        <v>14</v>
      </c>
      <c r="L127" s="35" t="s">
        <v>14</v>
      </c>
    </row>
    <row r="128" spans="1:12" ht="13.2">
      <c r="A128" s="34">
        <v>8652</v>
      </c>
      <c r="B128" s="35" t="s">
        <v>572</v>
      </c>
      <c r="C128" s="35" t="s">
        <v>284</v>
      </c>
      <c r="D128" s="36">
        <v>42777</v>
      </c>
      <c r="E128" s="35" t="s">
        <v>578</v>
      </c>
      <c r="F128" s="35" t="s">
        <v>14</v>
      </c>
      <c r="G128" s="35" t="s">
        <v>115</v>
      </c>
      <c r="H128" s="35" t="s">
        <v>579</v>
      </c>
      <c r="I128" s="37">
        <v>0.79861111111111116</v>
      </c>
      <c r="J128" s="35" t="s">
        <v>356</v>
      </c>
      <c r="K128" s="35" t="s">
        <v>14</v>
      </c>
      <c r="L128" s="35" t="s">
        <v>14</v>
      </c>
    </row>
    <row r="129" spans="1:12" ht="13.2">
      <c r="A129" s="34">
        <v>8647</v>
      </c>
      <c r="B129" s="35" t="s">
        <v>575</v>
      </c>
      <c r="C129" s="35" t="s">
        <v>284</v>
      </c>
      <c r="D129" s="36">
        <v>42770</v>
      </c>
      <c r="E129" s="35" t="s">
        <v>112</v>
      </c>
      <c r="F129" s="35" t="s">
        <v>14</v>
      </c>
      <c r="G129" s="35" t="s">
        <v>580</v>
      </c>
      <c r="H129" s="35" t="s">
        <v>581</v>
      </c>
      <c r="I129" s="37">
        <v>0.84375</v>
      </c>
      <c r="J129" s="35" t="s">
        <v>287</v>
      </c>
      <c r="K129" s="35" t="s">
        <v>288</v>
      </c>
      <c r="L129" s="35" t="s">
        <v>567</v>
      </c>
    </row>
    <row r="130" spans="1:12" ht="13.2">
      <c r="A130" s="34">
        <v>8646</v>
      </c>
      <c r="B130" s="35" t="s">
        <v>572</v>
      </c>
      <c r="C130" s="35" t="s">
        <v>284</v>
      </c>
      <c r="D130" s="36">
        <v>42770</v>
      </c>
      <c r="E130" s="35" t="s">
        <v>115</v>
      </c>
      <c r="F130" s="35" t="s">
        <v>14</v>
      </c>
      <c r="G130" s="35" t="s">
        <v>582</v>
      </c>
      <c r="H130" s="35" t="s">
        <v>583</v>
      </c>
      <c r="I130" s="37">
        <v>0.79166666666666663</v>
      </c>
      <c r="J130" s="35" t="s">
        <v>287</v>
      </c>
      <c r="K130" s="35" t="s">
        <v>298</v>
      </c>
      <c r="L130" s="35" t="s">
        <v>584</v>
      </c>
    </row>
    <row r="131" spans="1:12" ht="13.2">
      <c r="A131" s="34">
        <v>8620</v>
      </c>
      <c r="B131" s="35" t="s">
        <v>560</v>
      </c>
      <c r="C131" s="35" t="s">
        <v>284</v>
      </c>
      <c r="D131" s="36">
        <v>42763</v>
      </c>
      <c r="E131" s="35" t="s">
        <v>585</v>
      </c>
      <c r="F131" s="35" t="s">
        <v>14</v>
      </c>
      <c r="G131" s="35" t="s">
        <v>105</v>
      </c>
      <c r="H131" s="35" t="s">
        <v>586</v>
      </c>
      <c r="I131" s="37">
        <v>0.63888888888888884</v>
      </c>
      <c r="J131" s="35" t="s">
        <v>520</v>
      </c>
      <c r="K131" s="35" t="s">
        <v>14</v>
      </c>
      <c r="L131" s="35" t="s">
        <v>14</v>
      </c>
    </row>
    <row r="132" spans="1:12" ht="13.2">
      <c r="A132" s="34">
        <v>8616</v>
      </c>
      <c r="B132" s="35" t="s">
        <v>568</v>
      </c>
      <c r="C132" s="35" t="s">
        <v>284</v>
      </c>
      <c r="D132" s="36">
        <v>42763</v>
      </c>
      <c r="E132" s="35" t="s">
        <v>587</v>
      </c>
      <c r="F132" s="35" t="s">
        <v>14</v>
      </c>
      <c r="G132" s="35" t="s">
        <v>569</v>
      </c>
      <c r="H132" s="35" t="s">
        <v>588</v>
      </c>
      <c r="I132" s="37">
        <v>0.81944444444444442</v>
      </c>
      <c r="J132" s="35" t="s">
        <v>589</v>
      </c>
      <c r="K132" s="35" t="s">
        <v>14</v>
      </c>
      <c r="L132" s="35" t="s">
        <v>14</v>
      </c>
    </row>
    <row r="133" spans="1:12" ht="13.2">
      <c r="A133" s="34">
        <v>8609</v>
      </c>
      <c r="B133" s="35" t="s">
        <v>563</v>
      </c>
      <c r="C133" s="35" t="s">
        <v>284</v>
      </c>
      <c r="D133" s="36">
        <v>42763</v>
      </c>
      <c r="E133" s="35" t="s">
        <v>590</v>
      </c>
      <c r="F133" s="35" t="s">
        <v>14</v>
      </c>
      <c r="G133" s="35" t="s">
        <v>120</v>
      </c>
      <c r="H133" s="35" t="s">
        <v>591</v>
      </c>
      <c r="I133" s="37">
        <v>0.66666666666666663</v>
      </c>
      <c r="J133" s="35" t="s">
        <v>552</v>
      </c>
      <c r="K133" s="35" t="s">
        <v>14</v>
      </c>
      <c r="L133" s="35" t="s">
        <v>14</v>
      </c>
    </row>
    <row r="134" spans="1:12" ht="13.2">
      <c r="A134" s="34">
        <v>8588</v>
      </c>
      <c r="B134" s="35" t="s">
        <v>575</v>
      </c>
      <c r="C134" s="35" t="s">
        <v>284</v>
      </c>
      <c r="D134" s="36">
        <v>42763</v>
      </c>
      <c r="E134" s="35" t="s">
        <v>592</v>
      </c>
      <c r="F134" s="35" t="s">
        <v>14</v>
      </c>
      <c r="G134" s="35" t="s">
        <v>112</v>
      </c>
      <c r="H134" s="35" t="s">
        <v>593</v>
      </c>
      <c r="I134" s="37">
        <v>0.86805555555555558</v>
      </c>
      <c r="J134" s="35" t="s">
        <v>589</v>
      </c>
      <c r="K134" s="35" t="s">
        <v>14</v>
      </c>
      <c r="L134" s="35" t="s">
        <v>14</v>
      </c>
    </row>
    <row r="135" spans="1:12" ht="13.2">
      <c r="A135" s="34">
        <v>8586</v>
      </c>
      <c r="B135" s="35" t="s">
        <v>572</v>
      </c>
      <c r="C135" s="35" t="s">
        <v>284</v>
      </c>
      <c r="D135" s="36">
        <v>42763</v>
      </c>
      <c r="E135" s="35" t="s">
        <v>594</v>
      </c>
      <c r="F135" s="35" t="s">
        <v>14</v>
      </c>
      <c r="G135" s="35" t="s">
        <v>115</v>
      </c>
      <c r="H135" s="35" t="s">
        <v>595</v>
      </c>
      <c r="I135" s="37">
        <v>0.82638888888888884</v>
      </c>
      <c r="J135" s="35" t="s">
        <v>546</v>
      </c>
      <c r="K135" s="35" t="s">
        <v>14</v>
      </c>
      <c r="L135" s="35" t="s">
        <v>14</v>
      </c>
    </row>
    <row r="136" spans="1:12" ht="13.2">
      <c r="A136" s="34">
        <v>8566</v>
      </c>
      <c r="B136" s="35" t="s">
        <v>563</v>
      </c>
      <c r="C136" s="35" t="s">
        <v>284</v>
      </c>
      <c r="D136" s="36">
        <v>42756</v>
      </c>
      <c r="E136" s="35" t="s">
        <v>120</v>
      </c>
      <c r="F136" s="35" t="s">
        <v>14</v>
      </c>
      <c r="G136" s="35" t="s">
        <v>596</v>
      </c>
      <c r="H136" s="35" t="s">
        <v>597</v>
      </c>
      <c r="I136" s="37">
        <v>0.85416666666666663</v>
      </c>
      <c r="J136" s="35" t="s">
        <v>287</v>
      </c>
      <c r="K136" s="35" t="s">
        <v>566</v>
      </c>
      <c r="L136" s="35" t="s">
        <v>301</v>
      </c>
    </row>
    <row r="137" spans="1:12" ht="13.2">
      <c r="A137" s="34">
        <v>8565</v>
      </c>
      <c r="B137" s="35" t="s">
        <v>568</v>
      </c>
      <c r="C137" s="35" t="s">
        <v>284</v>
      </c>
      <c r="D137" s="36">
        <v>42756</v>
      </c>
      <c r="E137" s="35" t="s">
        <v>569</v>
      </c>
      <c r="F137" s="35" t="s">
        <v>14</v>
      </c>
      <c r="G137" s="35" t="s">
        <v>598</v>
      </c>
      <c r="H137" s="35" t="s">
        <v>599</v>
      </c>
      <c r="I137" s="37">
        <v>0.80555555555555558</v>
      </c>
      <c r="J137" s="35" t="s">
        <v>287</v>
      </c>
      <c r="K137" s="35" t="s">
        <v>306</v>
      </c>
      <c r="L137" s="35" t="s">
        <v>288</v>
      </c>
    </row>
    <row r="138" spans="1:12" ht="13.2">
      <c r="A138" s="34">
        <v>8544</v>
      </c>
      <c r="B138" s="35" t="s">
        <v>600</v>
      </c>
      <c r="C138" s="35" t="s">
        <v>284</v>
      </c>
      <c r="D138" s="36">
        <v>42756</v>
      </c>
      <c r="E138" s="35" t="s">
        <v>601</v>
      </c>
      <c r="F138" s="35" t="s">
        <v>14</v>
      </c>
      <c r="G138" s="35" t="s">
        <v>79</v>
      </c>
      <c r="H138" s="35" t="s">
        <v>602</v>
      </c>
      <c r="I138" s="37">
        <v>0.59027777777777779</v>
      </c>
      <c r="J138" s="35" t="s">
        <v>603</v>
      </c>
      <c r="K138" s="35" t="s">
        <v>14</v>
      </c>
      <c r="L138" s="35" t="s">
        <v>14</v>
      </c>
    </row>
    <row r="139" spans="1:12" ht="13.2">
      <c r="A139" s="34">
        <v>8531</v>
      </c>
      <c r="B139" s="35" t="s">
        <v>575</v>
      </c>
      <c r="C139" s="35" t="s">
        <v>284</v>
      </c>
      <c r="D139" s="36">
        <v>42791</v>
      </c>
      <c r="E139" s="35" t="s">
        <v>112</v>
      </c>
      <c r="F139" s="35" t="s">
        <v>14</v>
      </c>
      <c r="G139" s="35" t="s">
        <v>604</v>
      </c>
      <c r="H139" s="35" t="s">
        <v>605</v>
      </c>
      <c r="I139" s="37">
        <v>0.63888888888888884</v>
      </c>
      <c r="J139" s="35" t="s">
        <v>287</v>
      </c>
      <c r="K139" s="35" t="s">
        <v>288</v>
      </c>
      <c r="L139" s="35" t="s">
        <v>606</v>
      </c>
    </row>
    <row r="140" spans="1:12" ht="13.2">
      <c r="A140" s="34">
        <v>8516</v>
      </c>
      <c r="B140" s="35" t="s">
        <v>600</v>
      </c>
      <c r="C140" s="35" t="s">
        <v>284</v>
      </c>
      <c r="D140" s="36">
        <v>42791</v>
      </c>
      <c r="E140" s="35" t="s">
        <v>79</v>
      </c>
      <c r="F140" s="35" t="s">
        <v>14</v>
      </c>
      <c r="G140" s="35" t="s">
        <v>607</v>
      </c>
      <c r="H140" s="35" t="s">
        <v>608</v>
      </c>
      <c r="I140" s="37">
        <v>0.59027777777777779</v>
      </c>
      <c r="J140" s="35" t="s">
        <v>287</v>
      </c>
      <c r="K140" s="35" t="s">
        <v>338</v>
      </c>
      <c r="L140" s="35" t="s">
        <v>584</v>
      </c>
    </row>
    <row r="141" spans="1:12" ht="13.2">
      <c r="A141" s="34">
        <v>8514</v>
      </c>
      <c r="B141" s="35" t="s">
        <v>563</v>
      </c>
      <c r="C141" s="35" t="s">
        <v>609</v>
      </c>
      <c r="D141" s="36">
        <v>42685</v>
      </c>
      <c r="E141" s="35" t="s">
        <v>610</v>
      </c>
      <c r="F141" s="35" t="s">
        <v>14</v>
      </c>
      <c r="G141" s="35" t="s">
        <v>120</v>
      </c>
      <c r="H141" s="35" t="s">
        <v>611</v>
      </c>
      <c r="I141" s="37">
        <v>0.83333333333333337</v>
      </c>
      <c r="J141" s="35" t="s">
        <v>612</v>
      </c>
      <c r="K141" s="35" t="s">
        <v>14</v>
      </c>
      <c r="L141" s="35" t="s">
        <v>14</v>
      </c>
    </row>
    <row r="142" spans="1:12" ht="13.2">
      <c r="A142" s="34">
        <v>8507</v>
      </c>
      <c r="B142" s="35" t="s">
        <v>568</v>
      </c>
      <c r="C142" s="35" t="s">
        <v>284</v>
      </c>
      <c r="D142" s="36">
        <v>42749</v>
      </c>
      <c r="E142" s="35" t="s">
        <v>613</v>
      </c>
      <c r="F142" s="35" t="s">
        <v>14</v>
      </c>
      <c r="G142" s="35" t="s">
        <v>569</v>
      </c>
      <c r="H142" s="35" t="s">
        <v>614</v>
      </c>
      <c r="I142" s="37">
        <v>0.51041666666666663</v>
      </c>
      <c r="J142" s="35" t="s">
        <v>448</v>
      </c>
      <c r="K142" s="35" t="s">
        <v>14</v>
      </c>
      <c r="L142" s="35" t="s">
        <v>14</v>
      </c>
    </row>
    <row r="143" spans="1:12" ht="13.2">
      <c r="A143" s="34">
        <v>8506</v>
      </c>
      <c r="B143" s="35" t="s">
        <v>560</v>
      </c>
      <c r="C143" s="35" t="s">
        <v>284</v>
      </c>
      <c r="D143" s="36">
        <v>42749</v>
      </c>
      <c r="E143" s="35" t="s">
        <v>202</v>
      </c>
      <c r="F143" s="35" t="s">
        <v>14</v>
      </c>
      <c r="G143" s="35" t="s">
        <v>105</v>
      </c>
      <c r="H143" s="35" t="s">
        <v>615</v>
      </c>
      <c r="I143" s="37">
        <v>0.45833333333333331</v>
      </c>
      <c r="J143" s="35" t="s">
        <v>448</v>
      </c>
      <c r="K143" s="35" t="s">
        <v>14</v>
      </c>
      <c r="L143" s="35" t="s">
        <v>14</v>
      </c>
    </row>
    <row r="144" spans="1:12" ht="13.2">
      <c r="A144" s="34">
        <v>8483</v>
      </c>
      <c r="B144" s="35" t="s">
        <v>568</v>
      </c>
      <c r="C144" s="35" t="s">
        <v>284</v>
      </c>
      <c r="D144" s="36">
        <v>42791</v>
      </c>
      <c r="E144" s="35" t="s">
        <v>570</v>
      </c>
      <c r="F144" s="35" t="s">
        <v>14</v>
      </c>
      <c r="G144" s="35" t="s">
        <v>569</v>
      </c>
      <c r="H144" s="35" t="s">
        <v>616</v>
      </c>
      <c r="I144" s="37">
        <v>0.63194444444444442</v>
      </c>
      <c r="J144" s="35" t="s">
        <v>612</v>
      </c>
      <c r="K144" s="35" t="s">
        <v>14</v>
      </c>
      <c r="L144" s="35" t="s">
        <v>14</v>
      </c>
    </row>
    <row r="145" spans="1:12" ht="13.2">
      <c r="A145" s="34">
        <v>8482</v>
      </c>
      <c r="B145" s="35" t="s">
        <v>560</v>
      </c>
      <c r="C145" s="35" t="s">
        <v>284</v>
      </c>
      <c r="D145" s="36">
        <v>42784</v>
      </c>
      <c r="E145" s="35" t="s">
        <v>561</v>
      </c>
      <c r="F145" s="35" t="s">
        <v>14</v>
      </c>
      <c r="G145" s="35" t="s">
        <v>105</v>
      </c>
      <c r="H145" s="35" t="s">
        <v>617</v>
      </c>
      <c r="I145" s="37">
        <v>0.81944444444444442</v>
      </c>
      <c r="J145" s="35" t="s">
        <v>589</v>
      </c>
      <c r="K145" s="35" t="s">
        <v>14</v>
      </c>
      <c r="L145" s="35" t="s">
        <v>14</v>
      </c>
    </row>
    <row r="146" spans="1:12" ht="13.2">
      <c r="A146" s="34">
        <v>8481</v>
      </c>
      <c r="B146" s="35" t="s">
        <v>563</v>
      </c>
      <c r="C146" s="35" t="s">
        <v>284</v>
      </c>
      <c r="D146" s="36">
        <v>42742</v>
      </c>
      <c r="E146" s="35" t="s">
        <v>564</v>
      </c>
      <c r="F146" s="35" t="s">
        <v>14</v>
      </c>
      <c r="G146" s="35" t="s">
        <v>120</v>
      </c>
      <c r="H146" s="35" t="s">
        <v>618</v>
      </c>
      <c r="I146" s="37">
        <v>0.78472222222222221</v>
      </c>
      <c r="J146" s="35" t="s">
        <v>405</v>
      </c>
      <c r="K146" s="35" t="s">
        <v>14</v>
      </c>
      <c r="L146" s="35" t="s">
        <v>14</v>
      </c>
    </row>
    <row r="147" spans="1:12" ht="13.2">
      <c r="A147" s="34">
        <v>8471</v>
      </c>
      <c r="B147" s="35" t="s">
        <v>560</v>
      </c>
      <c r="C147" s="35" t="s">
        <v>284</v>
      </c>
      <c r="D147" s="36">
        <v>42721</v>
      </c>
      <c r="E147" s="35" t="s">
        <v>105</v>
      </c>
      <c r="F147" s="35" t="s">
        <v>14</v>
      </c>
      <c r="G147" s="35" t="s">
        <v>111</v>
      </c>
      <c r="H147" s="35" t="s">
        <v>619</v>
      </c>
      <c r="I147" s="37">
        <v>0.68055555555555558</v>
      </c>
      <c r="J147" s="35" t="s">
        <v>287</v>
      </c>
      <c r="K147" s="35" t="s">
        <v>328</v>
      </c>
      <c r="L147" s="35" t="s">
        <v>338</v>
      </c>
    </row>
    <row r="148" spans="1:12" ht="13.2">
      <c r="A148" s="34">
        <v>8465</v>
      </c>
      <c r="B148" s="35" t="s">
        <v>572</v>
      </c>
      <c r="C148" s="35" t="s">
        <v>609</v>
      </c>
      <c r="D148" s="36">
        <v>42720</v>
      </c>
      <c r="E148" s="35" t="s">
        <v>620</v>
      </c>
      <c r="F148" s="35" t="s">
        <v>14</v>
      </c>
      <c r="G148" s="35" t="s">
        <v>115</v>
      </c>
      <c r="H148" s="35" t="s">
        <v>621</v>
      </c>
      <c r="I148" s="37">
        <v>0.84375</v>
      </c>
      <c r="J148" s="35" t="s">
        <v>295</v>
      </c>
      <c r="K148" s="35" t="s">
        <v>14</v>
      </c>
      <c r="L148" s="35" t="s">
        <v>14</v>
      </c>
    </row>
    <row r="149" spans="1:12" ht="13.2">
      <c r="A149" s="34">
        <v>8461</v>
      </c>
      <c r="B149" s="35" t="s">
        <v>575</v>
      </c>
      <c r="C149" s="35" t="s">
        <v>284</v>
      </c>
      <c r="D149" s="36">
        <v>42721</v>
      </c>
      <c r="E149" s="35" t="s">
        <v>622</v>
      </c>
      <c r="F149" s="35" t="s">
        <v>14</v>
      </c>
      <c r="G149" s="35" t="s">
        <v>112</v>
      </c>
      <c r="H149" s="35" t="s">
        <v>623</v>
      </c>
      <c r="I149" s="37">
        <v>0.58333333333333337</v>
      </c>
      <c r="J149" s="35" t="s">
        <v>520</v>
      </c>
      <c r="K149" s="35" t="s">
        <v>14</v>
      </c>
      <c r="L149" s="35" t="s">
        <v>14</v>
      </c>
    </row>
    <row r="150" spans="1:12" ht="13.2">
      <c r="A150" s="34">
        <v>8460</v>
      </c>
      <c r="B150" s="35" t="s">
        <v>563</v>
      </c>
      <c r="C150" s="35" t="s">
        <v>284</v>
      </c>
      <c r="D150" s="36">
        <v>42805</v>
      </c>
      <c r="E150" s="35" t="s">
        <v>120</v>
      </c>
      <c r="F150" s="35" t="s">
        <v>14</v>
      </c>
      <c r="G150" s="35" t="s">
        <v>624</v>
      </c>
      <c r="H150" s="35" t="s">
        <v>625</v>
      </c>
      <c r="I150" s="37">
        <v>0.75</v>
      </c>
      <c r="J150" s="35" t="s">
        <v>305</v>
      </c>
      <c r="K150" s="35" t="s">
        <v>566</v>
      </c>
      <c r="L150" s="35" t="s">
        <v>338</v>
      </c>
    </row>
    <row r="151" spans="1:12" ht="13.2">
      <c r="A151" s="34">
        <v>8459</v>
      </c>
      <c r="B151" s="35" t="s">
        <v>568</v>
      </c>
      <c r="C151" s="35" t="s">
        <v>284</v>
      </c>
      <c r="D151" s="36">
        <v>42798</v>
      </c>
      <c r="E151" s="35" t="s">
        <v>569</v>
      </c>
      <c r="F151" s="35" t="s">
        <v>14</v>
      </c>
      <c r="G151" s="35" t="s">
        <v>626</v>
      </c>
      <c r="H151" s="35" t="s">
        <v>627</v>
      </c>
      <c r="I151" s="37">
        <v>0.74305555555555558</v>
      </c>
      <c r="J151" s="35" t="s">
        <v>287</v>
      </c>
      <c r="K151" s="35" t="s">
        <v>628</v>
      </c>
      <c r="L151" s="35" t="s">
        <v>584</v>
      </c>
    </row>
    <row r="152" spans="1:12" ht="13.2">
      <c r="A152" s="34">
        <v>8436</v>
      </c>
      <c r="B152" s="35" t="s">
        <v>600</v>
      </c>
      <c r="C152" s="35" t="s">
        <v>284</v>
      </c>
      <c r="D152" s="36">
        <v>42721</v>
      </c>
      <c r="E152" s="35" t="s">
        <v>629</v>
      </c>
      <c r="F152" s="35" t="s">
        <v>14</v>
      </c>
      <c r="G152" s="35" t="s">
        <v>79</v>
      </c>
      <c r="H152" s="35" t="s">
        <v>630</v>
      </c>
      <c r="I152" s="37">
        <v>0.81597222222222221</v>
      </c>
      <c r="J152" s="35" t="s">
        <v>514</v>
      </c>
      <c r="K152" s="35" t="s">
        <v>14</v>
      </c>
      <c r="L152" s="35" t="s">
        <v>14</v>
      </c>
    </row>
    <row r="153" spans="1:12" ht="13.2">
      <c r="A153" s="34">
        <v>8425</v>
      </c>
      <c r="B153" s="35" t="s">
        <v>572</v>
      </c>
      <c r="C153" s="35" t="s">
        <v>284</v>
      </c>
      <c r="D153" s="36">
        <v>42714</v>
      </c>
      <c r="E153" s="35" t="s">
        <v>115</v>
      </c>
      <c r="F153" s="35" t="s">
        <v>14</v>
      </c>
      <c r="G153" s="35" t="s">
        <v>578</v>
      </c>
      <c r="H153" s="35" t="s">
        <v>631</v>
      </c>
      <c r="I153" s="37">
        <v>0.70833333333333337</v>
      </c>
      <c r="J153" s="35" t="s">
        <v>305</v>
      </c>
      <c r="K153" s="35" t="s">
        <v>14</v>
      </c>
      <c r="L153" s="35" t="s">
        <v>14</v>
      </c>
    </row>
    <row r="154" spans="1:12" ht="13.2">
      <c r="A154" s="34">
        <v>8410</v>
      </c>
      <c r="B154" s="35" t="s">
        <v>560</v>
      </c>
      <c r="C154" s="35" t="s">
        <v>284</v>
      </c>
      <c r="D154" s="36">
        <v>42714</v>
      </c>
      <c r="E154" s="35" t="s">
        <v>105</v>
      </c>
      <c r="F154" s="35" t="s">
        <v>14</v>
      </c>
      <c r="G154" s="35" t="s">
        <v>632</v>
      </c>
      <c r="H154" s="35" t="s">
        <v>633</v>
      </c>
      <c r="I154" s="37">
        <v>0.86458333333333337</v>
      </c>
      <c r="J154" s="35" t="s">
        <v>287</v>
      </c>
      <c r="K154" s="35" t="s">
        <v>328</v>
      </c>
      <c r="L154" s="35" t="s">
        <v>606</v>
      </c>
    </row>
    <row r="155" spans="1:12" ht="13.2">
      <c r="A155" s="34">
        <v>8392</v>
      </c>
      <c r="B155" s="35" t="s">
        <v>575</v>
      </c>
      <c r="C155" s="35" t="s">
        <v>284</v>
      </c>
      <c r="D155" s="36">
        <v>42707</v>
      </c>
      <c r="E155" s="35" t="s">
        <v>580</v>
      </c>
      <c r="F155" s="35" t="s">
        <v>14</v>
      </c>
      <c r="G155" s="35" t="s">
        <v>112</v>
      </c>
      <c r="H155" s="35" t="s">
        <v>634</v>
      </c>
      <c r="I155" s="37">
        <v>0.59375</v>
      </c>
      <c r="J155" s="35" t="s">
        <v>412</v>
      </c>
      <c r="K155" s="35" t="s">
        <v>14</v>
      </c>
      <c r="L155" s="35" t="s">
        <v>14</v>
      </c>
    </row>
    <row r="156" spans="1:12" ht="13.2">
      <c r="A156" s="34">
        <v>8391</v>
      </c>
      <c r="B156" s="35" t="s">
        <v>572</v>
      </c>
      <c r="C156" s="35" t="s">
        <v>284</v>
      </c>
      <c r="D156" s="36">
        <v>42707</v>
      </c>
      <c r="E156" s="35" t="s">
        <v>582</v>
      </c>
      <c r="F156" s="35" t="s">
        <v>14</v>
      </c>
      <c r="G156" s="35" t="s">
        <v>115</v>
      </c>
      <c r="H156" s="35" t="s">
        <v>635</v>
      </c>
      <c r="I156" s="37">
        <v>0.81597222222222221</v>
      </c>
      <c r="J156" s="35" t="s">
        <v>514</v>
      </c>
      <c r="K156" s="35" t="s">
        <v>14</v>
      </c>
      <c r="L156" s="35" t="s">
        <v>14</v>
      </c>
    </row>
    <row r="157" spans="1:12" ht="13.2">
      <c r="A157" s="34">
        <v>8378</v>
      </c>
      <c r="B157" s="35" t="s">
        <v>563</v>
      </c>
      <c r="C157" s="35" t="s">
        <v>284</v>
      </c>
      <c r="D157" s="36">
        <v>42707</v>
      </c>
      <c r="E157" s="35" t="s">
        <v>636</v>
      </c>
      <c r="F157" s="35" t="s">
        <v>14</v>
      </c>
      <c r="G157" s="35" t="s">
        <v>120</v>
      </c>
      <c r="H157" s="35" t="s">
        <v>637</v>
      </c>
      <c r="I157" s="37">
        <v>0.50694444444444442</v>
      </c>
      <c r="J157" s="35" t="s">
        <v>501</v>
      </c>
      <c r="K157" s="35" t="s">
        <v>14</v>
      </c>
      <c r="L157" s="35" t="s">
        <v>14</v>
      </c>
    </row>
    <row r="158" spans="1:12" ht="13.2">
      <c r="A158" s="34">
        <v>8373</v>
      </c>
      <c r="B158" s="35" t="s">
        <v>568</v>
      </c>
      <c r="C158" s="35" t="s">
        <v>284</v>
      </c>
      <c r="D158" s="36">
        <v>42707</v>
      </c>
      <c r="E158" s="35" t="s">
        <v>638</v>
      </c>
      <c r="F158" s="35" t="s">
        <v>14</v>
      </c>
      <c r="G158" s="35" t="s">
        <v>569</v>
      </c>
      <c r="H158" s="35" t="s">
        <v>639</v>
      </c>
      <c r="I158" s="37">
        <v>0.63888888888888884</v>
      </c>
      <c r="J158" s="35" t="s">
        <v>376</v>
      </c>
      <c r="K158" s="35" t="s">
        <v>14</v>
      </c>
      <c r="L158" s="35" t="s">
        <v>14</v>
      </c>
    </row>
    <row r="159" spans="1:12" ht="13.2">
      <c r="A159" s="34">
        <v>8368</v>
      </c>
      <c r="B159" s="35" t="s">
        <v>560</v>
      </c>
      <c r="C159" s="35" t="s">
        <v>284</v>
      </c>
      <c r="D159" s="36">
        <v>42742</v>
      </c>
      <c r="E159" s="35" t="s">
        <v>640</v>
      </c>
      <c r="F159" s="35" t="s">
        <v>14</v>
      </c>
      <c r="G159" s="35" t="s">
        <v>105</v>
      </c>
      <c r="H159" s="35" t="s">
        <v>641</v>
      </c>
      <c r="I159" s="37">
        <v>0.71875</v>
      </c>
      <c r="J159" s="35" t="s">
        <v>454</v>
      </c>
      <c r="K159" s="35" t="s">
        <v>14</v>
      </c>
      <c r="L159" s="35" t="s">
        <v>14</v>
      </c>
    </row>
    <row r="160" spans="1:12" ht="13.2">
      <c r="A160" s="34">
        <v>8365</v>
      </c>
      <c r="B160" s="35" t="s">
        <v>600</v>
      </c>
      <c r="C160" s="35" t="s">
        <v>284</v>
      </c>
      <c r="D160" s="36">
        <v>42707</v>
      </c>
      <c r="E160" s="35" t="s">
        <v>79</v>
      </c>
      <c r="F160" s="35" t="s">
        <v>14</v>
      </c>
      <c r="G160" s="35" t="s">
        <v>642</v>
      </c>
      <c r="H160" s="35" t="s">
        <v>643</v>
      </c>
      <c r="I160" s="37">
        <v>0.86805555555555558</v>
      </c>
      <c r="J160" s="35" t="s">
        <v>287</v>
      </c>
      <c r="K160" s="35" t="s">
        <v>338</v>
      </c>
      <c r="L160" s="35" t="s">
        <v>584</v>
      </c>
    </row>
    <row r="161" spans="1:12" ht="13.2">
      <c r="A161" s="34">
        <v>8342</v>
      </c>
      <c r="B161" s="35" t="s">
        <v>575</v>
      </c>
      <c r="C161" s="35" t="s">
        <v>284</v>
      </c>
      <c r="D161" s="36">
        <v>42686</v>
      </c>
      <c r="E161" s="35" t="s">
        <v>604</v>
      </c>
      <c r="F161" s="35" t="s">
        <v>14</v>
      </c>
      <c r="G161" s="35" t="s">
        <v>112</v>
      </c>
      <c r="H161" s="35" t="s">
        <v>644</v>
      </c>
      <c r="I161" s="37">
        <v>0.75694444444444442</v>
      </c>
      <c r="J161" s="35" t="s">
        <v>645</v>
      </c>
      <c r="K161" s="35" t="s">
        <v>14</v>
      </c>
      <c r="L161" s="35" t="s">
        <v>14</v>
      </c>
    </row>
    <row r="162" spans="1:12" ht="13.2">
      <c r="A162" s="34">
        <v>8315</v>
      </c>
      <c r="B162" s="35" t="s">
        <v>600</v>
      </c>
      <c r="C162" s="35" t="s">
        <v>284</v>
      </c>
      <c r="D162" s="36">
        <v>42805</v>
      </c>
      <c r="E162" s="35" t="s">
        <v>646</v>
      </c>
      <c r="F162" s="35" t="s">
        <v>14</v>
      </c>
      <c r="G162" s="35" t="s">
        <v>79</v>
      </c>
      <c r="H162" s="35" t="s">
        <v>647</v>
      </c>
      <c r="I162" s="37">
        <v>0.89930555555555558</v>
      </c>
      <c r="J162" s="35" t="s">
        <v>438</v>
      </c>
      <c r="K162" s="35" t="s">
        <v>14</v>
      </c>
      <c r="L162" s="35" t="s">
        <v>14</v>
      </c>
    </row>
    <row r="163" spans="1:12" ht="13.2">
      <c r="A163" s="34">
        <v>8306</v>
      </c>
      <c r="B163" s="35" t="s">
        <v>575</v>
      </c>
      <c r="C163" s="35" t="s">
        <v>284</v>
      </c>
      <c r="D163" s="36">
        <v>42784</v>
      </c>
      <c r="E163" s="35" t="s">
        <v>112</v>
      </c>
      <c r="F163" s="35" t="s">
        <v>14</v>
      </c>
      <c r="G163" s="35" t="s">
        <v>622</v>
      </c>
      <c r="H163" s="35" t="s">
        <v>648</v>
      </c>
      <c r="I163" s="37">
        <v>0.64236111111111116</v>
      </c>
      <c r="J163" s="35" t="s">
        <v>305</v>
      </c>
      <c r="K163" s="35" t="s">
        <v>288</v>
      </c>
      <c r="L163" s="35" t="s">
        <v>298</v>
      </c>
    </row>
    <row r="164" spans="1:12" ht="13.2">
      <c r="A164" s="34">
        <v>8305</v>
      </c>
      <c r="B164" s="35" t="s">
        <v>572</v>
      </c>
      <c r="C164" s="35" t="s">
        <v>284</v>
      </c>
      <c r="D164" s="36">
        <v>42784</v>
      </c>
      <c r="E164" s="35" t="s">
        <v>115</v>
      </c>
      <c r="F164" s="35" t="s">
        <v>14</v>
      </c>
      <c r="G164" s="35" t="s">
        <v>620</v>
      </c>
      <c r="H164" s="35" t="s">
        <v>649</v>
      </c>
      <c r="I164" s="37">
        <v>0.69444444444444442</v>
      </c>
      <c r="J164" s="35" t="s">
        <v>305</v>
      </c>
      <c r="K164" s="35" t="s">
        <v>298</v>
      </c>
      <c r="L164" s="35" t="s">
        <v>288</v>
      </c>
    </row>
    <row r="165" spans="1:12" ht="13.2">
      <c r="A165" s="34">
        <v>8298</v>
      </c>
      <c r="B165" s="35" t="s">
        <v>568</v>
      </c>
      <c r="C165" s="35" t="s">
        <v>284</v>
      </c>
      <c r="D165" s="36">
        <v>42784</v>
      </c>
      <c r="E165" s="35" t="s">
        <v>626</v>
      </c>
      <c r="F165" s="35" t="s">
        <v>14</v>
      </c>
      <c r="G165" s="35" t="s">
        <v>569</v>
      </c>
      <c r="H165" s="35" t="s">
        <v>650</v>
      </c>
      <c r="I165" s="37">
        <v>0.69097222222222221</v>
      </c>
      <c r="J165" s="35" t="s">
        <v>651</v>
      </c>
      <c r="K165" s="35" t="s">
        <v>14</v>
      </c>
      <c r="L165" s="35" t="s">
        <v>14</v>
      </c>
    </row>
    <row r="166" spans="1:12" ht="13.2">
      <c r="A166" s="34">
        <v>8293</v>
      </c>
      <c r="B166" s="35" t="s">
        <v>560</v>
      </c>
      <c r="C166" s="35" t="s">
        <v>284</v>
      </c>
      <c r="D166" s="36">
        <v>42791</v>
      </c>
      <c r="E166" s="35" t="s">
        <v>111</v>
      </c>
      <c r="F166" s="35" t="s">
        <v>14</v>
      </c>
      <c r="G166" s="35" t="s">
        <v>105</v>
      </c>
      <c r="H166" s="35" t="s">
        <v>652</v>
      </c>
      <c r="I166" s="37">
        <v>0.55208333333333337</v>
      </c>
      <c r="J166" s="35" t="s">
        <v>653</v>
      </c>
      <c r="K166" s="35" t="s">
        <v>14</v>
      </c>
      <c r="L166" s="35" t="s">
        <v>14</v>
      </c>
    </row>
    <row r="167" spans="1:12" ht="13.2">
      <c r="A167" s="34">
        <v>8292</v>
      </c>
      <c r="B167" s="35" t="s">
        <v>563</v>
      </c>
      <c r="C167" s="35" t="s">
        <v>284</v>
      </c>
      <c r="D167" s="36">
        <v>42693</v>
      </c>
      <c r="E167" s="35" t="s">
        <v>624</v>
      </c>
      <c r="F167" s="35" t="s">
        <v>14</v>
      </c>
      <c r="G167" s="35" t="s">
        <v>120</v>
      </c>
      <c r="H167" s="35" t="s">
        <v>654</v>
      </c>
      <c r="I167" s="37">
        <v>0.59375</v>
      </c>
      <c r="J167" s="35" t="s">
        <v>653</v>
      </c>
      <c r="K167" s="35" t="s">
        <v>14</v>
      </c>
      <c r="L167" s="35" t="s">
        <v>14</v>
      </c>
    </row>
    <row r="168" spans="1:12" ht="13.2">
      <c r="A168" s="34">
        <v>8276</v>
      </c>
      <c r="B168" s="35" t="s">
        <v>600</v>
      </c>
      <c r="C168" s="35" t="s">
        <v>284</v>
      </c>
      <c r="D168" s="36">
        <v>42784</v>
      </c>
      <c r="E168" s="35" t="s">
        <v>79</v>
      </c>
      <c r="F168" s="35" t="s">
        <v>14</v>
      </c>
      <c r="G168" s="35" t="s">
        <v>629</v>
      </c>
      <c r="H168" s="35" t="s">
        <v>655</v>
      </c>
      <c r="I168" s="37">
        <v>0.80208333333333337</v>
      </c>
      <c r="J168" s="35" t="s">
        <v>287</v>
      </c>
      <c r="K168" s="35" t="s">
        <v>338</v>
      </c>
      <c r="L168" s="35" t="s">
        <v>301</v>
      </c>
    </row>
    <row r="169" spans="1:12" ht="13.2">
      <c r="A169" s="34">
        <v>8254</v>
      </c>
      <c r="B169" s="35" t="s">
        <v>560</v>
      </c>
      <c r="C169" s="35" t="s">
        <v>284</v>
      </c>
      <c r="D169" s="36">
        <v>42777</v>
      </c>
      <c r="E169" s="35" t="s">
        <v>632</v>
      </c>
      <c r="F169" s="35" t="s">
        <v>14</v>
      </c>
      <c r="G169" s="35" t="s">
        <v>105</v>
      </c>
      <c r="H169" s="35" t="s">
        <v>656</v>
      </c>
      <c r="I169" s="37">
        <v>0.72569444444444442</v>
      </c>
      <c r="J169" s="35" t="s">
        <v>295</v>
      </c>
      <c r="K169" s="35" t="s">
        <v>14</v>
      </c>
      <c r="L169" s="35" t="s">
        <v>14</v>
      </c>
    </row>
    <row r="170" spans="1:12" ht="13.2">
      <c r="A170" s="34">
        <v>8229</v>
      </c>
      <c r="B170" s="35" t="s">
        <v>600</v>
      </c>
      <c r="C170" s="35" t="s">
        <v>284</v>
      </c>
      <c r="D170" s="36">
        <v>42777</v>
      </c>
      <c r="E170" s="35" t="s">
        <v>79</v>
      </c>
      <c r="F170" s="35" t="s">
        <v>14</v>
      </c>
      <c r="G170" s="35" t="s">
        <v>657</v>
      </c>
      <c r="H170" s="35" t="s">
        <v>658</v>
      </c>
      <c r="I170" s="37">
        <v>0.84722222222222221</v>
      </c>
      <c r="J170" s="35" t="s">
        <v>305</v>
      </c>
      <c r="K170" s="35" t="s">
        <v>338</v>
      </c>
      <c r="L170" s="35" t="s">
        <v>567</v>
      </c>
    </row>
    <row r="171" spans="1:12" ht="13.2">
      <c r="A171" s="34">
        <v>8216</v>
      </c>
      <c r="B171" s="35" t="s">
        <v>560</v>
      </c>
      <c r="C171" s="35" t="s">
        <v>284</v>
      </c>
      <c r="D171" s="36">
        <v>42770</v>
      </c>
      <c r="E171" s="35" t="s">
        <v>105</v>
      </c>
      <c r="F171" s="35" t="s">
        <v>14</v>
      </c>
      <c r="G171" s="35" t="s">
        <v>640</v>
      </c>
      <c r="H171" s="35" t="s">
        <v>659</v>
      </c>
      <c r="I171" s="37">
        <v>0.79861111111111116</v>
      </c>
      <c r="J171" s="35" t="s">
        <v>373</v>
      </c>
      <c r="K171" s="35" t="s">
        <v>328</v>
      </c>
      <c r="L171" s="35" t="s">
        <v>306</v>
      </c>
    </row>
    <row r="172" spans="1:12" ht="13.2">
      <c r="A172" s="34">
        <v>8205</v>
      </c>
      <c r="B172" s="35" t="s">
        <v>563</v>
      </c>
      <c r="C172" s="35" t="s">
        <v>284</v>
      </c>
      <c r="D172" s="36">
        <v>42770</v>
      </c>
      <c r="E172" s="35" t="s">
        <v>120</v>
      </c>
      <c r="F172" s="35" t="s">
        <v>14</v>
      </c>
      <c r="G172" s="35" t="s">
        <v>636</v>
      </c>
      <c r="H172" s="35" t="s">
        <v>660</v>
      </c>
      <c r="I172" s="37">
        <v>0.75</v>
      </c>
      <c r="J172" s="35" t="s">
        <v>373</v>
      </c>
      <c r="K172" s="35" t="s">
        <v>566</v>
      </c>
      <c r="L172" s="35" t="s">
        <v>338</v>
      </c>
    </row>
    <row r="173" spans="1:12" ht="13.2">
      <c r="A173" s="34">
        <v>8204</v>
      </c>
      <c r="B173" s="35" t="s">
        <v>568</v>
      </c>
      <c r="C173" s="35" t="s">
        <v>284</v>
      </c>
      <c r="D173" s="36">
        <v>42770</v>
      </c>
      <c r="E173" s="35" t="s">
        <v>569</v>
      </c>
      <c r="F173" s="35" t="s">
        <v>14</v>
      </c>
      <c r="G173" s="35" t="s">
        <v>638</v>
      </c>
      <c r="H173" s="35" t="s">
        <v>661</v>
      </c>
      <c r="I173" s="37">
        <v>0.84722222222222221</v>
      </c>
      <c r="J173" s="35" t="s">
        <v>373</v>
      </c>
      <c r="K173" s="35" t="s">
        <v>306</v>
      </c>
      <c r="L173" s="35" t="s">
        <v>328</v>
      </c>
    </row>
    <row r="174" spans="1:12" ht="13.2">
      <c r="A174" s="34">
        <v>8187</v>
      </c>
      <c r="B174" s="35" t="s">
        <v>600</v>
      </c>
      <c r="C174" s="35" t="s">
        <v>284</v>
      </c>
      <c r="D174" s="36">
        <v>42770</v>
      </c>
      <c r="E174" s="35" t="s">
        <v>642</v>
      </c>
      <c r="F174" s="35" t="s">
        <v>14</v>
      </c>
      <c r="G174" s="35" t="s">
        <v>79</v>
      </c>
      <c r="H174" s="35" t="s">
        <v>662</v>
      </c>
      <c r="I174" s="37">
        <v>0.625</v>
      </c>
      <c r="J174" s="35" t="s">
        <v>412</v>
      </c>
      <c r="K174" s="35" t="s">
        <v>14</v>
      </c>
      <c r="L174" s="35" t="s">
        <v>14</v>
      </c>
    </row>
    <row r="175" spans="1:12" ht="13.2">
      <c r="A175" s="34">
        <v>8170</v>
      </c>
      <c r="B175" s="35" t="s">
        <v>575</v>
      </c>
      <c r="C175" s="35" t="s">
        <v>284</v>
      </c>
      <c r="D175" s="36">
        <v>42756</v>
      </c>
      <c r="E175" s="35" t="s">
        <v>663</v>
      </c>
      <c r="F175" s="35" t="s">
        <v>14</v>
      </c>
      <c r="G175" s="35" t="s">
        <v>112</v>
      </c>
      <c r="H175" s="35" t="s">
        <v>664</v>
      </c>
      <c r="I175" s="37">
        <v>0.54861111111111116</v>
      </c>
      <c r="J175" s="35" t="s">
        <v>430</v>
      </c>
      <c r="K175" s="35" t="s">
        <v>14</v>
      </c>
      <c r="L175" s="35" t="s">
        <v>14</v>
      </c>
    </row>
    <row r="176" spans="1:12" ht="13.2">
      <c r="A176" s="34">
        <v>8160</v>
      </c>
      <c r="B176" s="35" t="s">
        <v>572</v>
      </c>
      <c r="C176" s="35" t="s">
        <v>284</v>
      </c>
      <c r="D176" s="36">
        <v>42756</v>
      </c>
      <c r="E176" s="35" t="s">
        <v>204</v>
      </c>
      <c r="F176" s="35" t="s">
        <v>14</v>
      </c>
      <c r="G176" s="35" t="s">
        <v>115</v>
      </c>
      <c r="H176" s="35" t="s">
        <v>665</v>
      </c>
      <c r="I176" s="37">
        <v>0.78472222222222221</v>
      </c>
      <c r="J176" s="35" t="s">
        <v>358</v>
      </c>
      <c r="K176" s="35" t="s">
        <v>14</v>
      </c>
      <c r="L176" s="35" t="s">
        <v>14</v>
      </c>
    </row>
    <row r="177" spans="1:12" ht="13.2">
      <c r="A177" s="34">
        <v>8126</v>
      </c>
      <c r="B177" s="35" t="s">
        <v>575</v>
      </c>
      <c r="C177" s="35" t="s">
        <v>284</v>
      </c>
      <c r="D177" s="36">
        <v>42742</v>
      </c>
      <c r="E177" s="35" t="s">
        <v>112</v>
      </c>
      <c r="F177" s="35" t="s">
        <v>14</v>
      </c>
      <c r="G177" s="35" t="s">
        <v>576</v>
      </c>
      <c r="H177" s="35" t="s">
        <v>666</v>
      </c>
      <c r="I177" s="37">
        <v>0.59027777777777779</v>
      </c>
      <c r="J177" s="35" t="s">
        <v>287</v>
      </c>
      <c r="K177" s="35" t="s">
        <v>288</v>
      </c>
      <c r="L177" s="35" t="s">
        <v>306</v>
      </c>
    </row>
    <row r="178" spans="1:12" ht="13.2">
      <c r="A178" s="34">
        <v>8125</v>
      </c>
      <c r="B178" s="35" t="s">
        <v>572</v>
      </c>
      <c r="C178" s="35" t="s">
        <v>284</v>
      </c>
      <c r="D178" s="36">
        <v>42812</v>
      </c>
      <c r="E178" s="35" t="s">
        <v>115</v>
      </c>
      <c r="F178" s="35" t="s">
        <v>14</v>
      </c>
      <c r="G178" s="35" t="s">
        <v>573</v>
      </c>
      <c r="H178" s="35" t="s">
        <v>667</v>
      </c>
      <c r="I178" s="37">
        <v>0.81597222222222221</v>
      </c>
      <c r="J178" s="35" t="s">
        <v>287</v>
      </c>
      <c r="K178" s="35" t="s">
        <v>298</v>
      </c>
      <c r="L178" s="35" t="s">
        <v>301</v>
      </c>
    </row>
    <row r="179" spans="1:12" ht="13.2">
      <c r="A179" s="34">
        <v>8112</v>
      </c>
      <c r="B179" s="35" t="s">
        <v>600</v>
      </c>
      <c r="C179" s="35" t="s">
        <v>284</v>
      </c>
      <c r="D179" s="36">
        <v>42742</v>
      </c>
      <c r="E179" s="35" t="s">
        <v>79</v>
      </c>
      <c r="F179" s="35" t="s">
        <v>14</v>
      </c>
      <c r="G179" s="35" t="s">
        <v>646</v>
      </c>
      <c r="H179" s="35" t="s">
        <v>668</v>
      </c>
      <c r="I179" s="37">
        <v>0.68055555555555558</v>
      </c>
      <c r="J179" s="35" t="s">
        <v>305</v>
      </c>
      <c r="K179" s="35" t="s">
        <v>338</v>
      </c>
      <c r="L179" s="35" t="s">
        <v>298</v>
      </c>
    </row>
    <row r="180" spans="1:12" ht="13.2">
      <c r="A180" s="34">
        <v>8080</v>
      </c>
      <c r="B180" s="35" t="s">
        <v>600</v>
      </c>
      <c r="C180" s="35" t="s">
        <v>284</v>
      </c>
      <c r="D180" s="36">
        <v>42714</v>
      </c>
      <c r="E180" s="35" t="s">
        <v>657</v>
      </c>
      <c r="F180" s="35" t="s">
        <v>14</v>
      </c>
      <c r="G180" s="35" t="s">
        <v>79</v>
      </c>
      <c r="H180" s="35" t="s">
        <v>669</v>
      </c>
      <c r="I180" s="37">
        <v>0.80555555555555558</v>
      </c>
      <c r="J180" s="35" t="s">
        <v>313</v>
      </c>
      <c r="K180" s="35" t="s">
        <v>14</v>
      </c>
      <c r="L180" s="35" t="s">
        <v>14</v>
      </c>
    </row>
    <row r="181" spans="1:12" ht="13.2">
      <c r="A181" s="34">
        <v>8039</v>
      </c>
      <c r="B181" s="35" t="s">
        <v>575</v>
      </c>
      <c r="C181" s="35" t="s">
        <v>284</v>
      </c>
      <c r="D181" s="36">
        <v>42700</v>
      </c>
      <c r="E181" s="35" t="s">
        <v>112</v>
      </c>
      <c r="F181" s="35" t="s">
        <v>14</v>
      </c>
      <c r="G181" s="35" t="s">
        <v>592</v>
      </c>
      <c r="H181" s="35" t="s">
        <v>670</v>
      </c>
      <c r="I181" s="37">
        <v>0.76388888888888884</v>
      </c>
      <c r="J181" s="35" t="s">
        <v>373</v>
      </c>
      <c r="K181" s="35" t="s">
        <v>288</v>
      </c>
      <c r="L181" s="35" t="s">
        <v>566</v>
      </c>
    </row>
    <row r="182" spans="1:12" ht="13.2">
      <c r="A182" s="34">
        <v>8038</v>
      </c>
      <c r="B182" s="35" t="s">
        <v>572</v>
      </c>
      <c r="C182" s="35" t="s">
        <v>284</v>
      </c>
      <c r="D182" s="36">
        <v>42700</v>
      </c>
      <c r="E182" s="35" t="s">
        <v>115</v>
      </c>
      <c r="F182" s="35" t="s">
        <v>14</v>
      </c>
      <c r="G182" s="35" t="s">
        <v>594</v>
      </c>
      <c r="H182" s="35" t="s">
        <v>671</v>
      </c>
      <c r="I182" s="37">
        <v>0.86458333333333337</v>
      </c>
      <c r="J182" s="35" t="s">
        <v>287</v>
      </c>
      <c r="K182" s="35" t="s">
        <v>298</v>
      </c>
      <c r="L182" s="35" t="s">
        <v>328</v>
      </c>
    </row>
    <row r="183" spans="1:12" ht="13.2">
      <c r="A183" s="34">
        <v>8025</v>
      </c>
      <c r="B183" s="35" t="s">
        <v>560</v>
      </c>
      <c r="C183" s="35" t="s">
        <v>284</v>
      </c>
      <c r="D183" s="36">
        <v>42812</v>
      </c>
      <c r="E183" s="35" t="s">
        <v>105</v>
      </c>
      <c r="F183" s="35" t="s">
        <v>14</v>
      </c>
      <c r="G183" s="35" t="s">
        <v>585</v>
      </c>
      <c r="H183" s="35" t="s">
        <v>672</v>
      </c>
      <c r="I183" s="37">
        <v>0.70833333333333337</v>
      </c>
      <c r="J183" s="35" t="s">
        <v>305</v>
      </c>
      <c r="K183" s="35" t="s">
        <v>328</v>
      </c>
      <c r="L183" s="35" t="s">
        <v>298</v>
      </c>
    </row>
    <row r="184" spans="1:12" ht="13.2">
      <c r="A184" s="34">
        <v>8013</v>
      </c>
      <c r="B184" s="35" t="s">
        <v>563</v>
      </c>
      <c r="C184" s="35" t="s">
        <v>284</v>
      </c>
      <c r="D184" s="36">
        <v>42700</v>
      </c>
      <c r="E184" s="35" t="s">
        <v>120</v>
      </c>
      <c r="F184" s="35" t="s">
        <v>14</v>
      </c>
      <c r="G184" s="35" t="s">
        <v>590</v>
      </c>
      <c r="H184" s="35" t="s">
        <v>673</v>
      </c>
      <c r="I184" s="37">
        <v>0.66666666666666663</v>
      </c>
      <c r="J184" s="35" t="s">
        <v>373</v>
      </c>
      <c r="K184" s="35" t="s">
        <v>566</v>
      </c>
      <c r="L184" s="35" t="s">
        <v>306</v>
      </c>
    </row>
    <row r="185" spans="1:12" ht="13.2">
      <c r="A185" s="34">
        <v>8012</v>
      </c>
      <c r="B185" s="35" t="s">
        <v>568</v>
      </c>
      <c r="C185" s="35" t="s">
        <v>284</v>
      </c>
      <c r="D185" s="36">
        <v>42700</v>
      </c>
      <c r="E185" s="35" t="s">
        <v>569</v>
      </c>
      <c r="F185" s="35" t="s">
        <v>14</v>
      </c>
      <c r="G185" s="35" t="s">
        <v>587</v>
      </c>
      <c r="H185" s="35" t="s">
        <v>674</v>
      </c>
      <c r="I185" s="37">
        <v>0.71527777777777779</v>
      </c>
      <c r="J185" s="35" t="s">
        <v>373</v>
      </c>
      <c r="K185" s="35" t="s">
        <v>306</v>
      </c>
      <c r="L185" s="35" t="s">
        <v>288</v>
      </c>
    </row>
    <row r="186" spans="1:12" ht="13.2">
      <c r="A186" s="34">
        <v>7994</v>
      </c>
      <c r="B186" s="35" t="s">
        <v>575</v>
      </c>
      <c r="C186" s="35" t="s">
        <v>284</v>
      </c>
      <c r="D186" s="36">
        <v>42693</v>
      </c>
      <c r="E186" s="35" t="s">
        <v>112</v>
      </c>
      <c r="F186" s="35" t="s">
        <v>14</v>
      </c>
      <c r="G186" s="35" t="s">
        <v>663</v>
      </c>
      <c r="H186" s="35" t="s">
        <v>675</v>
      </c>
      <c r="I186" s="37">
        <v>0.86805555555555558</v>
      </c>
      <c r="J186" s="35" t="s">
        <v>287</v>
      </c>
      <c r="K186" s="35" t="s">
        <v>288</v>
      </c>
      <c r="L186" s="35" t="s">
        <v>567</v>
      </c>
    </row>
    <row r="187" spans="1:12" ht="13.2">
      <c r="A187" s="34">
        <v>7993</v>
      </c>
      <c r="B187" s="35" t="s">
        <v>572</v>
      </c>
      <c r="C187" s="35" t="s">
        <v>284</v>
      </c>
      <c r="D187" s="36">
        <v>42798</v>
      </c>
      <c r="E187" s="35" t="s">
        <v>115</v>
      </c>
      <c r="F187" s="35" t="s">
        <v>14</v>
      </c>
      <c r="G187" s="35" t="s">
        <v>204</v>
      </c>
      <c r="H187" s="35" t="s">
        <v>676</v>
      </c>
      <c r="I187" s="37">
        <v>0.63888888888888884</v>
      </c>
      <c r="J187" s="35" t="s">
        <v>287</v>
      </c>
      <c r="K187" s="35" t="s">
        <v>298</v>
      </c>
      <c r="L187" s="35" t="s">
        <v>606</v>
      </c>
    </row>
    <row r="188" spans="1:12" ht="13.2">
      <c r="A188" s="34">
        <v>7971</v>
      </c>
      <c r="B188" s="35" t="s">
        <v>568</v>
      </c>
      <c r="C188" s="35" t="s">
        <v>284</v>
      </c>
      <c r="D188" s="36">
        <v>42693</v>
      </c>
      <c r="E188" s="35" t="s">
        <v>598</v>
      </c>
      <c r="F188" s="35" t="s">
        <v>14</v>
      </c>
      <c r="G188" s="35" t="s">
        <v>569</v>
      </c>
      <c r="H188" s="35" t="s">
        <v>677</v>
      </c>
      <c r="I188" s="37">
        <v>0.86805555555555558</v>
      </c>
      <c r="J188" s="35" t="s">
        <v>678</v>
      </c>
      <c r="K188" s="35" t="s">
        <v>14</v>
      </c>
      <c r="L188" s="35" t="s">
        <v>14</v>
      </c>
    </row>
    <row r="189" spans="1:12" ht="13.2">
      <c r="A189" s="34">
        <v>7968</v>
      </c>
      <c r="B189" s="35" t="s">
        <v>563</v>
      </c>
      <c r="C189" s="35" t="s">
        <v>284</v>
      </c>
      <c r="D189" s="36">
        <v>42714</v>
      </c>
      <c r="E189" s="35" t="s">
        <v>596</v>
      </c>
      <c r="F189" s="35" t="s">
        <v>14</v>
      </c>
      <c r="G189" s="35" t="s">
        <v>120</v>
      </c>
      <c r="H189" s="35" t="s">
        <v>679</v>
      </c>
      <c r="I189" s="37">
        <v>0.83333333333333337</v>
      </c>
      <c r="J189" s="35" t="s">
        <v>520</v>
      </c>
      <c r="K189" s="35" t="s">
        <v>14</v>
      </c>
      <c r="L189" s="35" t="s">
        <v>14</v>
      </c>
    </row>
    <row r="190" spans="1:12" ht="13.2">
      <c r="A190" s="34">
        <v>7951</v>
      </c>
      <c r="B190" s="35" t="s">
        <v>600</v>
      </c>
      <c r="C190" s="35" t="s">
        <v>284</v>
      </c>
      <c r="D190" s="36">
        <v>42693</v>
      </c>
      <c r="E190" s="35" t="s">
        <v>79</v>
      </c>
      <c r="F190" s="35" t="s">
        <v>14</v>
      </c>
      <c r="G190" s="35" t="s">
        <v>601</v>
      </c>
      <c r="H190" s="35" t="s">
        <v>680</v>
      </c>
      <c r="I190" s="37">
        <v>0.80555555555555558</v>
      </c>
      <c r="J190" s="35" t="s">
        <v>305</v>
      </c>
      <c r="K190" s="35" t="s">
        <v>338</v>
      </c>
      <c r="L190" s="35" t="s">
        <v>606</v>
      </c>
    </row>
    <row r="191" spans="1:12" ht="13.2">
      <c r="A191" s="34">
        <v>7936</v>
      </c>
      <c r="B191" s="35" t="s">
        <v>560</v>
      </c>
      <c r="C191" s="35" t="s">
        <v>284</v>
      </c>
      <c r="D191" s="36">
        <v>42686</v>
      </c>
      <c r="E191" s="35" t="s">
        <v>105</v>
      </c>
      <c r="F191" s="35" t="s">
        <v>14</v>
      </c>
      <c r="G191" s="35" t="s">
        <v>202</v>
      </c>
      <c r="H191" s="35" t="s">
        <v>681</v>
      </c>
      <c r="I191" s="37">
        <v>0.6875</v>
      </c>
      <c r="J191" s="35" t="s">
        <v>305</v>
      </c>
      <c r="K191" s="35" t="s">
        <v>328</v>
      </c>
      <c r="L191" s="35" t="s">
        <v>306</v>
      </c>
    </row>
    <row r="192" spans="1:12" ht="13.2">
      <c r="A192" s="34">
        <v>7926</v>
      </c>
      <c r="B192" s="35" t="s">
        <v>600</v>
      </c>
      <c r="C192" s="35" t="s">
        <v>284</v>
      </c>
      <c r="D192" s="36">
        <v>42686</v>
      </c>
      <c r="E192" s="35" t="s">
        <v>607</v>
      </c>
      <c r="F192" s="35" t="s">
        <v>14</v>
      </c>
      <c r="G192" s="35" t="s">
        <v>79</v>
      </c>
      <c r="H192" s="35" t="s">
        <v>682</v>
      </c>
      <c r="I192" s="37">
        <v>0.85416666666666663</v>
      </c>
      <c r="J192" s="35" t="s">
        <v>530</v>
      </c>
      <c r="K192" s="35" t="s">
        <v>14</v>
      </c>
      <c r="L192" s="35" t="s">
        <v>14</v>
      </c>
    </row>
    <row r="193" spans="1:12" ht="13.2">
      <c r="A193" s="34">
        <v>7924</v>
      </c>
      <c r="B193" s="35" t="s">
        <v>568</v>
      </c>
      <c r="C193" s="35" t="s">
        <v>284</v>
      </c>
      <c r="D193" s="36">
        <v>42812</v>
      </c>
      <c r="E193" s="35" t="s">
        <v>569</v>
      </c>
      <c r="F193" s="35" t="s">
        <v>14</v>
      </c>
      <c r="G193" s="35" t="s">
        <v>613</v>
      </c>
      <c r="H193" s="35" t="s">
        <v>683</v>
      </c>
      <c r="I193" s="37">
        <v>0.76041666666666663</v>
      </c>
      <c r="J193" s="35" t="s">
        <v>305</v>
      </c>
      <c r="K193" s="35" t="s">
        <v>306</v>
      </c>
      <c r="L193" s="35" t="s">
        <v>684</v>
      </c>
    </row>
    <row r="194" spans="1:12" ht="13.2">
      <c r="A194" s="34">
        <v>7879</v>
      </c>
      <c r="B194" s="35" t="s">
        <v>685</v>
      </c>
      <c r="C194" s="35" t="s">
        <v>284</v>
      </c>
      <c r="D194" s="36">
        <v>42805</v>
      </c>
      <c r="E194" s="38" t="s">
        <v>686</v>
      </c>
      <c r="F194" s="35" t="s">
        <v>14</v>
      </c>
      <c r="G194" s="35" t="s">
        <v>95</v>
      </c>
      <c r="H194" s="38" t="s">
        <v>687</v>
      </c>
      <c r="I194" s="37">
        <v>0.54166666666666663</v>
      </c>
      <c r="J194" s="35" t="s">
        <v>472</v>
      </c>
      <c r="K194" s="35" t="s">
        <v>14</v>
      </c>
      <c r="L194" s="35" t="s">
        <v>14</v>
      </c>
    </row>
    <row r="195" spans="1:12" ht="13.2">
      <c r="A195" s="34">
        <v>7860</v>
      </c>
      <c r="B195" s="35" t="s">
        <v>685</v>
      </c>
      <c r="C195" s="35" t="s">
        <v>284</v>
      </c>
      <c r="D195" s="36">
        <v>42777</v>
      </c>
      <c r="E195" s="35" t="s">
        <v>688</v>
      </c>
      <c r="F195" s="35" t="s">
        <v>14</v>
      </c>
      <c r="G195" s="35" t="s">
        <v>95</v>
      </c>
      <c r="H195" s="35" t="s">
        <v>689</v>
      </c>
      <c r="I195" s="37">
        <v>0.66319444444444442</v>
      </c>
      <c r="J195" s="35" t="s">
        <v>497</v>
      </c>
      <c r="K195" s="35" t="s">
        <v>14</v>
      </c>
      <c r="L195" s="35" t="s">
        <v>14</v>
      </c>
    </row>
    <row r="196" spans="1:12" ht="13.2">
      <c r="A196" s="34">
        <v>7851</v>
      </c>
      <c r="B196" s="35" t="s">
        <v>685</v>
      </c>
      <c r="C196" s="35" t="s">
        <v>284</v>
      </c>
      <c r="D196" s="36">
        <v>42770</v>
      </c>
      <c r="E196" s="35" t="s">
        <v>95</v>
      </c>
      <c r="F196" s="35" t="s">
        <v>14</v>
      </c>
      <c r="G196" s="35" t="s">
        <v>690</v>
      </c>
      <c r="H196" s="35" t="s">
        <v>691</v>
      </c>
      <c r="I196" s="37">
        <v>0.63194444444444442</v>
      </c>
      <c r="J196" s="35" t="s">
        <v>287</v>
      </c>
      <c r="K196" s="35" t="s">
        <v>567</v>
      </c>
      <c r="L196" s="35" t="s">
        <v>566</v>
      </c>
    </row>
    <row r="197" spans="1:12" ht="13.2">
      <c r="A197" s="34">
        <v>7820</v>
      </c>
      <c r="B197" s="35" t="s">
        <v>692</v>
      </c>
      <c r="C197" s="35" t="s">
        <v>284</v>
      </c>
      <c r="D197" s="36">
        <v>42763</v>
      </c>
      <c r="E197" s="35" t="s">
        <v>102</v>
      </c>
      <c r="F197" s="35" t="s">
        <v>14</v>
      </c>
      <c r="G197" s="35" t="s">
        <v>693</v>
      </c>
      <c r="H197" s="35" t="s">
        <v>694</v>
      </c>
      <c r="I197" s="37">
        <v>0.80555555555555558</v>
      </c>
      <c r="J197" s="35" t="s">
        <v>305</v>
      </c>
      <c r="K197" s="35" t="s">
        <v>301</v>
      </c>
      <c r="L197" s="35" t="s">
        <v>338</v>
      </c>
    </row>
    <row r="198" spans="1:12" ht="13.2">
      <c r="A198" s="34">
        <v>7817</v>
      </c>
      <c r="B198" s="35" t="s">
        <v>685</v>
      </c>
      <c r="C198" s="35" t="s">
        <v>284</v>
      </c>
      <c r="D198" s="36">
        <v>42763</v>
      </c>
      <c r="E198" s="35" t="s">
        <v>695</v>
      </c>
      <c r="F198" s="35" t="s">
        <v>14</v>
      </c>
      <c r="G198" s="35" t="s">
        <v>95</v>
      </c>
      <c r="H198" s="35" t="s">
        <v>696</v>
      </c>
      <c r="I198" s="37">
        <v>0.625</v>
      </c>
      <c r="J198" s="35" t="s">
        <v>546</v>
      </c>
      <c r="K198" s="35" t="s">
        <v>14</v>
      </c>
      <c r="L198" s="35" t="s">
        <v>14</v>
      </c>
    </row>
    <row r="199" spans="1:12" ht="13.2">
      <c r="A199" s="34">
        <v>7790</v>
      </c>
      <c r="B199" s="35" t="s">
        <v>685</v>
      </c>
      <c r="C199" s="35" t="s">
        <v>284</v>
      </c>
      <c r="D199" s="36">
        <v>42749</v>
      </c>
      <c r="E199" s="35" t="s">
        <v>95</v>
      </c>
      <c r="F199" s="35" t="s">
        <v>14</v>
      </c>
      <c r="G199" s="35" t="s">
        <v>697</v>
      </c>
      <c r="H199" s="35" t="s">
        <v>698</v>
      </c>
      <c r="I199" s="37">
        <v>0.79166666666666663</v>
      </c>
      <c r="J199" s="35" t="s">
        <v>373</v>
      </c>
      <c r="K199" s="35" t="s">
        <v>566</v>
      </c>
      <c r="L199" s="35" t="s">
        <v>328</v>
      </c>
    </row>
    <row r="200" spans="1:12" ht="13.2">
      <c r="A200" s="34">
        <v>7784</v>
      </c>
      <c r="B200" s="35" t="s">
        <v>692</v>
      </c>
      <c r="C200" s="35" t="s">
        <v>284</v>
      </c>
      <c r="D200" s="36">
        <v>42791</v>
      </c>
      <c r="E200" s="35" t="s">
        <v>102</v>
      </c>
      <c r="F200" s="35" t="s">
        <v>14</v>
      </c>
      <c r="G200" s="35" t="s">
        <v>699</v>
      </c>
      <c r="H200" s="35" t="s">
        <v>700</v>
      </c>
      <c r="I200" s="37">
        <v>0.54166666666666663</v>
      </c>
      <c r="J200" s="35" t="s">
        <v>287</v>
      </c>
      <c r="K200" s="35" t="s">
        <v>338</v>
      </c>
      <c r="L200" s="35" t="s">
        <v>301</v>
      </c>
    </row>
    <row r="201" spans="1:12" ht="13.2">
      <c r="A201" s="34">
        <v>7763</v>
      </c>
      <c r="B201" s="35" t="s">
        <v>685</v>
      </c>
      <c r="C201" s="35" t="s">
        <v>284</v>
      </c>
      <c r="D201" s="36">
        <v>42721</v>
      </c>
      <c r="E201" s="35" t="s">
        <v>701</v>
      </c>
      <c r="F201" s="35" t="s">
        <v>14</v>
      </c>
      <c r="G201" s="35" t="s">
        <v>95</v>
      </c>
      <c r="H201" s="35" t="s">
        <v>702</v>
      </c>
      <c r="I201" s="37">
        <v>0.63194444444444442</v>
      </c>
      <c r="J201" s="35" t="s">
        <v>451</v>
      </c>
      <c r="K201" s="35" t="s">
        <v>14</v>
      </c>
      <c r="L201" s="35" t="s">
        <v>14</v>
      </c>
    </row>
    <row r="202" spans="1:12" ht="13.2">
      <c r="A202" s="34">
        <v>6086</v>
      </c>
      <c r="B202" s="35" t="s">
        <v>703</v>
      </c>
      <c r="C202" s="35" t="s">
        <v>284</v>
      </c>
      <c r="D202" s="36">
        <v>42707</v>
      </c>
      <c r="E202" s="35" t="s">
        <v>704</v>
      </c>
      <c r="F202" s="35" t="s">
        <v>14</v>
      </c>
      <c r="G202" s="35" t="s">
        <v>67</v>
      </c>
      <c r="H202" s="35" t="s">
        <v>705</v>
      </c>
      <c r="I202" s="37">
        <v>0.625</v>
      </c>
      <c r="J202" s="35" t="s">
        <v>313</v>
      </c>
      <c r="K202" s="35" t="s">
        <v>14</v>
      </c>
      <c r="L202" s="35" t="s">
        <v>14</v>
      </c>
    </row>
    <row r="203" spans="1:12" ht="13.2">
      <c r="A203" s="34">
        <v>6068</v>
      </c>
      <c r="B203" s="35" t="s">
        <v>706</v>
      </c>
      <c r="C203" s="35" t="s">
        <v>284</v>
      </c>
      <c r="D203" s="36">
        <v>42707</v>
      </c>
      <c r="E203" s="35" t="s">
        <v>707</v>
      </c>
      <c r="F203" s="35" t="s">
        <v>14</v>
      </c>
      <c r="G203" s="35" t="s">
        <v>708</v>
      </c>
      <c r="H203" s="35" t="s">
        <v>709</v>
      </c>
      <c r="I203" s="37">
        <v>0.54166666666666663</v>
      </c>
      <c r="J203" s="35" t="s">
        <v>287</v>
      </c>
      <c r="K203" s="35" t="s">
        <v>14</v>
      </c>
      <c r="L203" s="35" t="s">
        <v>14</v>
      </c>
    </row>
    <row r="204" spans="1:12" ht="13.2">
      <c r="A204" s="34">
        <v>6056</v>
      </c>
      <c r="B204" s="35" t="s">
        <v>710</v>
      </c>
      <c r="C204" s="35" t="s">
        <v>284</v>
      </c>
      <c r="D204" s="36">
        <v>42707</v>
      </c>
      <c r="E204" s="35" t="s">
        <v>711</v>
      </c>
      <c r="F204" s="35" t="s">
        <v>14</v>
      </c>
      <c r="G204" s="35" t="s">
        <v>712</v>
      </c>
      <c r="H204" s="35" t="s">
        <v>713</v>
      </c>
      <c r="I204" s="37">
        <v>0.54166666666666663</v>
      </c>
      <c r="J204" s="35" t="s">
        <v>287</v>
      </c>
      <c r="K204" s="35" t="s">
        <v>384</v>
      </c>
      <c r="L204" s="35" t="s">
        <v>714</v>
      </c>
    </row>
    <row r="205" spans="1:12" ht="13.2">
      <c r="A205" s="34">
        <v>6029</v>
      </c>
      <c r="B205" s="35" t="s">
        <v>715</v>
      </c>
      <c r="C205" s="35" t="s">
        <v>284</v>
      </c>
      <c r="D205" s="36">
        <v>42686</v>
      </c>
      <c r="E205" s="35" t="s">
        <v>716</v>
      </c>
      <c r="F205" s="35" t="s">
        <v>14</v>
      </c>
      <c r="G205" s="35" t="s">
        <v>64</v>
      </c>
      <c r="H205" s="35" t="s">
        <v>717</v>
      </c>
      <c r="I205" s="37">
        <v>0.375</v>
      </c>
      <c r="J205" s="35" t="s">
        <v>441</v>
      </c>
      <c r="K205" s="35" t="s">
        <v>14</v>
      </c>
      <c r="L205" s="35" t="s">
        <v>14</v>
      </c>
    </row>
    <row r="206" spans="1:12" ht="13.2">
      <c r="A206" s="34">
        <v>6027</v>
      </c>
      <c r="B206" s="35" t="s">
        <v>718</v>
      </c>
      <c r="C206" s="35" t="s">
        <v>284</v>
      </c>
      <c r="D206" s="36">
        <v>42742</v>
      </c>
      <c r="E206" s="35" t="s">
        <v>719</v>
      </c>
      <c r="F206" s="35" t="s">
        <v>14</v>
      </c>
      <c r="G206" s="35" t="s">
        <v>36</v>
      </c>
      <c r="H206" s="35" t="s">
        <v>720</v>
      </c>
      <c r="I206" s="37">
        <v>0.375</v>
      </c>
      <c r="J206" s="35" t="s">
        <v>721</v>
      </c>
      <c r="K206" s="35" t="s">
        <v>14</v>
      </c>
      <c r="L206" s="35" t="s">
        <v>14</v>
      </c>
    </row>
    <row r="207" spans="1:12" ht="13.2">
      <c r="A207" s="34">
        <v>6026</v>
      </c>
      <c r="B207" s="35" t="s">
        <v>722</v>
      </c>
      <c r="C207" s="35" t="s">
        <v>284</v>
      </c>
      <c r="D207" s="36">
        <v>42686</v>
      </c>
      <c r="E207" s="35" t="s">
        <v>193</v>
      </c>
      <c r="F207" s="35" t="s">
        <v>14</v>
      </c>
      <c r="G207" s="35" t="s">
        <v>20</v>
      </c>
      <c r="H207" s="35" t="s">
        <v>723</v>
      </c>
      <c r="I207" s="37">
        <v>0.54166666666666663</v>
      </c>
      <c r="J207" s="35" t="s">
        <v>405</v>
      </c>
      <c r="K207" s="35" t="s">
        <v>14</v>
      </c>
      <c r="L207" s="35" t="s">
        <v>14</v>
      </c>
    </row>
    <row r="208" spans="1:12" ht="13.2">
      <c r="A208" s="34">
        <v>6017</v>
      </c>
      <c r="B208" s="35" t="s">
        <v>724</v>
      </c>
      <c r="C208" s="35" t="s">
        <v>284</v>
      </c>
      <c r="D208" s="36">
        <v>42700</v>
      </c>
      <c r="E208" s="35" t="s">
        <v>725</v>
      </c>
      <c r="F208" s="35" t="s">
        <v>14</v>
      </c>
      <c r="G208" s="35" t="s">
        <v>40</v>
      </c>
      <c r="H208" s="35" t="s">
        <v>726</v>
      </c>
      <c r="I208" s="37">
        <v>0.375</v>
      </c>
      <c r="J208" s="35" t="s">
        <v>352</v>
      </c>
      <c r="K208" s="35" t="s">
        <v>14</v>
      </c>
      <c r="L208" s="35" t="s">
        <v>14</v>
      </c>
    </row>
    <row r="209" spans="1:12" ht="13.2">
      <c r="A209" s="34">
        <v>6015</v>
      </c>
      <c r="B209" s="35" t="s">
        <v>703</v>
      </c>
      <c r="C209" s="35" t="s">
        <v>284</v>
      </c>
      <c r="D209" s="36">
        <v>42686</v>
      </c>
      <c r="E209" s="35" t="s">
        <v>727</v>
      </c>
      <c r="F209" s="35" t="s">
        <v>14</v>
      </c>
      <c r="G209" s="35" t="s">
        <v>67</v>
      </c>
      <c r="H209" s="35" t="s">
        <v>728</v>
      </c>
      <c r="I209" s="37">
        <v>0.375</v>
      </c>
      <c r="J209" s="35" t="s">
        <v>441</v>
      </c>
      <c r="K209" s="35" t="s">
        <v>14</v>
      </c>
      <c r="L209" s="35" t="s">
        <v>14</v>
      </c>
    </row>
    <row r="210" spans="1:12" ht="13.2">
      <c r="A210" s="34">
        <v>5974</v>
      </c>
      <c r="B210" s="35" t="s">
        <v>710</v>
      </c>
      <c r="C210" s="35" t="s">
        <v>284</v>
      </c>
      <c r="D210" s="36">
        <v>42805</v>
      </c>
      <c r="E210" s="35" t="s">
        <v>729</v>
      </c>
      <c r="F210" s="35" t="s">
        <v>14</v>
      </c>
      <c r="G210" s="35" t="s">
        <v>711</v>
      </c>
      <c r="H210" s="35" t="s">
        <v>730</v>
      </c>
      <c r="I210" s="37">
        <v>0.375</v>
      </c>
      <c r="J210" s="35" t="s">
        <v>387</v>
      </c>
      <c r="K210" s="35" t="s">
        <v>14</v>
      </c>
      <c r="L210" s="35" t="s">
        <v>14</v>
      </c>
    </row>
    <row r="211" spans="1:12" ht="13.2">
      <c r="A211" s="34">
        <v>5963</v>
      </c>
      <c r="B211" s="35" t="s">
        <v>731</v>
      </c>
      <c r="C211" s="35" t="s">
        <v>284</v>
      </c>
      <c r="D211" s="36">
        <v>42784</v>
      </c>
      <c r="E211" s="35" t="s">
        <v>732</v>
      </c>
      <c r="F211" s="35" t="s">
        <v>14</v>
      </c>
      <c r="G211" s="35" t="s">
        <v>733</v>
      </c>
      <c r="H211" s="35" t="s">
        <v>734</v>
      </c>
      <c r="I211" s="37">
        <v>0.50347222222222221</v>
      </c>
      <c r="J211" s="35" t="s">
        <v>735</v>
      </c>
      <c r="K211" s="35" t="s">
        <v>14</v>
      </c>
      <c r="L211" s="35" t="s">
        <v>14</v>
      </c>
    </row>
    <row r="212" spans="1:12" ht="13.2">
      <c r="A212" s="34">
        <v>5959</v>
      </c>
      <c r="B212" s="35" t="s">
        <v>715</v>
      </c>
      <c r="C212" s="35" t="s">
        <v>284</v>
      </c>
      <c r="D212" s="36">
        <v>42784</v>
      </c>
      <c r="E212" s="35" t="s">
        <v>64</v>
      </c>
      <c r="F212" s="35" t="s">
        <v>14</v>
      </c>
      <c r="G212" s="35" t="s">
        <v>736</v>
      </c>
      <c r="H212" s="35" t="s">
        <v>737</v>
      </c>
      <c r="I212" s="37">
        <v>0.41666666666666669</v>
      </c>
      <c r="J212" s="35" t="s">
        <v>373</v>
      </c>
      <c r="K212" s="35" t="s">
        <v>738</v>
      </c>
      <c r="L212" s="35" t="s">
        <v>14</v>
      </c>
    </row>
    <row r="213" spans="1:12" ht="13.2">
      <c r="A213" s="34">
        <v>5958</v>
      </c>
      <c r="B213" s="35" t="s">
        <v>722</v>
      </c>
      <c r="C213" s="35" t="s">
        <v>284</v>
      </c>
      <c r="D213" s="36">
        <v>42784</v>
      </c>
      <c r="E213" s="35" t="s">
        <v>20</v>
      </c>
      <c r="F213" s="35" t="s">
        <v>14</v>
      </c>
      <c r="G213" s="35" t="s">
        <v>739</v>
      </c>
      <c r="H213" s="35" t="s">
        <v>740</v>
      </c>
      <c r="I213" s="37">
        <v>0.41666666666666669</v>
      </c>
      <c r="J213" s="35" t="s">
        <v>373</v>
      </c>
      <c r="K213" s="35" t="s">
        <v>741</v>
      </c>
      <c r="L213" s="35" t="s">
        <v>14</v>
      </c>
    </row>
    <row r="214" spans="1:12" ht="13.2">
      <c r="A214" s="34">
        <v>5957</v>
      </c>
      <c r="B214" s="35" t="s">
        <v>724</v>
      </c>
      <c r="C214" s="35" t="s">
        <v>284</v>
      </c>
      <c r="D214" s="36">
        <v>42784</v>
      </c>
      <c r="E214" s="35" t="s">
        <v>40</v>
      </c>
      <c r="F214" s="35" t="s">
        <v>14</v>
      </c>
      <c r="G214" s="35" t="s">
        <v>742</v>
      </c>
      <c r="H214" s="35" t="s">
        <v>743</v>
      </c>
      <c r="I214" s="37">
        <v>0.41666666666666669</v>
      </c>
      <c r="J214" s="35" t="s">
        <v>373</v>
      </c>
      <c r="K214" s="35" t="s">
        <v>744</v>
      </c>
      <c r="L214" s="35" t="s">
        <v>14</v>
      </c>
    </row>
    <row r="215" spans="1:12" ht="13.2">
      <c r="A215" s="34">
        <v>5956</v>
      </c>
      <c r="B215" s="35" t="s">
        <v>718</v>
      </c>
      <c r="C215" s="35" t="s">
        <v>284</v>
      </c>
      <c r="D215" s="36">
        <v>42784</v>
      </c>
      <c r="E215" s="35" t="s">
        <v>36</v>
      </c>
      <c r="F215" s="35" t="s">
        <v>14</v>
      </c>
      <c r="G215" s="35" t="s">
        <v>745</v>
      </c>
      <c r="H215" s="35" t="s">
        <v>746</v>
      </c>
      <c r="I215" s="37">
        <v>0.41666666666666669</v>
      </c>
      <c r="J215" s="35" t="s">
        <v>287</v>
      </c>
      <c r="K215" s="35" t="s">
        <v>747</v>
      </c>
      <c r="L215" s="35" t="s">
        <v>748</v>
      </c>
    </row>
    <row r="216" spans="1:12" ht="13.2">
      <c r="A216" s="34">
        <v>5955</v>
      </c>
      <c r="B216" s="35" t="s">
        <v>703</v>
      </c>
      <c r="C216" s="35" t="s">
        <v>284</v>
      </c>
      <c r="D216" s="36">
        <v>42784</v>
      </c>
      <c r="E216" s="35" t="s">
        <v>67</v>
      </c>
      <c r="F216" s="35" t="s">
        <v>14</v>
      </c>
      <c r="G216" s="35" t="s">
        <v>749</v>
      </c>
      <c r="H216" s="35" t="s">
        <v>750</v>
      </c>
      <c r="I216" s="37">
        <v>0.41666666666666669</v>
      </c>
      <c r="J216" s="35" t="s">
        <v>287</v>
      </c>
      <c r="K216" s="35" t="s">
        <v>751</v>
      </c>
      <c r="L216" s="35" t="s">
        <v>752</v>
      </c>
    </row>
    <row r="217" spans="1:12" ht="13.2">
      <c r="A217" s="34">
        <v>5873</v>
      </c>
      <c r="B217" s="35" t="s">
        <v>706</v>
      </c>
      <c r="C217" s="35" t="s">
        <v>284</v>
      </c>
      <c r="D217" s="36">
        <v>42777</v>
      </c>
      <c r="E217" s="35" t="s">
        <v>753</v>
      </c>
      <c r="F217" s="35" t="s">
        <v>14</v>
      </c>
      <c r="G217" s="35" t="s">
        <v>708</v>
      </c>
      <c r="H217" s="35" t="s">
        <v>754</v>
      </c>
      <c r="I217" s="37">
        <v>0.41666666666666669</v>
      </c>
      <c r="J217" s="35" t="s">
        <v>678</v>
      </c>
      <c r="K217" s="35" t="s">
        <v>14</v>
      </c>
      <c r="L217" s="35" t="s">
        <v>14</v>
      </c>
    </row>
    <row r="218" spans="1:12" ht="13.2">
      <c r="A218" s="34">
        <v>5870</v>
      </c>
      <c r="B218" s="35" t="s">
        <v>731</v>
      </c>
      <c r="C218" s="35" t="s">
        <v>284</v>
      </c>
      <c r="D218" s="36">
        <v>42777</v>
      </c>
      <c r="E218" s="35" t="s">
        <v>755</v>
      </c>
      <c r="F218" s="35" t="s">
        <v>14</v>
      </c>
      <c r="G218" s="35" t="s">
        <v>733</v>
      </c>
      <c r="H218" s="35" t="s">
        <v>756</v>
      </c>
      <c r="I218" s="37">
        <v>0.375</v>
      </c>
      <c r="J218" s="35" t="s">
        <v>757</v>
      </c>
      <c r="K218" s="35" t="s">
        <v>14</v>
      </c>
      <c r="L218" s="35" t="s">
        <v>14</v>
      </c>
    </row>
    <row r="219" spans="1:12" ht="13.2">
      <c r="A219" s="34">
        <v>5841</v>
      </c>
      <c r="B219" s="35" t="s">
        <v>710</v>
      </c>
      <c r="C219" s="35" t="s">
        <v>284</v>
      </c>
      <c r="D219" s="36">
        <v>42791</v>
      </c>
      <c r="E219" s="35" t="s">
        <v>711</v>
      </c>
      <c r="F219" s="35" t="s">
        <v>14</v>
      </c>
      <c r="G219" s="35" t="s">
        <v>758</v>
      </c>
      <c r="H219" s="35" t="s">
        <v>759</v>
      </c>
      <c r="I219" s="37">
        <v>0.375</v>
      </c>
      <c r="J219" s="35" t="s">
        <v>287</v>
      </c>
      <c r="K219" s="35" t="s">
        <v>384</v>
      </c>
      <c r="L219" s="35" t="s">
        <v>14</v>
      </c>
    </row>
    <row r="220" spans="1:12" ht="13.2">
      <c r="A220" s="34">
        <v>5802</v>
      </c>
      <c r="B220" s="35" t="s">
        <v>706</v>
      </c>
      <c r="C220" s="35" t="s">
        <v>284</v>
      </c>
      <c r="D220" s="36">
        <v>42770</v>
      </c>
      <c r="E220" s="35" t="s">
        <v>708</v>
      </c>
      <c r="F220" s="35" t="s">
        <v>14</v>
      </c>
      <c r="G220" s="35" t="s">
        <v>707</v>
      </c>
      <c r="H220" s="35" t="s">
        <v>760</v>
      </c>
      <c r="I220" s="37">
        <v>0.41666666666666669</v>
      </c>
      <c r="J220" s="35" t="s">
        <v>287</v>
      </c>
      <c r="K220" s="35" t="s">
        <v>761</v>
      </c>
      <c r="L220" s="35" t="s">
        <v>14</v>
      </c>
    </row>
    <row r="221" spans="1:12" ht="13.2">
      <c r="A221" s="34">
        <v>5774</v>
      </c>
      <c r="B221" s="35" t="s">
        <v>710</v>
      </c>
      <c r="C221" s="35" t="s">
        <v>284</v>
      </c>
      <c r="D221" s="36">
        <v>42763</v>
      </c>
      <c r="E221" s="35" t="s">
        <v>712</v>
      </c>
      <c r="F221" s="35" t="s">
        <v>14</v>
      </c>
      <c r="G221" s="35" t="s">
        <v>711</v>
      </c>
      <c r="H221" s="35" t="s">
        <v>762</v>
      </c>
      <c r="I221" s="37">
        <v>0.375</v>
      </c>
      <c r="J221" s="35" t="s">
        <v>295</v>
      </c>
      <c r="K221" s="35" t="s">
        <v>14</v>
      </c>
      <c r="L221" s="35" t="s">
        <v>14</v>
      </c>
    </row>
    <row r="222" spans="1:12" ht="13.2">
      <c r="A222" s="34">
        <v>5752</v>
      </c>
      <c r="B222" s="35" t="s">
        <v>722</v>
      </c>
      <c r="C222" s="35" t="s">
        <v>284</v>
      </c>
      <c r="D222" s="36">
        <v>42756</v>
      </c>
      <c r="E222" s="35" t="s">
        <v>763</v>
      </c>
      <c r="F222" s="35" t="s">
        <v>14</v>
      </c>
      <c r="G222" s="35" t="s">
        <v>20</v>
      </c>
      <c r="H222" s="35" t="s">
        <v>764</v>
      </c>
      <c r="I222" s="37">
        <v>0.58333333333333337</v>
      </c>
      <c r="J222" s="35" t="s">
        <v>651</v>
      </c>
      <c r="K222" s="35" t="s">
        <v>14</v>
      </c>
      <c r="L222" s="35" t="s">
        <v>14</v>
      </c>
    </row>
    <row r="223" spans="1:12" ht="13.2">
      <c r="A223" s="34">
        <v>5749</v>
      </c>
      <c r="B223" s="35" t="s">
        <v>724</v>
      </c>
      <c r="C223" s="35" t="s">
        <v>284</v>
      </c>
      <c r="D223" s="36">
        <v>42756</v>
      </c>
      <c r="E223" s="35" t="s">
        <v>765</v>
      </c>
      <c r="F223" s="35" t="s">
        <v>14</v>
      </c>
      <c r="G223" s="35" t="s">
        <v>40</v>
      </c>
      <c r="H223" s="35" t="s">
        <v>766</v>
      </c>
      <c r="I223" s="37">
        <v>0.41666666666666669</v>
      </c>
      <c r="J223" s="35" t="s">
        <v>530</v>
      </c>
      <c r="K223" s="35" t="s">
        <v>14</v>
      </c>
      <c r="L223" s="35" t="s">
        <v>14</v>
      </c>
    </row>
    <row r="224" spans="1:12" ht="13.2">
      <c r="A224" s="34">
        <v>5748</v>
      </c>
      <c r="B224" s="35" t="s">
        <v>703</v>
      </c>
      <c r="C224" s="35" t="s">
        <v>284</v>
      </c>
      <c r="D224" s="36">
        <v>42756</v>
      </c>
      <c r="E224" s="35" t="s">
        <v>767</v>
      </c>
      <c r="F224" s="35" t="s">
        <v>14</v>
      </c>
      <c r="G224" s="35" t="s">
        <v>67</v>
      </c>
      <c r="H224" s="35" t="s">
        <v>768</v>
      </c>
      <c r="I224" s="37">
        <v>0.55208333333333337</v>
      </c>
      <c r="J224" s="35" t="s">
        <v>514</v>
      </c>
      <c r="K224" s="35" t="s">
        <v>14</v>
      </c>
      <c r="L224" s="35" t="s">
        <v>14</v>
      </c>
    </row>
    <row r="225" spans="1:12" ht="13.2">
      <c r="A225" s="34">
        <v>5747</v>
      </c>
      <c r="B225" s="35" t="s">
        <v>718</v>
      </c>
      <c r="C225" s="35" t="s">
        <v>284</v>
      </c>
      <c r="D225" s="36">
        <v>42756</v>
      </c>
      <c r="E225" s="35" t="s">
        <v>769</v>
      </c>
      <c r="F225" s="35" t="s">
        <v>14</v>
      </c>
      <c r="G225" s="35" t="s">
        <v>36</v>
      </c>
      <c r="H225" s="35" t="s">
        <v>770</v>
      </c>
      <c r="I225" s="37">
        <v>0.41666666666666669</v>
      </c>
      <c r="J225" s="35" t="s">
        <v>438</v>
      </c>
      <c r="K225" s="35" t="s">
        <v>14</v>
      </c>
      <c r="L225" s="35" t="s">
        <v>14</v>
      </c>
    </row>
    <row r="226" spans="1:12" ht="13.2">
      <c r="A226" s="34">
        <v>5685</v>
      </c>
      <c r="B226" s="35" t="s">
        <v>715</v>
      </c>
      <c r="C226" s="35" t="s">
        <v>284</v>
      </c>
      <c r="D226" s="36">
        <v>42742</v>
      </c>
      <c r="E226" s="35" t="s">
        <v>64</v>
      </c>
      <c r="F226" s="35" t="s">
        <v>14</v>
      </c>
      <c r="G226" s="35" t="s">
        <v>771</v>
      </c>
      <c r="H226" s="35" t="s">
        <v>772</v>
      </c>
      <c r="I226" s="37">
        <v>0.41666666666666669</v>
      </c>
      <c r="J226" s="35" t="s">
        <v>305</v>
      </c>
      <c r="K226" s="35" t="s">
        <v>738</v>
      </c>
      <c r="L226" s="35" t="s">
        <v>558</v>
      </c>
    </row>
    <row r="227" spans="1:12" ht="13.2">
      <c r="A227" s="34">
        <v>5684</v>
      </c>
      <c r="B227" s="35" t="s">
        <v>722</v>
      </c>
      <c r="C227" s="35" t="s">
        <v>284</v>
      </c>
      <c r="D227" s="36">
        <v>42812</v>
      </c>
      <c r="E227" s="35" t="s">
        <v>20</v>
      </c>
      <c r="F227" s="35" t="s">
        <v>14</v>
      </c>
      <c r="G227" s="35" t="s">
        <v>773</v>
      </c>
      <c r="H227" s="35" t="s">
        <v>774</v>
      </c>
      <c r="I227" s="37">
        <v>0.375</v>
      </c>
      <c r="J227" s="35" t="s">
        <v>287</v>
      </c>
      <c r="K227" s="35" t="s">
        <v>741</v>
      </c>
      <c r="L227" s="35" t="s">
        <v>775</v>
      </c>
    </row>
    <row r="228" spans="1:12" ht="13.2">
      <c r="A228" s="34">
        <v>5683</v>
      </c>
      <c r="B228" s="35" t="s">
        <v>724</v>
      </c>
      <c r="C228" s="35" t="s">
        <v>284</v>
      </c>
      <c r="D228" s="36">
        <v>42742</v>
      </c>
      <c r="E228" s="35" t="s">
        <v>40</v>
      </c>
      <c r="F228" s="35" t="s">
        <v>14</v>
      </c>
      <c r="G228" s="35" t="s">
        <v>776</v>
      </c>
      <c r="H228" s="35" t="s">
        <v>777</v>
      </c>
      <c r="I228" s="37">
        <v>0.41666666666666669</v>
      </c>
      <c r="J228" s="35" t="s">
        <v>305</v>
      </c>
      <c r="K228" s="35" t="s">
        <v>744</v>
      </c>
      <c r="L228" s="35" t="s">
        <v>714</v>
      </c>
    </row>
    <row r="229" spans="1:12" ht="13.2">
      <c r="A229" s="34">
        <v>5682</v>
      </c>
      <c r="B229" s="35" t="s">
        <v>718</v>
      </c>
      <c r="C229" s="35" t="s">
        <v>284</v>
      </c>
      <c r="D229" s="36">
        <v>42812</v>
      </c>
      <c r="E229" s="35" t="s">
        <v>36</v>
      </c>
      <c r="F229" s="35" t="s">
        <v>14</v>
      </c>
      <c r="G229" s="35" t="s">
        <v>778</v>
      </c>
      <c r="H229" s="35" t="s">
        <v>779</v>
      </c>
      <c r="I229" s="37">
        <v>0.375</v>
      </c>
      <c r="J229" s="35" t="s">
        <v>287</v>
      </c>
      <c r="K229" s="35" t="s">
        <v>747</v>
      </c>
      <c r="L229" s="35" t="s">
        <v>14</v>
      </c>
    </row>
    <row r="230" spans="1:12" ht="13.2">
      <c r="A230" s="34">
        <v>5681</v>
      </c>
      <c r="B230" s="35" t="s">
        <v>703</v>
      </c>
      <c r="C230" s="35" t="s">
        <v>284</v>
      </c>
      <c r="D230" s="36">
        <v>42742</v>
      </c>
      <c r="E230" s="35" t="s">
        <v>67</v>
      </c>
      <c r="F230" s="35" t="s">
        <v>14</v>
      </c>
      <c r="G230" s="35" t="s">
        <v>780</v>
      </c>
      <c r="H230" s="35" t="s">
        <v>781</v>
      </c>
      <c r="I230" s="37">
        <v>0.375</v>
      </c>
      <c r="J230" s="35" t="s">
        <v>287</v>
      </c>
      <c r="K230" s="35" t="s">
        <v>751</v>
      </c>
      <c r="L230" s="35" t="s">
        <v>14</v>
      </c>
    </row>
    <row r="231" spans="1:12" ht="13.2">
      <c r="A231" s="34">
        <v>5660</v>
      </c>
      <c r="B231" s="35" t="s">
        <v>710</v>
      </c>
      <c r="C231" s="35" t="s">
        <v>284</v>
      </c>
      <c r="D231" s="36">
        <v>42742</v>
      </c>
      <c r="E231" s="35" t="s">
        <v>711</v>
      </c>
      <c r="F231" s="35" t="s">
        <v>14</v>
      </c>
      <c r="G231" s="35" t="s">
        <v>729</v>
      </c>
      <c r="H231" s="35" t="s">
        <v>782</v>
      </c>
      <c r="I231" s="37">
        <v>0.375</v>
      </c>
      <c r="J231" s="35" t="s">
        <v>305</v>
      </c>
      <c r="K231" s="35" t="s">
        <v>384</v>
      </c>
      <c r="L231" s="35" t="s">
        <v>14</v>
      </c>
    </row>
    <row r="232" spans="1:12" ht="13.2">
      <c r="A232" s="34">
        <v>5602</v>
      </c>
      <c r="B232" s="35" t="s">
        <v>710</v>
      </c>
      <c r="C232" s="35" t="s">
        <v>284</v>
      </c>
      <c r="D232" s="36">
        <v>42714</v>
      </c>
      <c r="E232" s="35" t="s">
        <v>758</v>
      </c>
      <c r="F232" s="35" t="s">
        <v>14</v>
      </c>
      <c r="G232" s="35" t="s">
        <v>711</v>
      </c>
      <c r="H232" s="35" t="s">
        <v>783</v>
      </c>
      <c r="I232" s="37">
        <v>0.4375</v>
      </c>
      <c r="J232" s="35" t="s">
        <v>381</v>
      </c>
      <c r="K232" s="35" t="s">
        <v>14</v>
      </c>
      <c r="L232" s="35" t="s">
        <v>14</v>
      </c>
    </row>
    <row r="233" spans="1:12" ht="13.2">
      <c r="A233" s="34">
        <v>5548</v>
      </c>
      <c r="B233" s="35" t="s">
        <v>715</v>
      </c>
      <c r="C233" s="35" t="s">
        <v>284</v>
      </c>
      <c r="D233" s="36">
        <v>42700</v>
      </c>
      <c r="E233" s="35" t="s">
        <v>64</v>
      </c>
      <c r="F233" s="35" t="s">
        <v>14</v>
      </c>
      <c r="G233" s="35" t="s">
        <v>184</v>
      </c>
      <c r="H233" s="35" t="s">
        <v>784</v>
      </c>
      <c r="I233" s="37">
        <v>0.375</v>
      </c>
      <c r="J233" s="35" t="s">
        <v>287</v>
      </c>
      <c r="K233" s="35" t="s">
        <v>738</v>
      </c>
      <c r="L233" s="35" t="s">
        <v>785</v>
      </c>
    </row>
    <row r="234" spans="1:12" ht="13.2">
      <c r="A234" s="34">
        <v>5547</v>
      </c>
      <c r="B234" s="35" t="s">
        <v>722</v>
      </c>
      <c r="C234" s="35" t="s">
        <v>284</v>
      </c>
      <c r="D234" s="36">
        <v>42700</v>
      </c>
      <c r="E234" s="35" t="s">
        <v>20</v>
      </c>
      <c r="F234" s="35" t="s">
        <v>14</v>
      </c>
      <c r="G234" s="35" t="s">
        <v>786</v>
      </c>
      <c r="H234" s="35" t="s">
        <v>787</v>
      </c>
      <c r="I234" s="37">
        <v>0.41666666666666669</v>
      </c>
      <c r="J234" s="35" t="s">
        <v>373</v>
      </c>
      <c r="K234" s="35" t="s">
        <v>741</v>
      </c>
      <c r="L234" s="35" t="s">
        <v>788</v>
      </c>
    </row>
    <row r="235" spans="1:12" ht="13.2">
      <c r="A235" s="34">
        <v>5546</v>
      </c>
      <c r="B235" s="35" t="s">
        <v>724</v>
      </c>
      <c r="C235" s="35" t="s">
        <v>284</v>
      </c>
      <c r="D235" s="36">
        <v>42798</v>
      </c>
      <c r="E235" s="35" t="s">
        <v>40</v>
      </c>
      <c r="F235" s="35" t="s">
        <v>14</v>
      </c>
      <c r="G235" s="35" t="s">
        <v>789</v>
      </c>
      <c r="H235" s="35" t="s">
        <v>790</v>
      </c>
      <c r="I235" s="37">
        <v>0.41666666666666669</v>
      </c>
      <c r="J235" s="35" t="s">
        <v>287</v>
      </c>
      <c r="K235" s="35" t="s">
        <v>744</v>
      </c>
      <c r="L235" s="35" t="s">
        <v>714</v>
      </c>
    </row>
    <row r="236" spans="1:12" ht="13.2">
      <c r="A236" s="34">
        <v>5545</v>
      </c>
      <c r="B236" s="35" t="s">
        <v>718</v>
      </c>
      <c r="C236" s="35" t="s">
        <v>284</v>
      </c>
      <c r="D236" s="36">
        <v>42700</v>
      </c>
      <c r="E236" s="35" t="s">
        <v>36</v>
      </c>
      <c r="F236" s="35" t="s">
        <v>14</v>
      </c>
      <c r="G236" s="35" t="s">
        <v>791</v>
      </c>
      <c r="H236" s="35" t="s">
        <v>792</v>
      </c>
      <c r="I236" s="37">
        <v>0.41319444444444442</v>
      </c>
      <c r="J236" s="35" t="s">
        <v>287</v>
      </c>
      <c r="K236" s="35" t="s">
        <v>747</v>
      </c>
      <c r="L236" s="35" t="s">
        <v>775</v>
      </c>
    </row>
    <row r="237" spans="1:12" ht="13.2">
      <c r="A237" s="34">
        <v>5544</v>
      </c>
      <c r="B237" s="35" t="s">
        <v>703</v>
      </c>
      <c r="C237" s="35" t="s">
        <v>284</v>
      </c>
      <c r="D237" s="36">
        <v>42700</v>
      </c>
      <c r="E237" s="35" t="s">
        <v>67</v>
      </c>
      <c r="F237" s="35" t="s">
        <v>14</v>
      </c>
      <c r="G237" s="35" t="s">
        <v>793</v>
      </c>
      <c r="H237" s="35" t="s">
        <v>794</v>
      </c>
      <c r="I237" s="37">
        <v>0.41666666666666669</v>
      </c>
      <c r="J237" s="35" t="s">
        <v>373</v>
      </c>
      <c r="K237" s="35" t="s">
        <v>751</v>
      </c>
      <c r="L237" s="35" t="s">
        <v>606</v>
      </c>
    </row>
    <row r="238" spans="1:12" ht="13.2">
      <c r="A238" s="34">
        <v>5532</v>
      </c>
      <c r="B238" s="35" t="s">
        <v>710</v>
      </c>
      <c r="C238" s="35" t="s">
        <v>284</v>
      </c>
      <c r="D238" s="36">
        <v>42700</v>
      </c>
      <c r="E238" s="35" t="s">
        <v>795</v>
      </c>
      <c r="F238" s="35" t="s">
        <v>14</v>
      </c>
      <c r="G238" s="35" t="s">
        <v>711</v>
      </c>
      <c r="H238" s="35" t="s">
        <v>796</v>
      </c>
      <c r="I238" s="37">
        <v>0.41319444444444442</v>
      </c>
      <c r="J238" s="35" t="s">
        <v>352</v>
      </c>
      <c r="K238" s="35" t="s">
        <v>14</v>
      </c>
      <c r="L238" s="35" t="s">
        <v>14</v>
      </c>
    </row>
    <row r="239" spans="1:12" ht="13.2">
      <c r="A239" s="34">
        <v>5510</v>
      </c>
      <c r="B239" s="35" t="s">
        <v>731</v>
      </c>
      <c r="C239" s="35" t="s">
        <v>284</v>
      </c>
      <c r="D239" s="36">
        <v>42700</v>
      </c>
      <c r="E239" s="35" t="s">
        <v>733</v>
      </c>
      <c r="F239" s="35" t="s">
        <v>14</v>
      </c>
      <c r="G239" s="35" t="s">
        <v>797</v>
      </c>
      <c r="H239" s="35" t="s">
        <v>798</v>
      </c>
      <c r="I239" s="37">
        <v>0.375</v>
      </c>
      <c r="J239" s="35" t="s">
        <v>287</v>
      </c>
      <c r="K239" s="35" t="s">
        <v>799</v>
      </c>
      <c r="L239" s="35" t="s">
        <v>800</v>
      </c>
    </row>
    <row r="240" spans="1:12" ht="13.2">
      <c r="A240" s="34">
        <v>5509</v>
      </c>
      <c r="B240" s="35" t="s">
        <v>706</v>
      </c>
      <c r="C240" s="35" t="s">
        <v>284</v>
      </c>
      <c r="D240" s="36">
        <v>42700</v>
      </c>
      <c r="E240" s="35" t="s">
        <v>708</v>
      </c>
      <c r="F240" s="35" t="s">
        <v>14</v>
      </c>
      <c r="G240" s="35" t="s">
        <v>801</v>
      </c>
      <c r="H240" s="35" t="s">
        <v>802</v>
      </c>
      <c r="I240" s="37">
        <v>0.45833333333333331</v>
      </c>
      <c r="J240" s="35" t="s">
        <v>373</v>
      </c>
      <c r="K240" s="35" t="s">
        <v>761</v>
      </c>
      <c r="L240" s="35" t="s">
        <v>338</v>
      </c>
    </row>
    <row r="241" spans="1:12" ht="13.2">
      <c r="A241" s="34">
        <v>5482</v>
      </c>
      <c r="B241" s="35" t="s">
        <v>722</v>
      </c>
      <c r="C241" s="35" t="s">
        <v>284</v>
      </c>
      <c r="D241" s="36">
        <v>42693</v>
      </c>
      <c r="E241" s="35" t="s">
        <v>20</v>
      </c>
      <c r="F241" s="35" t="s">
        <v>14</v>
      </c>
      <c r="G241" s="35" t="s">
        <v>763</v>
      </c>
      <c r="H241" s="35" t="s">
        <v>803</v>
      </c>
      <c r="I241" s="37">
        <v>0.41319444444444442</v>
      </c>
      <c r="J241" s="35" t="s">
        <v>287</v>
      </c>
      <c r="K241" s="35" t="s">
        <v>741</v>
      </c>
      <c r="L241" s="35" t="s">
        <v>752</v>
      </c>
    </row>
    <row r="242" spans="1:12" ht="13.2">
      <c r="A242" s="34">
        <v>5481</v>
      </c>
      <c r="B242" s="35" t="s">
        <v>724</v>
      </c>
      <c r="C242" s="35" t="s">
        <v>284</v>
      </c>
      <c r="D242" s="36">
        <v>42693</v>
      </c>
      <c r="E242" s="35" t="s">
        <v>40</v>
      </c>
      <c r="F242" s="35" t="s">
        <v>14</v>
      </c>
      <c r="G242" s="35" t="s">
        <v>765</v>
      </c>
      <c r="H242" s="35" t="s">
        <v>804</v>
      </c>
      <c r="I242" s="37">
        <v>0.375</v>
      </c>
      <c r="J242" s="35" t="s">
        <v>287</v>
      </c>
      <c r="K242" s="35" t="s">
        <v>744</v>
      </c>
      <c r="L242" s="35" t="s">
        <v>785</v>
      </c>
    </row>
    <row r="243" spans="1:12" ht="13.2">
      <c r="A243" s="34">
        <v>5480</v>
      </c>
      <c r="B243" s="35" t="s">
        <v>718</v>
      </c>
      <c r="C243" s="35" t="s">
        <v>284</v>
      </c>
      <c r="D243" s="36">
        <v>42693</v>
      </c>
      <c r="E243" s="35" t="s">
        <v>36</v>
      </c>
      <c r="F243" s="35" t="s">
        <v>14</v>
      </c>
      <c r="G243" s="35" t="s">
        <v>769</v>
      </c>
      <c r="H243" s="35" t="s">
        <v>805</v>
      </c>
      <c r="I243" s="37">
        <v>0.41319444444444442</v>
      </c>
      <c r="J243" s="35" t="s">
        <v>287</v>
      </c>
      <c r="K243" s="35" t="s">
        <v>747</v>
      </c>
      <c r="L243" s="35" t="s">
        <v>788</v>
      </c>
    </row>
    <row r="244" spans="1:12" ht="13.2">
      <c r="A244" s="34">
        <v>5479</v>
      </c>
      <c r="B244" s="35" t="s">
        <v>703</v>
      </c>
      <c r="C244" s="35" t="s">
        <v>284</v>
      </c>
      <c r="D244" s="36">
        <v>42798</v>
      </c>
      <c r="E244" s="35" t="s">
        <v>67</v>
      </c>
      <c r="F244" s="35" t="s">
        <v>14</v>
      </c>
      <c r="G244" s="35" t="s">
        <v>767</v>
      </c>
      <c r="H244" s="35" t="s">
        <v>806</v>
      </c>
      <c r="I244" s="37">
        <v>0.375</v>
      </c>
      <c r="J244" s="35" t="s">
        <v>287</v>
      </c>
      <c r="K244" s="35" t="s">
        <v>751</v>
      </c>
      <c r="L244" s="35" t="s">
        <v>14</v>
      </c>
    </row>
    <row r="245" spans="1:12" ht="13.2">
      <c r="A245" s="34">
        <v>5446</v>
      </c>
      <c r="B245" s="35" t="s">
        <v>706</v>
      </c>
      <c r="C245" s="35" t="s">
        <v>284</v>
      </c>
      <c r="D245" s="36">
        <v>42693</v>
      </c>
      <c r="E245" s="35" t="s">
        <v>807</v>
      </c>
      <c r="F245" s="35" t="s">
        <v>14</v>
      </c>
      <c r="G245" s="35" t="s">
        <v>708</v>
      </c>
      <c r="H245" s="35" t="s">
        <v>808</v>
      </c>
      <c r="I245" s="37">
        <v>0.45833333333333331</v>
      </c>
      <c r="J245" s="35" t="s">
        <v>809</v>
      </c>
      <c r="K245" s="35" t="s">
        <v>14</v>
      </c>
      <c r="L245" s="35" t="s">
        <v>14</v>
      </c>
    </row>
    <row r="246" spans="1:12" ht="13.2">
      <c r="A246" s="34">
        <v>5445</v>
      </c>
      <c r="B246" s="35" t="s">
        <v>731</v>
      </c>
      <c r="C246" s="35" t="s">
        <v>284</v>
      </c>
      <c r="D246" s="36">
        <v>42693</v>
      </c>
      <c r="E246" s="35" t="s">
        <v>810</v>
      </c>
      <c r="F246" s="35" t="s">
        <v>14</v>
      </c>
      <c r="G246" s="35" t="s">
        <v>733</v>
      </c>
      <c r="H246" s="35" t="s">
        <v>811</v>
      </c>
      <c r="I246" s="37">
        <v>0.375</v>
      </c>
      <c r="J246" s="35" t="s">
        <v>334</v>
      </c>
      <c r="K246" s="35" t="s">
        <v>14</v>
      </c>
      <c r="L246" s="35" t="s">
        <v>14</v>
      </c>
    </row>
    <row r="247" spans="1:12" ht="13.2">
      <c r="A247" s="34">
        <v>5413</v>
      </c>
      <c r="B247" s="35" t="s">
        <v>710</v>
      </c>
      <c r="C247" s="35" t="s">
        <v>284</v>
      </c>
      <c r="D247" s="36">
        <v>42693</v>
      </c>
      <c r="E247" s="35" t="s">
        <v>711</v>
      </c>
      <c r="F247" s="35" t="s">
        <v>14</v>
      </c>
      <c r="G247" s="35" t="s">
        <v>812</v>
      </c>
      <c r="H247" s="35" t="s">
        <v>813</v>
      </c>
      <c r="I247" s="37">
        <v>0.375</v>
      </c>
      <c r="J247" s="35" t="s">
        <v>287</v>
      </c>
      <c r="K247" s="35" t="s">
        <v>384</v>
      </c>
      <c r="L247" s="35" t="s">
        <v>800</v>
      </c>
    </row>
    <row r="248" spans="1:12" ht="13.2">
      <c r="A248" s="34">
        <v>5387</v>
      </c>
      <c r="B248" s="35" t="s">
        <v>710</v>
      </c>
      <c r="C248" s="35" t="s">
        <v>284</v>
      </c>
      <c r="D248" s="36">
        <v>42784</v>
      </c>
      <c r="E248" s="35" t="s">
        <v>814</v>
      </c>
      <c r="F248" s="35" t="s">
        <v>14</v>
      </c>
      <c r="G248" s="35" t="s">
        <v>711</v>
      </c>
      <c r="H248" s="35" t="s">
        <v>815</v>
      </c>
      <c r="I248" s="37">
        <v>0.41666666666666669</v>
      </c>
      <c r="J248" s="35" t="s">
        <v>816</v>
      </c>
      <c r="K248" s="35" t="s">
        <v>14</v>
      </c>
      <c r="L248" s="35" t="s">
        <v>14</v>
      </c>
    </row>
    <row r="249" spans="1:12" ht="13.2">
      <c r="A249" s="34">
        <v>5371</v>
      </c>
      <c r="B249" s="35" t="s">
        <v>731</v>
      </c>
      <c r="C249" s="35" t="s">
        <v>284</v>
      </c>
      <c r="D249" s="36">
        <v>42686</v>
      </c>
      <c r="E249" s="35" t="s">
        <v>733</v>
      </c>
      <c r="F249" s="35" t="s">
        <v>14</v>
      </c>
      <c r="G249" s="35" t="s">
        <v>817</v>
      </c>
      <c r="H249" s="35" t="s">
        <v>818</v>
      </c>
      <c r="I249" s="37">
        <v>0.375</v>
      </c>
      <c r="J249" s="35" t="s">
        <v>287</v>
      </c>
      <c r="K249" s="35" t="s">
        <v>799</v>
      </c>
      <c r="L249" s="35" t="s">
        <v>714</v>
      </c>
    </row>
    <row r="250" spans="1:12" ht="13.2">
      <c r="A250" s="34">
        <v>5369</v>
      </c>
      <c r="B250" s="35" t="s">
        <v>706</v>
      </c>
      <c r="C250" s="35" t="s">
        <v>284</v>
      </c>
      <c r="D250" s="36">
        <v>42686</v>
      </c>
      <c r="E250" s="35" t="s">
        <v>708</v>
      </c>
      <c r="F250" s="35" t="s">
        <v>14</v>
      </c>
      <c r="G250" s="35" t="s">
        <v>819</v>
      </c>
      <c r="H250" s="35" t="s">
        <v>820</v>
      </c>
      <c r="I250" s="37">
        <v>0.375</v>
      </c>
      <c r="J250" s="35" t="s">
        <v>287</v>
      </c>
      <c r="K250" s="35" t="s">
        <v>761</v>
      </c>
      <c r="L250" s="35" t="s">
        <v>395</v>
      </c>
    </row>
    <row r="251" spans="1:12" ht="13.2">
      <c r="A251" s="34">
        <v>5319</v>
      </c>
      <c r="B251" s="35" t="s">
        <v>345</v>
      </c>
      <c r="C251" s="35" t="s">
        <v>284</v>
      </c>
      <c r="D251" s="36">
        <v>42805</v>
      </c>
      <c r="E251" s="35" t="s">
        <v>346</v>
      </c>
      <c r="F251" s="35" t="s">
        <v>14</v>
      </c>
      <c r="G251" s="35" t="s">
        <v>821</v>
      </c>
      <c r="H251" s="35" t="s">
        <v>822</v>
      </c>
      <c r="I251" s="37">
        <v>0.375</v>
      </c>
      <c r="J251" s="35" t="s">
        <v>287</v>
      </c>
      <c r="K251" s="35" t="s">
        <v>349</v>
      </c>
      <c r="L251" s="35" t="s">
        <v>14</v>
      </c>
    </row>
    <row r="252" spans="1:12" ht="13.2">
      <c r="A252" s="34">
        <v>5318</v>
      </c>
      <c r="B252" s="35" t="s">
        <v>369</v>
      </c>
      <c r="C252" s="35" t="s">
        <v>284</v>
      </c>
      <c r="D252" s="36">
        <v>42805</v>
      </c>
      <c r="E252" s="35" t="s">
        <v>370</v>
      </c>
      <c r="F252" s="35" t="s">
        <v>14</v>
      </c>
      <c r="G252" s="35" t="s">
        <v>823</v>
      </c>
      <c r="H252" s="35" t="s">
        <v>824</v>
      </c>
      <c r="I252" s="37">
        <v>0.375</v>
      </c>
      <c r="J252" s="35" t="s">
        <v>287</v>
      </c>
      <c r="K252" s="35" t="s">
        <v>374</v>
      </c>
      <c r="L252" s="35" t="s">
        <v>14</v>
      </c>
    </row>
    <row r="253" spans="1:12" ht="13.2">
      <c r="A253" s="34">
        <v>5216</v>
      </c>
      <c r="B253" s="35" t="s">
        <v>369</v>
      </c>
      <c r="C253" s="35" t="s">
        <v>284</v>
      </c>
      <c r="D253" s="36">
        <v>42763</v>
      </c>
      <c r="E253" s="35" t="s">
        <v>147</v>
      </c>
      <c r="F253" s="35" t="s">
        <v>14</v>
      </c>
      <c r="G253" s="35" t="s">
        <v>370</v>
      </c>
      <c r="H253" s="35" t="s">
        <v>825</v>
      </c>
      <c r="I253" s="37">
        <v>0.39583333333333331</v>
      </c>
      <c r="J253" s="35" t="s">
        <v>405</v>
      </c>
      <c r="K253" s="35" t="s">
        <v>14</v>
      </c>
      <c r="L253" s="35" t="s">
        <v>14</v>
      </c>
    </row>
    <row r="254" spans="1:12" ht="13.2">
      <c r="A254" s="34">
        <v>5215</v>
      </c>
      <c r="B254" s="35" t="s">
        <v>826</v>
      </c>
      <c r="C254" s="35" t="s">
        <v>284</v>
      </c>
      <c r="D254" s="36">
        <v>42763</v>
      </c>
      <c r="E254" s="35" t="s">
        <v>827</v>
      </c>
      <c r="F254" s="35" t="s">
        <v>14</v>
      </c>
      <c r="G254" s="35" t="s">
        <v>43</v>
      </c>
      <c r="H254" s="35" t="s">
        <v>828</v>
      </c>
      <c r="I254" s="37">
        <v>0.38541666666666669</v>
      </c>
      <c r="J254" s="35" t="s">
        <v>589</v>
      </c>
      <c r="K254" s="35" t="s">
        <v>14</v>
      </c>
      <c r="L254" s="35" t="s">
        <v>14</v>
      </c>
    </row>
    <row r="255" spans="1:12" ht="13.2">
      <c r="A255" s="34">
        <v>5214</v>
      </c>
      <c r="B255" s="35" t="s">
        <v>345</v>
      </c>
      <c r="C255" s="35" t="s">
        <v>284</v>
      </c>
      <c r="D255" s="36">
        <v>42763</v>
      </c>
      <c r="E255" s="35" t="s">
        <v>829</v>
      </c>
      <c r="F255" s="35" t="s">
        <v>14</v>
      </c>
      <c r="G255" s="35" t="s">
        <v>346</v>
      </c>
      <c r="H255" s="35" t="s">
        <v>830</v>
      </c>
      <c r="I255" s="37">
        <v>0.38541666666666669</v>
      </c>
      <c r="J255" s="35" t="s">
        <v>589</v>
      </c>
      <c r="K255" s="35" t="s">
        <v>14</v>
      </c>
      <c r="L255" s="35" t="s">
        <v>14</v>
      </c>
    </row>
    <row r="256" spans="1:12" ht="13.2">
      <c r="A256" s="34">
        <v>5192</v>
      </c>
      <c r="B256" s="35" t="s">
        <v>831</v>
      </c>
      <c r="C256" s="35" t="s">
        <v>284</v>
      </c>
      <c r="D256" s="36">
        <v>42763</v>
      </c>
      <c r="E256" s="35" t="s">
        <v>25</v>
      </c>
      <c r="F256" s="35" t="s">
        <v>14</v>
      </c>
      <c r="G256" s="35" t="s">
        <v>832</v>
      </c>
      <c r="H256" s="35" t="s">
        <v>833</v>
      </c>
      <c r="I256" s="37">
        <v>0.45833333333333331</v>
      </c>
      <c r="J256" s="35" t="s">
        <v>287</v>
      </c>
      <c r="K256" s="35" t="s">
        <v>834</v>
      </c>
      <c r="L256" s="35" t="s">
        <v>14</v>
      </c>
    </row>
    <row r="257" spans="1:12" ht="13.2">
      <c r="A257" s="34">
        <v>5189</v>
      </c>
      <c r="B257" s="35" t="s">
        <v>835</v>
      </c>
      <c r="C257" s="35" t="s">
        <v>284</v>
      </c>
      <c r="D257" s="36">
        <v>42812</v>
      </c>
      <c r="E257" s="35" t="s">
        <v>53</v>
      </c>
      <c r="F257" s="35" t="s">
        <v>14</v>
      </c>
      <c r="G257" s="35" t="s">
        <v>836</v>
      </c>
      <c r="H257" s="35" t="s">
        <v>837</v>
      </c>
      <c r="I257" s="37">
        <v>0.41666666666666669</v>
      </c>
      <c r="J257" s="35" t="s">
        <v>287</v>
      </c>
      <c r="K257" s="35" t="s">
        <v>838</v>
      </c>
      <c r="L257" s="35" t="s">
        <v>748</v>
      </c>
    </row>
    <row r="258" spans="1:12" ht="13.2">
      <c r="A258" s="34">
        <v>5176</v>
      </c>
      <c r="B258" s="35" t="s">
        <v>345</v>
      </c>
      <c r="C258" s="35" t="s">
        <v>284</v>
      </c>
      <c r="D258" s="36">
        <v>42756</v>
      </c>
      <c r="E258" s="35" t="s">
        <v>346</v>
      </c>
      <c r="F258" s="35" t="s">
        <v>14</v>
      </c>
      <c r="G258" s="35" t="s">
        <v>839</v>
      </c>
      <c r="H258" s="35" t="s">
        <v>840</v>
      </c>
      <c r="I258" s="37">
        <v>0.41666666666666669</v>
      </c>
      <c r="J258" s="35" t="s">
        <v>287</v>
      </c>
      <c r="K258" s="35" t="s">
        <v>349</v>
      </c>
      <c r="L258" s="35" t="s">
        <v>14</v>
      </c>
    </row>
    <row r="259" spans="1:12" ht="13.2">
      <c r="A259" s="34">
        <v>5175</v>
      </c>
      <c r="B259" s="35" t="s">
        <v>826</v>
      </c>
      <c r="C259" s="35" t="s">
        <v>284</v>
      </c>
      <c r="D259" s="36">
        <v>42756</v>
      </c>
      <c r="E259" s="35" t="s">
        <v>43</v>
      </c>
      <c r="F259" s="35" t="s">
        <v>14</v>
      </c>
      <c r="G259" s="35" t="s">
        <v>841</v>
      </c>
      <c r="H259" s="35" t="s">
        <v>842</v>
      </c>
      <c r="I259" s="37">
        <v>0.45833333333333331</v>
      </c>
      <c r="J259" s="35" t="s">
        <v>373</v>
      </c>
      <c r="K259" s="35" t="s">
        <v>843</v>
      </c>
      <c r="L259" s="35" t="s">
        <v>14</v>
      </c>
    </row>
    <row r="260" spans="1:12" ht="13.2">
      <c r="A260" s="34">
        <v>5150</v>
      </c>
      <c r="B260" s="35" t="s">
        <v>835</v>
      </c>
      <c r="C260" s="35" t="s">
        <v>284</v>
      </c>
      <c r="D260" s="36">
        <v>42756</v>
      </c>
      <c r="E260" s="35" t="s">
        <v>844</v>
      </c>
      <c r="F260" s="35" t="s">
        <v>14</v>
      </c>
      <c r="G260" s="35" t="s">
        <v>53</v>
      </c>
      <c r="H260" s="35" t="s">
        <v>845</v>
      </c>
      <c r="I260" s="37">
        <v>0.375</v>
      </c>
      <c r="J260" s="35" t="s">
        <v>520</v>
      </c>
      <c r="K260" s="35" t="s">
        <v>14</v>
      </c>
      <c r="L260" s="35" t="s">
        <v>14</v>
      </c>
    </row>
    <row r="261" spans="1:12" ht="13.2">
      <c r="A261" s="34">
        <v>5143</v>
      </c>
      <c r="B261" s="35" t="s">
        <v>831</v>
      </c>
      <c r="C261" s="35" t="s">
        <v>284</v>
      </c>
      <c r="D261" s="36">
        <v>42791</v>
      </c>
      <c r="E261" s="35" t="s">
        <v>846</v>
      </c>
      <c r="F261" s="35" t="s">
        <v>14</v>
      </c>
      <c r="G261" s="35" t="s">
        <v>25</v>
      </c>
      <c r="H261" s="35" t="s">
        <v>847</v>
      </c>
      <c r="I261" s="37">
        <v>0.41666666666666669</v>
      </c>
      <c r="J261" s="35" t="s">
        <v>589</v>
      </c>
      <c r="K261" s="35" t="s">
        <v>14</v>
      </c>
      <c r="L261" s="35" t="s">
        <v>14</v>
      </c>
    </row>
    <row r="262" spans="1:12" ht="13.2">
      <c r="A262" s="34">
        <v>5119</v>
      </c>
      <c r="B262" s="35" t="s">
        <v>831</v>
      </c>
      <c r="C262" s="35" t="s">
        <v>284</v>
      </c>
      <c r="D262" s="36">
        <v>42749</v>
      </c>
      <c r="E262" s="35" t="s">
        <v>25</v>
      </c>
      <c r="F262" s="35" t="s">
        <v>14</v>
      </c>
      <c r="G262" s="35" t="s">
        <v>848</v>
      </c>
      <c r="H262" s="35" t="s">
        <v>849</v>
      </c>
      <c r="I262" s="37">
        <v>0.54166666666666663</v>
      </c>
      <c r="J262" s="35" t="s">
        <v>287</v>
      </c>
      <c r="K262" s="35" t="s">
        <v>834</v>
      </c>
      <c r="L262" s="35" t="s">
        <v>395</v>
      </c>
    </row>
    <row r="263" spans="1:12" ht="13.2">
      <c r="A263" s="34">
        <v>5118</v>
      </c>
      <c r="B263" s="35" t="s">
        <v>826</v>
      </c>
      <c r="C263" s="35" t="s">
        <v>284</v>
      </c>
      <c r="D263" s="36">
        <v>42749</v>
      </c>
      <c r="E263" s="35" t="s">
        <v>850</v>
      </c>
      <c r="F263" s="35" t="s">
        <v>14</v>
      </c>
      <c r="G263" s="35" t="s">
        <v>43</v>
      </c>
      <c r="H263" s="35" t="s">
        <v>851</v>
      </c>
      <c r="I263" s="37">
        <v>0.41666666666666669</v>
      </c>
      <c r="J263" s="35" t="s">
        <v>816</v>
      </c>
      <c r="K263" s="35" t="s">
        <v>14</v>
      </c>
      <c r="L263" s="35" t="s">
        <v>14</v>
      </c>
    </row>
    <row r="264" spans="1:12" ht="13.2">
      <c r="A264" s="34">
        <v>5116</v>
      </c>
      <c r="B264" s="35" t="s">
        <v>835</v>
      </c>
      <c r="C264" s="35" t="s">
        <v>284</v>
      </c>
      <c r="D264" s="36">
        <v>42749</v>
      </c>
      <c r="E264" s="35" t="s">
        <v>53</v>
      </c>
      <c r="F264" s="35" t="s">
        <v>14</v>
      </c>
      <c r="G264" s="35" t="s">
        <v>852</v>
      </c>
      <c r="H264" s="35" t="s">
        <v>853</v>
      </c>
      <c r="I264" s="37">
        <v>0.54166666666666663</v>
      </c>
      <c r="J264" s="35" t="s">
        <v>287</v>
      </c>
      <c r="K264" s="35" t="s">
        <v>838</v>
      </c>
      <c r="L264" s="35" t="s">
        <v>748</v>
      </c>
    </row>
    <row r="265" spans="1:12" ht="13.2">
      <c r="A265" s="34">
        <v>5108</v>
      </c>
      <c r="B265" s="35" t="s">
        <v>345</v>
      </c>
      <c r="C265" s="35" t="s">
        <v>284</v>
      </c>
      <c r="D265" s="36">
        <v>42749</v>
      </c>
      <c r="E265" s="35" t="s">
        <v>854</v>
      </c>
      <c r="F265" s="35" t="s">
        <v>14</v>
      </c>
      <c r="G265" s="35" t="s">
        <v>346</v>
      </c>
      <c r="H265" s="35" t="s">
        <v>855</v>
      </c>
      <c r="I265" s="37">
        <v>0.375</v>
      </c>
      <c r="J265" s="35" t="s">
        <v>459</v>
      </c>
      <c r="K265" s="35" t="s">
        <v>14</v>
      </c>
      <c r="L265" s="35" t="s">
        <v>14</v>
      </c>
    </row>
    <row r="266" spans="1:12" ht="13.2">
      <c r="A266" s="34">
        <v>5091</v>
      </c>
      <c r="B266" s="35" t="s">
        <v>345</v>
      </c>
      <c r="C266" s="35" t="s">
        <v>284</v>
      </c>
      <c r="D266" s="36">
        <v>42742</v>
      </c>
      <c r="E266" s="35" t="s">
        <v>821</v>
      </c>
      <c r="F266" s="35" t="s">
        <v>14</v>
      </c>
      <c r="G266" s="35" t="s">
        <v>346</v>
      </c>
      <c r="H266" s="35" t="s">
        <v>856</v>
      </c>
      <c r="I266" s="37">
        <v>0.375</v>
      </c>
      <c r="J266" s="35" t="s">
        <v>451</v>
      </c>
      <c r="K266" s="35" t="s">
        <v>14</v>
      </c>
      <c r="L266" s="35" t="s">
        <v>14</v>
      </c>
    </row>
    <row r="267" spans="1:12" ht="13.2">
      <c r="A267" s="34">
        <v>5080</v>
      </c>
      <c r="B267" s="35" t="s">
        <v>369</v>
      </c>
      <c r="C267" s="35" t="s">
        <v>284</v>
      </c>
      <c r="D267" s="36">
        <v>42742</v>
      </c>
      <c r="E267" s="35" t="s">
        <v>823</v>
      </c>
      <c r="F267" s="35" t="s">
        <v>14</v>
      </c>
      <c r="G267" s="35" t="s">
        <v>370</v>
      </c>
      <c r="H267" s="35" t="s">
        <v>857</v>
      </c>
      <c r="I267" s="37">
        <v>0.375</v>
      </c>
      <c r="J267" s="35" t="s">
        <v>858</v>
      </c>
      <c r="K267" s="35" t="s">
        <v>14</v>
      </c>
      <c r="L267" s="35" t="s">
        <v>14</v>
      </c>
    </row>
    <row r="268" spans="1:12" ht="13.2">
      <c r="A268" s="34">
        <v>5074</v>
      </c>
      <c r="B268" s="35" t="s">
        <v>345</v>
      </c>
      <c r="C268" s="35" t="s">
        <v>284</v>
      </c>
      <c r="D268" s="36">
        <v>42721</v>
      </c>
      <c r="E268" s="35" t="s">
        <v>346</v>
      </c>
      <c r="F268" s="35" t="s">
        <v>14</v>
      </c>
      <c r="G268" s="35" t="s">
        <v>859</v>
      </c>
      <c r="H268" s="35" t="s">
        <v>860</v>
      </c>
      <c r="I268" s="37">
        <v>0.375</v>
      </c>
      <c r="J268" s="35" t="s">
        <v>373</v>
      </c>
      <c r="K268" s="35" t="s">
        <v>349</v>
      </c>
      <c r="L268" s="35" t="s">
        <v>800</v>
      </c>
    </row>
    <row r="269" spans="1:12" ht="13.2">
      <c r="A269" s="34">
        <v>5072</v>
      </c>
      <c r="B269" s="35" t="s">
        <v>826</v>
      </c>
      <c r="C269" s="35" t="s">
        <v>284</v>
      </c>
      <c r="D269" s="36">
        <v>42721</v>
      </c>
      <c r="E269" s="35" t="s">
        <v>43</v>
      </c>
      <c r="F269" s="35" t="s">
        <v>14</v>
      </c>
      <c r="G269" s="35" t="s">
        <v>861</v>
      </c>
      <c r="H269" s="35" t="s">
        <v>862</v>
      </c>
      <c r="I269" s="37">
        <v>0.375</v>
      </c>
      <c r="J269" s="35" t="s">
        <v>373</v>
      </c>
      <c r="K269" s="35" t="s">
        <v>843</v>
      </c>
      <c r="L269" s="35" t="s">
        <v>785</v>
      </c>
    </row>
    <row r="270" spans="1:12" ht="13.2">
      <c r="A270" s="34">
        <v>5042</v>
      </c>
      <c r="B270" s="35" t="s">
        <v>831</v>
      </c>
      <c r="C270" s="35" t="s">
        <v>284</v>
      </c>
      <c r="D270" s="36">
        <v>42721</v>
      </c>
      <c r="E270" s="35" t="s">
        <v>863</v>
      </c>
      <c r="F270" s="35" t="s">
        <v>14</v>
      </c>
      <c r="G270" s="35" t="s">
        <v>25</v>
      </c>
      <c r="H270" s="35" t="s">
        <v>864</v>
      </c>
      <c r="I270" s="37">
        <v>0.625</v>
      </c>
      <c r="J270" s="35" t="s">
        <v>809</v>
      </c>
      <c r="K270" s="35" t="s">
        <v>14</v>
      </c>
      <c r="L270" s="35" t="s">
        <v>14</v>
      </c>
    </row>
    <row r="271" spans="1:12" ht="13.2">
      <c r="A271" s="34">
        <v>5039</v>
      </c>
      <c r="B271" s="35" t="s">
        <v>835</v>
      </c>
      <c r="C271" s="35" t="s">
        <v>284</v>
      </c>
      <c r="D271" s="36">
        <v>42721</v>
      </c>
      <c r="E271" s="35" t="s">
        <v>865</v>
      </c>
      <c r="F271" s="35" t="s">
        <v>14</v>
      </c>
      <c r="G271" s="35" t="s">
        <v>53</v>
      </c>
      <c r="H271" s="35" t="s">
        <v>866</v>
      </c>
      <c r="I271" s="37">
        <v>0.375</v>
      </c>
      <c r="J271" s="35" t="s">
        <v>867</v>
      </c>
      <c r="K271" s="35" t="s">
        <v>14</v>
      </c>
      <c r="L271" s="35" t="s">
        <v>14</v>
      </c>
    </row>
    <row r="272" spans="1:12" ht="13.2">
      <c r="A272" s="34">
        <v>5017</v>
      </c>
      <c r="B272" s="35" t="s">
        <v>369</v>
      </c>
      <c r="C272" s="35" t="s">
        <v>284</v>
      </c>
      <c r="D272" s="36">
        <v>42714</v>
      </c>
      <c r="E272" s="35" t="s">
        <v>370</v>
      </c>
      <c r="F272" s="35" t="s">
        <v>14</v>
      </c>
      <c r="G272" s="35" t="s">
        <v>181</v>
      </c>
      <c r="H272" s="35" t="s">
        <v>868</v>
      </c>
      <c r="I272" s="37">
        <v>0.41666666666666669</v>
      </c>
      <c r="J272" s="35" t="s">
        <v>287</v>
      </c>
      <c r="K272" s="35" t="s">
        <v>374</v>
      </c>
      <c r="L272" s="35" t="s">
        <v>869</v>
      </c>
    </row>
    <row r="273" spans="1:12" ht="13.2">
      <c r="A273" s="34">
        <v>5016</v>
      </c>
      <c r="B273" s="35" t="s">
        <v>826</v>
      </c>
      <c r="C273" s="35" t="s">
        <v>284</v>
      </c>
      <c r="D273" s="36">
        <v>42714</v>
      </c>
      <c r="E273" s="35" t="s">
        <v>43</v>
      </c>
      <c r="F273" s="35" t="s">
        <v>14</v>
      </c>
      <c r="G273" s="35" t="s">
        <v>870</v>
      </c>
      <c r="H273" s="35" t="s">
        <v>871</v>
      </c>
      <c r="I273" s="37">
        <v>0.375</v>
      </c>
      <c r="J273" s="35" t="s">
        <v>287</v>
      </c>
      <c r="K273" s="35" t="s">
        <v>843</v>
      </c>
      <c r="L273" s="35" t="s">
        <v>350</v>
      </c>
    </row>
    <row r="274" spans="1:12" ht="13.2">
      <c r="A274" s="34">
        <v>4988</v>
      </c>
      <c r="B274" s="35" t="s">
        <v>369</v>
      </c>
      <c r="C274" s="35" t="s">
        <v>284</v>
      </c>
      <c r="D274" s="36">
        <v>42707</v>
      </c>
      <c r="E274" s="35" t="s">
        <v>872</v>
      </c>
      <c r="F274" s="35" t="s">
        <v>14</v>
      </c>
      <c r="G274" s="35" t="s">
        <v>370</v>
      </c>
      <c r="H274" s="35" t="s">
        <v>873</v>
      </c>
      <c r="I274" s="37">
        <v>0.375</v>
      </c>
      <c r="J274" s="35" t="s">
        <v>874</v>
      </c>
      <c r="K274" s="35" t="s">
        <v>14</v>
      </c>
      <c r="L274" s="35" t="s">
        <v>14</v>
      </c>
    </row>
    <row r="275" spans="1:12" ht="13.2">
      <c r="A275" s="34">
        <v>4984</v>
      </c>
      <c r="B275" s="35" t="s">
        <v>826</v>
      </c>
      <c r="C275" s="35" t="s">
        <v>284</v>
      </c>
      <c r="D275" s="36">
        <v>42707</v>
      </c>
      <c r="E275" s="35" t="s">
        <v>875</v>
      </c>
      <c r="F275" s="35" t="s">
        <v>14</v>
      </c>
      <c r="G275" s="35" t="s">
        <v>43</v>
      </c>
      <c r="H275" s="35" t="s">
        <v>876</v>
      </c>
      <c r="I275" s="37">
        <v>0.45833333333333331</v>
      </c>
      <c r="J275" s="35" t="s">
        <v>651</v>
      </c>
      <c r="K275" s="35" t="s">
        <v>14</v>
      </c>
      <c r="L275" s="35" t="s">
        <v>14</v>
      </c>
    </row>
    <row r="276" spans="1:12" ht="13.2">
      <c r="A276" s="34">
        <v>4974</v>
      </c>
      <c r="B276" s="35" t="s">
        <v>831</v>
      </c>
      <c r="C276" s="35" t="s">
        <v>284</v>
      </c>
      <c r="D276" s="36">
        <v>42707</v>
      </c>
      <c r="E276" s="35" t="s">
        <v>25</v>
      </c>
      <c r="F276" s="35" t="s">
        <v>14</v>
      </c>
      <c r="G276" s="35" t="s">
        <v>877</v>
      </c>
      <c r="H276" s="35" t="s">
        <v>878</v>
      </c>
      <c r="I276" s="37">
        <v>0.58333333333333337</v>
      </c>
      <c r="J276" s="35" t="s">
        <v>287</v>
      </c>
      <c r="K276" s="35" t="s">
        <v>834</v>
      </c>
      <c r="L276" s="35" t="s">
        <v>775</v>
      </c>
    </row>
    <row r="277" spans="1:12" ht="13.2">
      <c r="A277" s="34">
        <v>4931</v>
      </c>
      <c r="B277" s="35" t="s">
        <v>835</v>
      </c>
      <c r="C277" s="35" t="s">
        <v>284</v>
      </c>
      <c r="D277" s="36">
        <v>42805</v>
      </c>
      <c r="E277" s="35" t="s">
        <v>879</v>
      </c>
      <c r="F277" s="35" t="s">
        <v>14</v>
      </c>
      <c r="G277" s="35" t="s">
        <v>53</v>
      </c>
      <c r="H277" s="35" t="s">
        <v>880</v>
      </c>
      <c r="I277" s="37">
        <v>0.375</v>
      </c>
      <c r="J277" s="35" t="s">
        <v>459</v>
      </c>
      <c r="K277" s="35" t="s">
        <v>14</v>
      </c>
      <c r="L277" s="35" t="s">
        <v>14</v>
      </c>
    </row>
    <row r="278" spans="1:12" ht="13.2">
      <c r="A278" s="34">
        <v>4923</v>
      </c>
      <c r="B278" s="35" t="s">
        <v>831</v>
      </c>
      <c r="C278" s="35" t="s">
        <v>284</v>
      </c>
      <c r="D278" s="36">
        <v>42805</v>
      </c>
      <c r="E278" s="35" t="s">
        <v>881</v>
      </c>
      <c r="F278" s="35" t="s">
        <v>14</v>
      </c>
      <c r="G278" s="35" t="s">
        <v>25</v>
      </c>
      <c r="H278" s="35" t="s">
        <v>882</v>
      </c>
      <c r="I278" s="37">
        <v>0.375</v>
      </c>
      <c r="J278" s="35" t="s">
        <v>467</v>
      </c>
      <c r="K278" s="35" t="s">
        <v>14</v>
      </c>
      <c r="L278" s="35" t="s">
        <v>14</v>
      </c>
    </row>
    <row r="279" spans="1:12" ht="13.2">
      <c r="A279" s="34">
        <v>4913</v>
      </c>
      <c r="B279" s="35" t="s">
        <v>345</v>
      </c>
      <c r="C279" s="35" t="s">
        <v>284</v>
      </c>
      <c r="D279" s="36">
        <v>42784</v>
      </c>
      <c r="E279" s="35" t="s">
        <v>859</v>
      </c>
      <c r="F279" s="35" t="s">
        <v>14</v>
      </c>
      <c r="G279" s="35" t="s">
        <v>346</v>
      </c>
      <c r="H279" s="35" t="s">
        <v>883</v>
      </c>
      <c r="I279" s="37">
        <v>0.41666666666666669</v>
      </c>
      <c r="J279" s="35" t="s">
        <v>454</v>
      </c>
      <c r="K279" s="35" t="s">
        <v>14</v>
      </c>
      <c r="L279" s="35" t="s">
        <v>14</v>
      </c>
    </row>
    <row r="280" spans="1:12" ht="13.2">
      <c r="A280" s="34">
        <v>4911</v>
      </c>
      <c r="B280" s="35" t="s">
        <v>826</v>
      </c>
      <c r="C280" s="35" t="s">
        <v>284</v>
      </c>
      <c r="D280" s="36">
        <v>42784</v>
      </c>
      <c r="E280" s="35" t="s">
        <v>861</v>
      </c>
      <c r="F280" s="35" t="s">
        <v>14</v>
      </c>
      <c r="G280" s="35" t="s">
        <v>43</v>
      </c>
      <c r="H280" s="35" t="s">
        <v>884</v>
      </c>
      <c r="I280" s="37">
        <v>0.41666666666666669</v>
      </c>
      <c r="J280" s="35" t="s">
        <v>376</v>
      </c>
      <c r="K280" s="35" t="s">
        <v>14</v>
      </c>
      <c r="L280" s="35" t="s">
        <v>14</v>
      </c>
    </row>
    <row r="281" spans="1:12" ht="13.2">
      <c r="A281" s="34">
        <v>4887</v>
      </c>
      <c r="B281" s="35" t="s">
        <v>831</v>
      </c>
      <c r="C281" s="35" t="s">
        <v>284</v>
      </c>
      <c r="D281" s="36">
        <v>42784</v>
      </c>
      <c r="E281" s="35" t="s">
        <v>25</v>
      </c>
      <c r="F281" s="35" t="s">
        <v>14</v>
      </c>
      <c r="G281" s="35" t="s">
        <v>863</v>
      </c>
      <c r="H281" s="35" t="s">
        <v>885</v>
      </c>
      <c r="I281" s="37">
        <v>0.375</v>
      </c>
      <c r="J281" s="35" t="s">
        <v>287</v>
      </c>
      <c r="K281" s="35" t="s">
        <v>834</v>
      </c>
      <c r="L281" s="35" t="s">
        <v>14</v>
      </c>
    </row>
    <row r="282" spans="1:12" ht="13.2">
      <c r="A282" s="34">
        <v>4884</v>
      </c>
      <c r="B282" s="35" t="s">
        <v>835</v>
      </c>
      <c r="C282" s="35" t="s">
        <v>284</v>
      </c>
      <c r="D282" s="36">
        <v>42784</v>
      </c>
      <c r="E282" s="35" t="s">
        <v>53</v>
      </c>
      <c r="F282" s="35" t="s">
        <v>14</v>
      </c>
      <c r="G282" s="35" t="s">
        <v>865</v>
      </c>
      <c r="H282" s="35" t="s">
        <v>886</v>
      </c>
      <c r="I282" s="37">
        <v>0.375</v>
      </c>
      <c r="J282" s="35" t="s">
        <v>287</v>
      </c>
      <c r="K282" s="35" t="s">
        <v>838</v>
      </c>
      <c r="L282" s="35" t="s">
        <v>14</v>
      </c>
    </row>
    <row r="283" spans="1:12" ht="13.2">
      <c r="A283" s="34">
        <v>4869</v>
      </c>
      <c r="B283" s="35" t="s">
        <v>369</v>
      </c>
      <c r="C283" s="35" t="s">
        <v>284</v>
      </c>
      <c r="D283" s="36">
        <v>42777</v>
      </c>
      <c r="E283" s="35" t="s">
        <v>181</v>
      </c>
      <c r="F283" s="35" t="s">
        <v>14</v>
      </c>
      <c r="G283" s="35" t="s">
        <v>370</v>
      </c>
      <c r="H283" s="35" t="s">
        <v>887</v>
      </c>
      <c r="I283" s="37">
        <v>0.46180555555555558</v>
      </c>
      <c r="J283" s="35" t="s">
        <v>334</v>
      </c>
      <c r="K283" s="35" t="s">
        <v>14</v>
      </c>
      <c r="L283" s="35" t="s">
        <v>14</v>
      </c>
    </row>
    <row r="284" spans="1:12" ht="13.2">
      <c r="A284" s="34">
        <v>4868</v>
      </c>
      <c r="B284" s="35" t="s">
        <v>826</v>
      </c>
      <c r="C284" s="35" t="s">
        <v>284</v>
      </c>
      <c r="D284" s="36">
        <v>42798</v>
      </c>
      <c r="E284" s="35" t="s">
        <v>870</v>
      </c>
      <c r="F284" s="35" t="s">
        <v>14</v>
      </c>
      <c r="G284" s="35" t="s">
        <v>43</v>
      </c>
      <c r="H284" s="35" t="s">
        <v>888</v>
      </c>
      <c r="I284" s="37">
        <v>0.375</v>
      </c>
      <c r="J284" s="35" t="s">
        <v>612</v>
      </c>
      <c r="K284" s="35" t="s">
        <v>14</v>
      </c>
      <c r="L284" s="35" t="s">
        <v>14</v>
      </c>
    </row>
    <row r="285" spans="1:12" ht="13.2">
      <c r="A285" s="34">
        <v>4844</v>
      </c>
      <c r="B285" s="35" t="s">
        <v>835</v>
      </c>
      <c r="C285" s="35" t="s">
        <v>284</v>
      </c>
      <c r="D285" s="36">
        <v>42777</v>
      </c>
      <c r="E285" s="35" t="s">
        <v>53</v>
      </c>
      <c r="F285" s="35" t="s">
        <v>14</v>
      </c>
      <c r="G285" s="35" t="s">
        <v>889</v>
      </c>
      <c r="H285" s="35" t="s">
        <v>890</v>
      </c>
      <c r="I285" s="37">
        <v>0.375</v>
      </c>
      <c r="J285" s="35" t="s">
        <v>305</v>
      </c>
      <c r="K285" s="35" t="s">
        <v>838</v>
      </c>
      <c r="L285" s="35" t="s">
        <v>14</v>
      </c>
    </row>
    <row r="286" spans="1:12" ht="13.2">
      <c r="A286" s="34">
        <v>4831</v>
      </c>
      <c r="B286" s="35" t="s">
        <v>369</v>
      </c>
      <c r="C286" s="35" t="s">
        <v>284</v>
      </c>
      <c r="D286" s="36">
        <v>42770</v>
      </c>
      <c r="E286" s="35" t="s">
        <v>370</v>
      </c>
      <c r="F286" s="35" t="s">
        <v>14</v>
      </c>
      <c r="G286" s="35" t="s">
        <v>872</v>
      </c>
      <c r="H286" s="35" t="s">
        <v>891</v>
      </c>
      <c r="I286" s="37">
        <v>0.375</v>
      </c>
      <c r="J286" s="35" t="s">
        <v>287</v>
      </c>
      <c r="K286" s="35" t="s">
        <v>374</v>
      </c>
      <c r="L286" s="35" t="s">
        <v>714</v>
      </c>
    </row>
    <row r="287" spans="1:12" ht="13.2">
      <c r="A287" s="34">
        <v>4830</v>
      </c>
      <c r="B287" s="35" t="s">
        <v>826</v>
      </c>
      <c r="C287" s="35" t="s">
        <v>284</v>
      </c>
      <c r="D287" s="36">
        <v>42812</v>
      </c>
      <c r="E287" s="35" t="s">
        <v>43</v>
      </c>
      <c r="F287" s="35" t="s">
        <v>14</v>
      </c>
      <c r="G287" s="35" t="s">
        <v>875</v>
      </c>
      <c r="H287" s="35" t="s">
        <v>892</v>
      </c>
      <c r="I287" s="37">
        <v>0.41666666666666669</v>
      </c>
      <c r="J287" s="35" t="s">
        <v>287</v>
      </c>
      <c r="K287" s="35" t="s">
        <v>843</v>
      </c>
      <c r="L287" s="35" t="s">
        <v>752</v>
      </c>
    </row>
    <row r="288" spans="1:12" ht="13.2">
      <c r="A288" s="34">
        <v>4820</v>
      </c>
      <c r="B288" s="35" t="s">
        <v>831</v>
      </c>
      <c r="C288" s="35" t="s">
        <v>284</v>
      </c>
      <c r="D288" s="36">
        <v>42770</v>
      </c>
      <c r="E288" s="35" t="s">
        <v>877</v>
      </c>
      <c r="F288" s="35" t="s">
        <v>14</v>
      </c>
      <c r="G288" s="35" t="s">
        <v>25</v>
      </c>
      <c r="H288" s="35" t="s">
        <v>893</v>
      </c>
      <c r="I288" s="37">
        <v>0.375</v>
      </c>
      <c r="J288" s="35" t="s">
        <v>874</v>
      </c>
      <c r="K288" s="35" t="s">
        <v>14</v>
      </c>
      <c r="L288" s="35" t="s">
        <v>14</v>
      </c>
    </row>
    <row r="289" spans="1:12" ht="13.2">
      <c r="A289" s="34">
        <v>4735</v>
      </c>
      <c r="B289" s="35" t="s">
        <v>831</v>
      </c>
      <c r="C289" s="35" t="s">
        <v>284</v>
      </c>
      <c r="D289" s="36">
        <v>42742</v>
      </c>
      <c r="E289" s="35" t="s">
        <v>25</v>
      </c>
      <c r="F289" s="35" t="s">
        <v>14</v>
      </c>
      <c r="G289" s="35" t="s">
        <v>881</v>
      </c>
      <c r="H289" s="35" t="s">
        <v>894</v>
      </c>
      <c r="I289" s="37">
        <v>0.41666666666666669</v>
      </c>
      <c r="J289" s="35" t="s">
        <v>305</v>
      </c>
      <c r="K289" s="35" t="s">
        <v>834</v>
      </c>
      <c r="L289" s="35" t="s">
        <v>869</v>
      </c>
    </row>
    <row r="290" spans="1:12" ht="13.2">
      <c r="A290" s="34">
        <v>4732</v>
      </c>
      <c r="B290" s="35" t="s">
        <v>835</v>
      </c>
      <c r="C290" s="35" t="s">
        <v>284</v>
      </c>
      <c r="D290" s="36">
        <v>42742</v>
      </c>
      <c r="E290" s="35" t="s">
        <v>53</v>
      </c>
      <c r="F290" s="35" t="s">
        <v>14</v>
      </c>
      <c r="G290" s="35" t="s">
        <v>879</v>
      </c>
      <c r="H290" s="35" t="s">
        <v>895</v>
      </c>
      <c r="I290" s="37">
        <v>0.375</v>
      </c>
      <c r="J290" s="35" t="s">
        <v>305</v>
      </c>
      <c r="K290" s="35" t="s">
        <v>838</v>
      </c>
      <c r="L290" s="35" t="s">
        <v>350</v>
      </c>
    </row>
    <row r="291" spans="1:12" ht="13.2">
      <c r="A291" s="34">
        <v>4705</v>
      </c>
      <c r="B291" s="35" t="s">
        <v>835</v>
      </c>
      <c r="C291" s="35" t="s">
        <v>284</v>
      </c>
      <c r="D291" s="36">
        <v>42714</v>
      </c>
      <c r="E291" s="35" t="s">
        <v>889</v>
      </c>
      <c r="F291" s="35" t="s">
        <v>14</v>
      </c>
      <c r="G291" s="35" t="s">
        <v>53</v>
      </c>
      <c r="H291" s="35" t="s">
        <v>896</v>
      </c>
      <c r="I291" s="37">
        <v>0.41666666666666669</v>
      </c>
      <c r="J291" s="35" t="s">
        <v>412</v>
      </c>
      <c r="K291" s="35" t="s">
        <v>14</v>
      </c>
      <c r="L291" s="35" t="s">
        <v>14</v>
      </c>
    </row>
    <row r="292" spans="1:12" ht="13.2">
      <c r="A292" s="34">
        <v>4664</v>
      </c>
      <c r="B292" s="35" t="s">
        <v>831</v>
      </c>
      <c r="C292" s="35" t="s">
        <v>284</v>
      </c>
      <c r="D292" s="36">
        <v>42700</v>
      </c>
      <c r="E292" s="35" t="s">
        <v>832</v>
      </c>
      <c r="F292" s="35" t="s">
        <v>14</v>
      </c>
      <c r="G292" s="35" t="s">
        <v>25</v>
      </c>
      <c r="H292" s="35" t="s">
        <v>897</v>
      </c>
      <c r="I292" s="37">
        <v>0.55208333333333337</v>
      </c>
      <c r="J292" s="35" t="s">
        <v>514</v>
      </c>
      <c r="K292" s="35" t="s">
        <v>14</v>
      </c>
      <c r="L292" s="35" t="s">
        <v>14</v>
      </c>
    </row>
    <row r="293" spans="1:12" ht="13.2">
      <c r="A293" s="34">
        <v>4654</v>
      </c>
      <c r="B293" s="35" t="s">
        <v>835</v>
      </c>
      <c r="C293" s="35" t="s">
        <v>284</v>
      </c>
      <c r="D293" s="36">
        <v>42700</v>
      </c>
      <c r="E293" s="35" t="s">
        <v>836</v>
      </c>
      <c r="F293" s="35" t="s">
        <v>14</v>
      </c>
      <c r="G293" s="35" t="s">
        <v>53</v>
      </c>
      <c r="H293" s="35" t="s">
        <v>898</v>
      </c>
      <c r="I293" s="37">
        <v>0.75</v>
      </c>
      <c r="J293" s="35" t="s">
        <v>520</v>
      </c>
      <c r="K293" s="35" t="s">
        <v>14</v>
      </c>
      <c r="L293" s="35" t="s">
        <v>14</v>
      </c>
    </row>
    <row r="294" spans="1:12" ht="13.2">
      <c r="A294" s="34">
        <v>4649</v>
      </c>
      <c r="B294" s="35" t="s">
        <v>345</v>
      </c>
      <c r="C294" s="35" t="s">
        <v>284</v>
      </c>
      <c r="D294" s="36">
        <v>42700</v>
      </c>
      <c r="E294" s="35" t="s">
        <v>346</v>
      </c>
      <c r="F294" s="35" t="s">
        <v>14</v>
      </c>
      <c r="G294" s="35" t="s">
        <v>829</v>
      </c>
      <c r="H294" s="35" t="s">
        <v>899</v>
      </c>
      <c r="I294" s="37">
        <v>0.45833333333333331</v>
      </c>
      <c r="J294" s="35" t="s">
        <v>373</v>
      </c>
      <c r="K294" s="35" t="s">
        <v>349</v>
      </c>
      <c r="L294" s="35" t="s">
        <v>567</v>
      </c>
    </row>
    <row r="295" spans="1:12" ht="13.2">
      <c r="A295" s="34">
        <v>4648</v>
      </c>
      <c r="B295" s="35" t="s">
        <v>369</v>
      </c>
      <c r="C295" s="35" t="s">
        <v>284</v>
      </c>
      <c r="D295" s="36">
        <v>42700</v>
      </c>
      <c r="E295" s="35" t="s">
        <v>370</v>
      </c>
      <c r="F295" s="35" t="s">
        <v>14</v>
      </c>
      <c r="G295" s="35" t="s">
        <v>147</v>
      </c>
      <c r="H295" s="35" t="s">
        <v>900</v>
      </c>
      <c r="I295" s="37">
        <v>0.375</v>
      </c>
      <c r="J295" s="35" t="s">
        <v>287</v>
      </c>
      <c r="K295" s="35" t="s">
        <v>374</v>
      </c>
      <c r="L295" s="35" t="s">
        <v>399</v>
      </c>
    </row>
    <row r="296" spans="1:12" ht="13.2">
      <c r="A296" s="34">
        <v>4647</v>
      </c>
      <c r="B296" s="35" t="s">
        <v>826</v>
      </c>
      <c r="C296" s="35" t="s">
        <v>284</v>
      </c>
      <c r="D296" s="36">
        <v>42700</v>
      </c>
      <c r="E296" s="35" t="s">
        <v>43</v>
      </c>
      <c r="F296" s="35" t="s">
        <v>14</v>
      </c>
      <c r="G296" s="35" t="s">
        <v>827</v>
      </c>
      <c r="H296" s="35" t="s">
        <v>901</v>
      </c>
      <c r="I296" s="37">
        <v>0.41319444444444442</v>
      </c>
      <c r="J296" s="35" t="s">
        <v>287</v>
      </c>
      <c r="K296" s="35" t="s">
        <v>843</v>
      </c>
      <c r="L296" s="35" t="s">
        <v>869</v>
      </c>
    </row>
    <row r="297" spans="1:12" ht="13.2">
      <c r="A297" s="34">
        <v>4605</v>
      </c>
      <c r="B297" s="35" t="s">
        <v>345</v>
      </c>
      <c r="C297" s="35" t="s">
        <v>284</v>
      </c>
      <c r="D297" s="36">
        <v>42693</v>
      </c>
      <c r="E297" s="35" t="s">
        <v>839</v>
      </c>
      <c r="F297" s="35" t="s">
        <v>14</v>
      </c>
      <c r="G297" s="35" t="s">
        <v>346</v>
      </c>
      <c r="H297" s="35" t="s">
        <v>902</v>
      </c>
      <c r="I297" s="37">
        <v>0.375</v>
      </c>
      <c r="J297" s="35" t="s">
        <v>520</v>
      </c>
      <c r="K297" s="35" t="s">
        <v>14</v>
      </c>
      <c r="L297" s="35" t="s">
        <v>14</v>
      </c>
    </row>
    <row r="298" spans="1:12" ht="13.2">
      <c r="A298" s="34">
        <v>4604</v>
      </c>
      <c r="B298" s="35" t="s">
        <v>826</v>
      </c>
      <c r="C298" s="35" t="s">
        <v>284</v>
      </c>
      <c r="D298" s="36">
        <v>42693</v>
      </c>
      <c r="E298" s="35" t="s">
        <v>841</v>
      </c>
      <c r="F298" s="35" t="s">
        <v>14</v>
      </c>
      <c r="G298" s="35" t="s">
        <v>43</v>
      </c>
      <c r="H298" s="35" t="s">
        <v>903</v>
      </c>
      <c r="I298" s="37">
        <v>0.375</v>
      </c>
      <c r="J298" s="35" t="s">
        <v>295</v>
      </c>
      <c r="K298" s="35" t="s">
        <v>14</v>
      </c>
      <c r="L298" s="35" t="s">
        <v>14</v>
      </c>
    </row>
    <row r="299" spans="1:12" ht="13.2">
      <c r="A299" s="34">
        <v>4579</v>
      </c>
      <c r="B299" s="35" t="s">
        <v>831</v>
      </c>
      <c r="C299" s="35" t="s">
        <v>284</v>
      </c>
      <c r="D299" s="36">
        <v>42693</v>
      </c>
      <c r="E299" s="35" t="s">
        <v>25</v>
      </c>
      <c r="F299" s="35" t="s">
        <v>14</v>
      </c>
      <c r="G299" s="35" t="s">
        <v>846</v>
      </c>
      <c r="H299" s="35" t="s">
        <v>904</v>
      </c>
      <c r="I299" s="37">
        <v>0.375</v>
      </c>
      <c r="J299" s="35" t="s">
        <v>287</v>
      </c>
      <c r="K299" s="35" t="s">
        <v>834</v>
      </c>
      <c r="L299" s="35" t="s">
        <v>399</v>
      </c>
    </row>
    <row r="300" spans="1:12" ht="13.2">
      <c r="A300" s="34">
        <v>7743</v>
      </c>
      <c r="B300" s="35" t="s">
        <v>692</v>
      </c>
      <c r="C300" s="35" t="s">
        <v>284</v>
      </c>
      <c r="D300" s="36">
        <v>42721</v>
      </c>
      <c r="E300" s="35" t="s">
        <v>905</v>
      </c>
      <c r="F300" s="35" t="s">
        <v>14</v>
      </c>
      <c r="G300" s="35" t="s">
        <v>102</v>
      </c>
      <c r="H300" s="35" t="s">
        <v>906</v>
      </c>
      <c r="I300" s="37">
        <v>0.54166666666666663</v>
      </c>
      <c r="J300" s="35" t="s">
        <v>454</v>
      </c>
      <c r="K300" s="35" t="s">
        <v>14</v>
      </c>
      <c r="L300" s="35" t="s">
        <v>14</v>
      </c>
    </row>
    <row r="301" spans="1:12" ht="13.2">
      <c r="A301" s="34">
        <v>7737</v>
      </c>
      <c r="B301" s="35" t="s">
        <v>685</v>
      </c>
      <c r="C301" s="35" t="s">
        <v>284</v>
      </c>
      <c r="D301" s="36">
        <v>42714</v>
      </c>
      <c r="E301" s="35" t="s">
        <v>95</v>
      </c>
      <c r="F301" s="35" t="s">
        <v>14</v>
      </c>
      <c r="G301" s="35" t="s">
        <v>688</v>
      </c>
      <c r="H301" s="35" t="s">
        <v>907</v>
      </c>
      <c r="I301" s="37">
        <v>0.81597222222222221</v>
      </c>
      <c r="J301" s="35" t="s">
        <v>287</v>
      </c>
      <c r="K301" s="35" t="s">
        <v>306</v>
      </c>
      <c r="L301" s="35" t="s">
        <v>288</v>
      </c>
    </row>
    <row r="302" spans="1:12" ht="13.2">
      <c r="A302" s="34">
        <v>7717</v>
      </c>
      <c r="B302" s="35" t="s">
        <v>685</v>
      </c>
      <c r="C302" s="35" t="s">
        <v>284</v>
      </c>
      <c r="D302" s="36">
        <v>42707</v>
      </c>
      <c r="E302" s="35" t="s">
        <v>690</v>
      </c>
      <c r="F302" s="35" t="s">
        <v>14</v>
      </c>
      <c r="G302" s="35" t="s">
        <v>95</v>
      </c>
      <c r="H302" s="35" t="s">
        <v>908</v>
      </c>
      <c r="I302" s="37">
        <v>0.4375</v>
      </c>
      <c r="J302" s="35" t="s">
        <v>757</v>
      </c>
      <c r="K302" s="35" t="s">
        <v>14</v>
      </c>
      <c r="L302" s="35" t="s">
        <v>14</v>
      </c>
    </row>
    <row r="303" spans="1:12" ht="13.2">
      <c r="A303" s="34">
        <v>7706</v>
      </c>
      <c r="B303" s="35" t="s">
        <v>692</v>
      </c>
      <c r="C303" s="35" t="s">
        <v>284</v>
      </c>
      <c r="D303" s="36">
        <v>42812</v>
      </c>
      <c r="E303" s="35" t="s">
        <v>102</v>
      </c>
      <c r="F303" s="35" t="s">
        <v>14</v>
      </c>
      <c r="G303" s="35" t="s">
        <v>909</v>
      </c>
      <c r="H303" s="35" t="s">
        <v>910</v>
      </c>
      <c r="I303" s="37">
        <v>0.76736111111111116</v>
      </c>
      <c r="J303" s="35" t="s">
        <v>287</v>
      </c>
      <c r="K303" s="35" t="s">
        <v>298</v>
      </c>
      <c r="L303" s="35" t="s">
        <v>328</v>
      </c>
    </row>
    <row r="304" spans="1:12" ht="13.2">
      <c r="A304" s="34">
        <v>7700</v>
      </c>
      <c r="B304" s="35" t="s">
        <v>685</v>
      </c>
      <c r="C304" s="35" t="s">
        <v>284</v>
      </c>
      <c r="D304" s="36">
        <v>42798</v>
      </c>
      <c r="E304" s="35" t="s">
        <v>697</v>
      </c>
      <c r="F304" s="35" t="s">
        <v>14</v>
      </c>
      <c r="G304" s="35" t="s">
        <v>95</v>
      </c>
      <c r="H304" s="35" t="s">
        <v>911</v>
      </c>
      <c r="I304" s="37">
        <v>0.58333333333333337</v>
      </c>
      <c r="J304" s="35" t="s">
        <v>603</v>
      </c>
      <c r="K304" s="35" t="s">
        <v>14</v>
      </c>
      <c r="L304" s="35" t="s">
        <v>14</v>
      </c>
    </row>
    <row r="305" spans="1:12" ht="13.2">
      <c r="A305" s="34">
        <v>7686</v>
      </c>
      <c r="B305" s="35" t="s">
        <v>692</v>
      </c>
      <c r="C305" s="35" t="s">
        <v>284</v>
      </c>
      <c r="D305" s="36">
        <v>42805</v>
      </c>
      <c r="E305" s="35" t="s">
        <v>912</v>
      </c>
      <c r="F305" s="35" t="s">
        <v>14</v>
      </c>
      <c r="G305" s="35" t="s">
        <v>102</v>
      </c>
      <c r="H305" s="35" t="s">
        <v>913</v>
      </c>
      <c r="I305" s="37">
        <v>0.46180555555555558</v>
      </c>
      <c r="J305" s="35" t="s">
        <v>914</v>
      </c>
      <c r="K305" s="35" t="s">
        <v>14</v>
      </c>
      <c r="L305" s="35" t="s">
        <v>14</v>
      </c>
    </row>
    <row r="306" spans="1:12" ht="13.2">
      <c r="A306" s="34">
        <v>7677</v>
      </c>
      <c r="B306" s="35" t="s">
        <v>685</v>
      </c>
      <c r="C306" s="35" t="s">
        <v>284</v>
      </c>
      <c r="D306" s="36">
        <v>42784</v>
      </c>
      <c r="E306" s="35" t="s">
        <v>95</v>
      </c>
      <c r="F306" s="35" t="s">
        <v>14</v>
      </c>
      <c r="G306" s="35" t="s">
        <v>701</v>
      </c>
      <c r="H306" s="35" t="s">
        <v>915</v>
      </c>
      <c r="I306" s="37">
        <v>0.54166666666666663</v>
      </c>
      <c r="J306" s="35" t="s">
        <v>305</v>
      </c>
      <c r="K306" s="35" t="s">
        <v>288</v>
      </c>
      <c r="L306" s="35" t="s">
        <v>567</v>
      </c>
    </row>
    <row r="307" spans="1:12" ht="13.2">
      <c r="A307" s="34">
        <v>7664</v>
      </c>
      <c r="B307" s="35" t="s">
        <v>692</v>
      </c>
      <c r="C307" s="35" t="s">
        <v>284</v>
      </c>
      <c r="D307" s="36">
        <v>42784</v>
      </c>
      <c r="E307" s="35" t="s">
        <v>102</v>
      </c>
      <c r="F307" s="35" t="s">
        <v>14</v>
      </c>
      <c r="G307" s="35" t="s">
        <v>905</v>
      </c>
      <c r="H307" s="35" t="s">
        <v>916</v>
      </c>
      <c r="I307" s="37">
        <v>0.59027777777777779</v>
      </c>
      <c r="J307" s="35" t="s">
        <v>305</v>
      </c>
      <c r="K307" s="35" t="s">
        <v>288</v>
      </c>
      <c r="L307" s="35" t="s">
        <v>566</v>
      </c>
    </row>
    <row r="308" spans="1:12" ht="13.2">
      <c r="A308" s="34">
        <v>7643</v>
      </c>
      <c r="B308" s="35" t="s">
        <v>692</v>
      </c>
      <c r="C308" s="35" t="s">
        <v>284</v>
      </c>
      <c r="D308" s="36">
        <v>42798</v>
      </c>
      <c r="E308" s="35" t="s">
        <v>102</v>
      </c>
      <c r="F308" s="35" t="s">
        <v>14</v>
      </c>
      <c r="G308" s="35" t="s">
        <v>917</v>
      </c>
      <c r="H308" s="35" t="s">
        <v>918</v>
      </c>
      <c r="I308" s="37">
        <v>0.59027777777777779</v>
      </c>
      <c r="J308" s="35" t="s">
        <v>287</v>
      </c>
      <c r="K308" s="35" t="s">
        <v>298</v>
      </c>
      <c r="L308" s="35" t="s">
        <v>298</v>
      </c>
    </row>
    <row r="309" spans="1:12" ht="13.2">
      <c r="A309" s="34">
        <v>7626</v>
      </c>
      <c r="B309" s="35" t="s">
        <v>692</v>
      </c>
      <c r="C309" s="35" t="s">
        <v>284</v>
      </c>
      <c r="D309" s="36">
        <v>42770</v>
      </c>
      <c r="E309" s="35" t="s">
        <v>909</v>
      </c>
      <c r="F309" s="35" t="s">
        <v>14</v>
      </c>
      <c r="G309" s="35" t="s">
        <v>102</v>
      </c>
      <c r="H309" s="35" t="s">
        <v>919</v>
      </c>
      <c r="I309" s="37">
        <v>0.63541666666666663</v>
      </c>
      <c r="J309" s="35" t="s">
        <v>358</v>
      </c>
      <c r="K309" s="35" t="s">
        <v>14</v>
      </c>
      <c r="L309" s="35" t="s">
        <v>14</v>
      </c>
    </row>
    <row r="310" spans="1:12" ht="13.2">
      <c r="A310" s="34">
        <v>7592</v>
      </c>
      <c r="B310" s="35" t="s">
        <v>685</v>
      </c>
      <c r="C310" s="35" t="s">
        <v>284</v>
      </c>
      <c r="D310" s="36">
        <v>42742</v>
      </c>
      <c r="E310" s="35" t="s">
        <v>95</v>
      </c>
      <c r="F310" s="35" t="s">
        <v>14</v>
      </c>
      <c r="G310" s="38" t="s">
        <v>686</v>
      </c>
      <c r="H310" s="35" t="s">
        <v>920</v>
      </c>
      <c r="I310" s="37">
        <v>0.58333333333333337</v>
      </c>
      <c r="J310" s="35" t="s">
        <v>305</v>
      </c>
      <c r="K310" s="35" t="s">
        <v>338</v>
      </c>
      <c r="L310" s="35" t="s">
        <v>338</v>
      </c>
    </row>
    <row r="311" spans="1:12" ht="13.2">
      <c r="A311" s="34">
        <v>7586</v>
      </c>
      <c r="B311" s="35" t="s">
        <v>692</v>
      </c>
      <c r="C311" s="35" t="s">
        <v>284</v>
      </c>
      <c r="D311" s="36">
        <v>42742</v>
      </c>
      <c r="E311" s="35" t="s">
        <v>102</v>
      </c>
      <c r="F311" s="35" t="s">
        <v>14</v>
      </c>
      <c r="G311" s="35" t="s">
        <v>912</v>
      </c>
      <c r="H311" s="35" t="s">
        <v>921</v>
      </c>
      <c r="I311" s="37">
        <v>0.63194444444444442</v>
      </c>
      <c r="J311" s="35" t="s">
        <v>305</v>
      </c>
      <c r="K311" s="35" t="s">
        <v>338</v>
      </c>
      <c r="L311" s="35" t="s">
        <v>606</v>
      </c>
    </row>
    <row r="312" spans="1:12" ht="13.2">
      <c r="A312" s="34">
        <v>7567</v>
      </c>
      <c r="B312" s="35" t="s">
        <v>692</v>
      </c>
      <c r="C312" s="35" t="s">
        <v>284</v>
      </c>
      <c r="D312" s="36">
        <v>42714</v>
      </c>
      <c r="E312" s="35" t="s">
        <v>917</v>
      </c>
      <c r="F312" s="35" t="s">
        <v>14</v>
      </c>
      <c r="G312" s="35" t="s">
        <v>102</v>
      </c>
      <c r="H312" s="35" t="s">
        <v>922</v>
      </c>
      <c r="I312" s="37">
        <v>0.58333333333333337</v>
      </c>
      <c r="J312" s="35" t="s">
        <v>467</v>
      </c>
      <c r="K312" s="35" t="s">
        <v>14</v>
      </c>
      <c r="L312" s="35" t="s">
        <v>14</v>
      </c>
    </row>
    <row r="313" spans="1:12" ht="13.2">
      <c r="A313" s="34">
        <v>7553</v>
      </c>
      <c r="B313" s="35" t="s">
        <v>692</v>
      </c>
      <c r="C313" s="35" t="s">
        <v>284</v>
      </c>
      <c r="D313" s="36">
        <v>42749</v>
      </c>
      <c r="E313" s="35" t="s">
        <v>693</v>
      </c>
      <c r="F313" s="35" t="s">
        <v>14</v>
      </c>
      <c r="G313" s="35" t="s">
        <v>102</v>
      </c>
      <c r="H313" s="35" t="s">
        <v>923</v>
      </c>
      <c r="I313" s="37">
        <v>0.46875</v>
      </c>
      <c r="J313" s="35" t="s">
        <v>501</v>
      </c>
      <c r="K313" s="35" t="s">
        <v>14</v>
      </c>
      <c r="L313" s="35" t="s">
        <v>14</v>
      </c>
    </row>
    <row r="314" spans="1:12" ht="13.2">
      <c r="A314" s="34">
        <v>7550</v>
      </c>
      <c r="B314" s="35" t="s">
        <v>685</v>
      </c>
      <c r="C314" s="35" t="s">
        <v>284</v>
      </c>
      <c r="D314" s="36">
        <v>42700</v>
      </c>
      <c r="E314" s="35" t="s">
        <v>95</v>
      </c>
      <c r="F314" s="35" t="s">
        <v>14</v>
      </c>
      <c r="G314" s="35" t="s">
        <v>695</v>
      </c>
      <c r="H314" s="35" t="s">
        <v>924</v>
      </c>
      <c r="I314" s="37">
        <v>0.65972222222222221</v>
      </c>
      <c r="J314" s="35" t="s">
        <v>287</v>
      </c>
      <c r="K314" s="35" t="s">
        <v>298</v>
      </c>
      <c r="L314" s="35" t="s">
        <v>301</v>
      </c>
    </row>
    <row r="315" spans="1:12" ht="13.2">
      <c r="A315" s="34">
        <v>7497</v>
      </c>
      <c r="B315" s="35" t="s">
        <v>692</v>
      </c>
      <c r="C315" s="35" t="s">
        <v>284</v>
      </c>
      <c r="D315" s="36">
        <v>42686</v>
      </c>
      <c r="E315" s="35" t="s">
        <v>699</v>
      </c>
      <c r="F315" s="35" t="s">
        <v>14</v>
      </c>
      <c r="G315" s="35" t="s">
        <v>102</v>
      </c>
      <c r="H315" s="35" t="s">
        <v>925</v>
      </c>
      <c r="I315" s="37">
        <v>0.625</v>
      </c>
      <c r="J315" s="35" t="s">
        <v>867</v>
      </c>
      <c r="K315" s="35" t="s">
        <v>14</v>
      </c>
      <c r="L315" s="35" t="s">
        <v>14</v>
      </c>
    </row>
    <row r="316" spans="1:12" ht="13.2">
      <c r="A316" s="34">
        <v>7448</v>
      </c>
      <c r="B316" s="35" t="s">
        <v>926</v>
      </c>
      <c r="C316" s="35" t="s">
        <v>284</v>
      </c>
      <c r="D316" s="36">
        <v>42812</v>
      </c>
      <c r="E316" s="35" t="s">
        <v>15</v>
      </c>
      <c r="F316" s="35" t="s">
        <v>14</v>
      </c>
      <c r="G316" s="35" t="s">
        <v>183</v>
      </c>
      <c r="H316" s="35" t="s">
        <v>927</v>
      </c>
      <c r="I316" s="37">
        <v>0.375</v>
      </c>
      <c r="J316" s="35" t="s">
        <v>305</v>
      </c>
      <c r="K316" s="35" t="s">
        <v>928</v>
      </c>
      <c r="L316" s="35" t="s">
        <v>14</v>
      </c>
    </row>
    <row r="317" spans="1:12" ht="13.2">
      <c r="A317" s="34">
        <v>7360</v>
      </c>
      <c r="B317" s="35" t="s">
        <v>926</v>
      </c>
      <c r="C317" s="35" t="s">
        <v>284</v>
      </c>
      <c r="D317" s="36">
        <v>42763</v>
      </c>
      <c r="E317" s="35" t="s">
        <v>15</v>
      </c>
      <c r="F317" s="35" t="s">
        <v>14</v>
      </c>
      <c r="G317" s="35" t="s">
        <v>929</v>
      </c>
      <c r="H317" s="35" t="s">
        <v>930</v>
      </c>
      <c r="I317" s="37">
        <v>0.625</v>
      </c>
      <c r="J317" s="35" t="s">
        <v>287</v>
      </c>
      <c r="K317" s="35" t="s">
        <v>928</v>
      </c>
      <c r="L317" s="35" t="s">
        <v>445</v>
      </c>
    </row>
    <row r="318" spans="1:12" ht="13.2">
      <c r="A318" s="34">
        <v>7349</v>
      </c>
      <c r="B318" s="35" t="s">
        <v>931</v>
      </c>
      <c r="C318" s="35" t="s">
        <v>284</v>
      </c>
      <c r="D318" s="36">
        <v>42686</v>
      </c>
      <c r="E318" s="35" t="s">
        <v>28</v>
      </c>
      <c r="F318" s="35" t="s">
        <v>14</v>
      </c>
      <c r="G318" s="35" t="s">
        <v>932</v>
      </c>
      <c r="H318" s="35" t="s">
        <v>933</v>
      </c>
      <c r="I318" s="37">
        <v>0.54166666666666663</v>
      </c>
      <c r="J318" s="35" t="s">
        <v>287</v>
      </c>
      <c r="K318" s="35" t="s">
        <v>934</v>
      </c>
      <c r="L318" s="35" t="s">
        <v>550</v>
      </c>
    </row>
    <row r="319" spans="1:12" ht="13.2">
      <c r="A319" s="34">
        <v>7348</v>
      </c>
      <c r="B319" s="35" t="s">
        <v>935</v>
      </c>
      <c r="C319" s="35" t="s">
        <v>284</v>
      </c>
      <c r="D319" s="36">
        <v>42763</v>
      </c>
      <c r="E319" s="35" t="s">
        <v>32</v>
      </c>
      <c r="F319" s="35" t="s">
        <v>14</v>
      </c>
      <c r="G319" s="35" t="s">
        <v>936</v>
      </c>
      <c r="H319" s="35" t="s">
        <v>937</v>
      </c>
      <c r="I319" s="37">
        <v>0.58333333333333337</v>
      </c>
      <c r="J319" s="35" t="s">
        <v>287</v>
      </c>
      <c r="K319" s="35" t="s">
        <v>938</v>
      </c>
      <c r="L319" s="35" t="s">
        <v>395</v>
      </c>
    </row>
    <row r="320" spans="1:12" ht="13.2">
      <c r="A320" s="34">
        <v>7295</v>
      </c>
      <c r="B320" s="35" t="s">
        <v>935</v>
      </c>
      <c r="C320" s="35" t="s">
        <v>284</v>
      </c>
      <c r="D320" s="36">
        <v>42749</v>
      </c>
      <c r="E320" s="35" t="s">
        <v>939</v>
      </c>
      <c r="F320" s="35" t="s">
        <v>14</v>
      </c>
      <c r="G320" s="35" t="s">
        <v>32</v>
      </c>
      <c r="H320" s="35" t="s">
        <v>940</v>
      </c>
      <c r="I320" s="37">
        <v>0.63194444444444442</v>
      </c>
      <c r="J320" s="35" t="s">
        <v>295</v>
      </c>
      <c r="K320" s="35" t="s">
        <v>14</v>
      </c>
      <c r="L320" s="35" t="s">
        <v>14</v>
      </c>
    </row>
    <row r="321" spans="1:12" ht="13.2">
      <c r="A321" s="34">
        <v>7274</v>
      </c>
      <c r="B321" s="35" t="s">
        <v>931</v>
      </c>
      <c r="C321" s="35" t="s">
        <v>284</v>
      </c>
      <c r="D321" s="36">
        <v>42791</v>
      </c>
      <c r="E321" s="35" t="s">
        <v>28</v>
      </c>
      <c r="F321" s="35" t="s">
        <v>14</v>
      </c>
      <c r="G321" s="35" t="s">
        <v>941</v>
      </c>
      <c r="H321" s="35" t="s">
        <v>942</v>
      </c>
      <c r="I321" s="37">
        <v>0.45833333333333331</v>
      </c>
      <c r="J321" s="35" t="s">
        <v>287</v>
      </c>
      <c r="K321" s="35" t="s">
        <v>934</v>
      </c>
      <c r="L321" s="35" t="s">
        <v>456</v>
      </c>
    </row>
    <row r="322" spans="1:12" ht="13.2">
      <c r="A322" s="34">
        <v>7273</v>
      </c>
      <c r="B322" s="35" t="s">
        <v>935</v>
      </c>
      <c r="C322" s="35" t="s">
        <v>284</v>
      </c>
      <c r="D322" s="36">
        <v>42812</v>
      </c>
      <c r="E322" s="35" t="s">
        <v>32</v>
      </c>
      <c r="F322" s="35" t="s">
        <v>14</v>
      </c>
      <c r="G322" s="35" t="s">
        <v>943</v>
      </c>
      <c r="H322" s="35" t="s">
        <v>944</v>
      </c>
      <c r="I322" s="37">
        <v>0.45833333333333331</v>
      </c>
      <c r="J322" s="35" t="s">
        <v>287</v>
      </c>
      <c r="K322" s="35" t="s">
        <v>938</v>
      </c>
      <c r="L322" s="35" t="s">
        <v>14</v>
      </c>
    </row>
    <row r="323" spans="1:12" ht="13.2">
      <c r="A323" s="34">
        <v>7259</v>
      </c>
      <c r="B323" s="35" t="s">
        <v>926</v>
      </c>
      <c r="C323" s="35" t="s">
        <v>284</v>
      </c>
      <c r="D323" s="36">
        <v>42742</v>
      </c>
      <c r="E323" s="35" t="s">
        <v>183</v>
      </c>
      <c r="F323" s="35" t="s">
        <v>14</v>
      </c>
      <c r="G323" s="35" t="s">
        <v>15</v>
      </c>
      <c r="H323" s="35" t="s">
        <v>945</v>
      </c>
      <c r="I323" s="37">
        <v>0.375</v>
      </c>
      <c r="J323" s="35" t="s">
        <v>310</v>
      </c>
      <c r="K323" s="35" t="s">
        <v>14</v>
      </c>
      <c r="L323" s="35" t="s">
        <v>14</v>
      </c>
    </row>
    <row r="324" spans="1:12" ht="13.2">
      <c r="A324" s="34">
        <v>7209</v>
      </c>
      <c r="B324" s="35" t="s">
        <v>935</v>
      </c>
      <c r="C324" s="35" t="s">
        <v>284</v>
      </c>
      <c r="D324" s="36">
        <v>42721</v>
      </c>
      <c r="E324" s="35" t="s">
        <v>946</v>
      </c>
      <c r="F324" s="35" t="s">
        <v>14</v>
      </c>
      <c r="G324" s="35" t="s">
        <v>32</v>
      </c>
      <c r="H324" s="35" t="s">
        <v>947</v>
      </c>
      <c r="I324" s="37">
        <v>0.45833333333333331</v>
      </c>
      <c r="J324" s="35" t="s">
        <v>948</v>
      </c>
      <c r="K324" s="35" t="s">
        <v>14</v>
      </c>
      <c r="L324" s="35" t="s">
        <v>14</v>
      </c>
    </row>
    <row r="325" spans="1:12" ht="13.2">
      <c r="A325" s="34">
        <v>7203</v>
      </c>
      <c r="B325" s="35" t="s">
        <v>926</v>
      </c>
      <c r="C325" s="35" t="s">
        <v>284</v>
      </c>
      <c r="D325" s="36">
        <v>42791</v>
      </c>
      <c r="E325" s="35" t="s">
        <v>15</v>
      </c>
      <c r="F325" s="35" t="s">
        <v>14</v>
      </c>
      <c r="G325" s="35" t="s">
        <v>949</v>
      </c>
      <c r="H325" s="35" t="s">
        <v>950</v>
      </c>
      <c r="I325" s="37">
        <v>0.41666666666666669</v>
      </c>
      <c r="J325" s="35" t="s">
        <v>287</v>
      </c>
      <c r="K325" s="35" t="s">
        <v>928</v>
      </c>
      <c r="L325" s="35" t="s">
        <v>395</v>
      </c>
    </row>
    <row r="326" spans="1:12" ht="13.2">
      <c r="A326" s="34">
        <v>7202</v>
      </c>
      <c r="B326" s="35" t="s">
        <v>931</v>
      </c>
      <c r="C326" s="35" t="s">
        <v>284</v>
      </c>
      <c r="D326" s="36">
        <v>42763</v>
      </c>
      <c r="E326" s="35" t="s">
        <v>144</v>
      </c>
      <c r="F326" s="35" t="s">
        <v>14</v>
      </c>
      <c r="G326" s="35" t="s">
        <v>28</v>
      </c>
      <c r="H326" s="35" t="s">
        <v>951</v>
      </c>
      <c r="I326" s="37">
        <v>0.45833333333333331</v>
      </c>
      <c r="J326" s="35" t="s">
        <v>454</v>
      </c>
      <c r="K326" s="35" t="s">
        <v>14</v>
      </c>
      <c r="L326" s="35" t="s">
        <v>14</v>
      </c>
    </row>
    <row r="327" spans="1:12" ht="13.2">
      <c r="A327" s="34">
        <v>7140</v>
      </c>
      <c r="B327" s="35" t="s">
        <v>931</v>
      </c>
      <c r="C327" s="35" t="s">
        <v>284</v>
      </c>
      <c r="D327" s="36">
        <v>42707</v>
      </c>
      <c r="E327" s="35" t="s">
        <v>28</v>
      </c>
      <c r="F327" s="35" t="s">
        <v>14</v>
      </c>
      <c r="G327" s="35" t="s">
        <v>952</v>
      </c>
      <c r="H327" s="35" t="s">
        <v>953</v>
      </c>
      <c r="I327" s="37">
        <v>0.375</v>
      </c>
      <c r="J327" s="35" t="s">
        <v>373</v>
      </c>
      <c r="K327" s="35" t="s">
        <v>934</v>
      </c>
      <c r="L327" s="35" t="s">
        <v>425</v>
      </c>
    </row>
    <row r="328" spans="1:12" ht="13.2">
      <c r="A328" s="34">
        <v>7097</v>
      </c>
      <c r="B328" s="35" t="s">
        <v>935</v>
      </c>
      <c r="C328" s="35" t="s">
        <v>284</v>
      </c>
      <c r="D328" s="36">
        <v>42805</v>
      </c>
      <c r="E328" s="35" t="s">
        <v>954</v>
      </c>
      <c r="F328" s="35" t="s">
        <v>14</v>
      </c>
      <c r="G328" s="35" t="s">
        <v>32</v>
      </c>
      <c r="H328" s="35" t="s">
        <v>955</v>
      </c>
      <c r="I328" s="37">
        <v>0.45833333333333331</v>
      </c>
      <c r="J328" s="35" t="s">
        <v>376</v>
      </c>
      <c r="K328" s="35" t="s">
        <v>14</v>
      </c>
      <c r="L328" s="35" t="s">
        <v>14</v>
      </c>
    </row>
    <row r="329" spans="1:12" ht="13.2">
      <c r="A329" s="34">
        <v>7091</v>
      </c>
      <c r="B329" s="35" t="s">
        <v>931</v>
      </c>
      <c r="C329" s="35" t="s">
        <v>284</v>
      </c>
      <c r="D329" s="36">
        <v>42805</v>
      </c>
      <c r="E329" s="35" t="s">
        <v>956</v>
      </c>
      <c r="F329" s="35" t="s">
        <v>14</v>
      </c>
      <c r="G329" s="35" t="s">
        <v>28</v>
      </c>
      <c r="H329" s="35" t="s">
        <v>957</v>
      </c>
      <c r="I329" s="37">
        <v>0.57638888888888884</v>
      </c>
      <c r="J329" s="35" t="s">
        <v>334</v>
      </c>
      <c r="K329" s="35" t="s">
        <v>14</v>
      </c>
      <c r="L329" s="35" t="s">
        <v>14</v>
      </c>
    </row>
    <row r="330" spans="1:12" ht="13.2">
      <c r="A330" s="34">
        <v>7051</v>
      </c>
      <c r="B330" s="35" t="s">
        <v>931</v>
      </c>
      <c r="C330" s="35" t="s">
        <v>284</v>
      </c>
      <c r="D330" s="36">
        <v>42784</v>
      </c>
      <c r="E330" s="35" t="s">
        <v>28</v>
      </c>
      <c r="F330" s="35" t="s">
        <v>14</v>
      </c>
      <c r="G330" s="35" t="s">
        <v>144</v>
      </c>
      <c r="H330" s="35" t="s">
        <v>958</v>
      </c>
      <c r="I330" s="37">
        <v>0.5</v>
      </c>
      <c r="J330" s="35" t="s">
        <v>373</v>
      </c>
      <c r="K330" s="35" t="s">
        <v>934</v>
      </c>
      <c r="L330" s="35" t="s">
        <v>445</v>
      </c>
    </row>
    <row r="331" spans="1:12" ht="13.2">
      <c r="A331" s="34">
        <v>7050</v>
      </c>
      <c r="B331" s="35" t="s">
        <v>935</v>
      </c>
      <c r="C331" s="35" t="s">
        <v>284</v>
      </c>
      <c r="D331" s="36">
        <v>42784</v>
      </c>
      <c r="E331" s="35" t="s">
        <v>32</v>
      </c>
      <c r="F331" s="35" t="s">
        <v>14</v>
      </c>
      <c r="G331" s="35" t="s">
        <v>946</v>
      </c>
      <c r="H331" s="35" t="s">
        <v>959</v>
      </c>
      <c r="I331" s="37">
        <v>0.45833333333333331</v>
      </c>
      <c r="J331" s="35" t="s">
        <v>373</v>
      </c>
      <c r="K331" s="35" t="s">
        <v>938</v>
      </c>
      <c r="L331" s="35" t="s">
        <v>14</v>
      </c>
    </row>
    <row r="332" spans="1:12" ht="13.2">
      <c r="A332" s="34">
        <v>7047</v>
      </c>
      <c r="B332" s="35" t="s">
        <v>926</v>
      </c>
      <c r="C332" s="35" t="s">
        <v>284</v>
      </c>
      <c r="D332" s="36">
        <v>42784</v>
      </c>
      <c r="E332" s="35" t="s">
        <v>949</v>
      </c>
      <c r="F332" s="35" t="s">
        <v>14</v>
      </c>
      <c r="G332" s="35" t="s">
        <v>15</v>
      </c>
      <c r="H332" s="35" t="s">
        <v>960</v>
      </c>
      <c r="I332" s="37">
        <v>0.5</v>
      </c>
      <c r="J332" s="35" t="s">
        <v>589</v>
      </c>
      <c r="K332" s="35" t="s">
        <v>14</v>
      </c>
      <c r="L332" s="35" t="s">
        <v>14</v>
      </c>
    </row>
    <row r="333" spans="1:12" ht="13.2">
      <c r="A333" s="34">
        <v>7020</v>
      </c>
      <c r="B333" s="35" t="s">
        <v>926</v>
      </c>
      <c r="C333" s="35" t="s">
        <v>284</v>
      </c>
      <c r="D333" s="36">
        <v>42777</v>
      </c>
      <c r="E333" s="35" t="s">
        <v>15</v>
      </c>
      <c r="F333" s="35" t="s">
        <v>14</v>
      </c>
      <c r="G333" s="35" t="s">
        <v>961</v>
      </c>
      <c r="H333" s="35" t="s">
        <v>962</v>
      </c>
      <c r="I333" s="37">
        <v>0.54166666666666663</v>
      </c>
      <c r="J333" s="35" t="s">
        <v>287</v>
      </c>
      <c r="K333" s="35" t="s">
        <v>928</v>
      </c>
      <c r="L333" s="35" t="s">
        <v>550</v>
      </c>
    </row>
    <row r="334" spans="1:12" ht="13.2">
      <c r="A334" s="34">
        <v>7009</v>
      </c>
      <c r="B334" s="35" t="s">
        <v>931</v>
      </c>
      <c r="C334" s="35" t="s">
        <v>284</v>
      </c>
      <c r="D334" s="36">
        <v>42777</v>
      </c>
      <c r="E334" s="35" t="s">
        <v>28</v>
      </c>
      <c r="F334" s="35" t="s">
        <v>14</v>
      </c>
      <c r="G334" s="35" t="s">
        <v>963</v>
      </c>
      <c r="H334" s="35" t="s">
        <v>964</v>
      </c>
      <c r="I334" s="37">
        <v>0.58333333333333337</v>
      </c>
      <c r="J334" s="35" t="s">
        <v>287</v>
      </c>
      <c r="K334" s="35" t="s">
        <v>934</v>
      </c>
      <c r="L334" s="35" t="s">
        <v>558</v>
      </c>
    </row>
    <row r="335" spans="1:12" ht="13.2">
      <c r="A335" s="34">
        <v>7008</v>
      </c>
      <c r="B335" s="35" t="s">
        <v>935</v>
      </c>
      <c r="C335" s="35" t="s">
        <v>284</v>
      </c>
      <c r="D335" s="36">
        <v>42777</v>
      </c>
      <c r="E335" s="35" t="s">
        <v>32</v>
      </c>
      <c r="F335" s="35" t="s">
        <v>14</v>
      </c>
      <c r="G335" s="35" t="s">
        <v>965</v>
      </c>
      <c r="H335" s="35" t="s">
        <v>966</v>
      </c>
      <c r="I335" s="37">
        <v>0.5</v>
      </c>
      <c r="J335" s="35" t="s">
        <v>287</v>
      </c>
      <c r="K335" s="35" t="s">
        <v>938</v>
      </c>
      <c r="L335" s="35" t="s">
        <v>14</v>
      </c>
    </row>
    <row r="336" spans="1:12" ht="13.2">
      <c r="A336" s="34">
        <v>6973</v>
      </c>
      <c r="B336" s="35" t="s">
        <v>931</v>
      </c>
      <c r="C336" s="35" t="s">
        <v>284</v>
      </c>
      <c r="D336" s="36">
        <v>42756</v>
      </c>
      <c r="E336" s="35" t="s">
        <v>952</v>
      </c>
      <c r="F336" s="35" t="s">
        <v>14</v>
      </c>
      <c r="G336" s="35" t="s">
        <v>28</v>
      </c>
      <c r="H336" s="35" t="s">
        <v>967</v>
      </c>
      <c r="I336" s="37">
        <v>0.50694444444444442</v>
      </c>
      <c r="J336" s="35" t="s">
        <v>968</v>
      </c>
      <c r="K336" s="35" t="s">
        <v>14</v>
      </c>
      <c r="L336" s="35" t="s">
        <v>14</v>
      </c>
    </row>
    <row r="337" spans="1:12" ht="13.2">
      <c r="A337" s="34">
        <v>6944</v>
      </c>
      <c r="B337" s="35" t="s">
        <v>926</v>
      </c>
      <c r="C337" s="35" t="s">
        <v>284</v>
      </c>
      <c r="D337" s="36">
        <v>42756</v>
      </c>
      <c r="E337" s="35" t="s">
        <v>15</v>
      </c>
      <c r="F337" s="35" t="s">
        <v>14</v>
      </c>
      <c r="G337" s="35" t="s">
        <v>969</v>
      </c>
      <c r="H337" s="35" t="s">
        <v>970</v>
      </c>
      <c r="I337" s="37">
        <v>0.45833333333333331</v>
      </c>
      <c r="J337" s="35" t="s">
        <v>287</v>
      </c>
      <c r="K337" s="35" t="s">
        <v>928</v>
      </c>
      <c r="L337" s="35" t="s">
        <v>558</v>
      </c>
    </row>
    <row r="338" spans="1:12" ht="13.2">
      <c r="A338" s="34">
        <v>6923</v>
      </c>
      <c r="B338" s="35" t="s">
        <v>926</v>
      </c>
      <c r="C338" s="35" t="s">
        <v>284</v>
      </c>
      <c r="D338" s="36">
        <v>42805</v>
      </c>
      <c r="E338" s="35" t="s">
        <v>971</v>
      </c>
      <c r="F338" s="35" t="s">
        <v>14</v>
      </c>
      <c r="G338" s="35" t="s">
        <v>15</v>
      </c>
      <c r="H338" s="35" t="s">
        <v>972</v>
      </c>
      <c r="I338" s="37">
        <v>0.52083333333333337</v>
      </c>
      <c r="J338" s="35" t="s">
        <v>973</v>
      </c>
      <c r="K338" s="35" t="s">
        <v>14</v>
      </c>
      <c r="L338" s="35" t="s">
        <v>14</v>
      </c>
    </row>
    <row r="339" spans="1:12" ht="13.2">
      <c r="A339" s="34">
        <v>6893</v>
      </c>
      <c r="B339" s="35" t="s">
        <v>931</v>
      </c>
      <c r="C339" s="35" t="s">
        <v>284</v>
      </c>
      <c r="D339" s="36">
        <v>42742</v>
      </c>
      <c r="E339" s="35" t="s">
        <v>28</v>
      </c>
      <c r="F339" s="35" t="s">
        <v>14</v>
      </c>
      <c r="G339" s="35" t="s">
        <v>956</v>
      </c>
      <c r="H339" s="35" t="s">
        <v>974</v>
      </c>
      <c r="I339" s="37">
        <v>0.45833333333333331</v>
      </c>
      <c r="J339" s="35" t="s">
        <v>287</v>
      </c>
      <c r="K339" s="35" t="s">
        <v>934</v>
      </c>
      <c r="L339" s="35" t="s">
        <v>550</v>
      </c>
    </row>
    <row r="340" spans="1:12" ht="13.2">
      <c r="A340" s="34">
        <v>6892</v>
      </c>
      <c r="B340" s="35" t="s">
        <v>935</v>
      </c>
      <c r="C340" s="35" t="s">
        <v>284</v>
      </c>
      <c r="D340" s="36">
        <v>42742</v>
      </c>
      <c r="E340" s="35" t="s">
        <v>32</v>
      </c>
      <c r="F340" s="35" t="s">
        <v>14</v>
      </c>
      <c r="G340" s="35" t="s">
        <v>954</v>
      </c>
      <c r="H340" s="35" t="s">
        <v>975</v>
      </c>
      <c r="I340" s="37">
        <v>0.41666666666666669</v>
      </c>
      <c r="J340" s="35" t="s">
        <v>287</v>
      </c>
      <c r="K340" s="35" t="s">
        <v>938</v>
      </c>
      <c r="L340" s="35" t="s">
        <v>456</v>
      </c>
    </row>
    <row r="341" spans="1:12" ht="13.2">
      <c r="A341" s="34">
        <v>6852</v>
      </c>
      <c r="B341" s="35" t="s">
        <v>931</v>
      </c>
      <c r="C341" s="35" t="s">
        <v>284</v>
      </c>
      <c r="D341" s="36">
        <v>42714</v>
      </c>
      <c r="E341" s="35" t="s">
        <v>963</v>
      </c>
      <c r="F341" s="35" t="s">
        <v>14</v>
      </c>
      <c r="G341" s="35" t="s">
        <v>28</v>
      </c>
      <c r="H341" s="35" t="s">
        <v>976</v>
      </c>
      <c r="I341" s="37">
        <v>0.41666666666666669</v>
      </c>
      <c r="J341" s="35" t="s">
        <v>325</v>
      </c>
      <c r="K341" s="35" t="s">
        <v>14</v>
      </c>
      <c r="L341" s="35" t="s">
        <v>14</v>
      </c>
    </row>
    <row r="342" spans="1:12" ht="13.2">
      <c r="A342" s="34">
        <v>6850</v>
      </c>
      <c r="B342" s="35" t="s">
        <v>935</v>
      </c>
      <c r="C342" s="35" t="s">
        <v>284</v>
      </c>
      <c r="D342" s="36">
        <v>42714</v>
      </c>
      <c r="E342" s="35" t="s">
        <v>965</v>
      </c>
      <c r="F342" s="35" t="s">
        <v>14</v>
      </c>
      <c r="G342" s="35" t="s">
        <v>32</v>
      </c>
      <c r="H342" s="35" t="s">
        <v>977</v>
      </c>
      <c r="I342" s="37">
        <v>0.45833333333333331</v>
      </c>
      <c r="J342" s="35" t="s">
        <v>874</v>
      </c>
      <c r="K342" s="35" t="s">
        <v>14</v>
      </c>
      <c r="L342" s="35" t="s">
        <v>14</v>
      </c>
    </row>
    <row r="343" spans="1:12" ht="13.2">
      <c r="A343" s="34">
        <v>6835</v>
      </c>
      <c r="B343" s="35" t="s">
        <v>926</v>
      </c>
      <c r="C343" s="35" t="s">
        <v>284</v>
      </c>
      <c r="D343" s="36">
        <v>42714</v>
      </c>
      <c r="E343" s="35" t="s">
        <v>961</v>
      </c>
      <c r="F343" s="35" t="s">
        <v>14</v>
      </c>
      <c r="G343" s="35" t="s">
        <v>15</v>
      </c>
      <c r="H343" s="35" t="s">
        <v>978</v>
      </c>
      <c r="I343" s="37">
        <v>0.52083333333333337</v>
      </c>
      <c r="J343" s="35" t="s">
        <v>405</v>
      </c>
      <c r="K343" s="35" t="s">
        <v>14</v>
      </c>
      <c r="L343" s="35" t="s">
        <v>14</v>
      </c>
    </row>
    <row r="344" spans="1:12" ht="13.2">
      <c r="A344" s="34">
        <v>6806</v>
      </c>
      <c r="B344" s="35" t="s">
        <v>931</v>
      </c>
      <c r="C344" s="35" t="s">
        <v>284</v>
      </c>
      <c r="D344" s="36">
        <v>42700</v>
      </c>
      <c r="E344" s="35" t="s">
        <v>932</v>
      </c>
      <c r="F344" s="35" t="s">
        <v>14</v>
      </c>
      <c r="G344" s="35" t="s">
        <v>28</v>
      </c>
      <c r="H344" s="35" t="s">
        <v>979</v>
      </c>
      <c r="I344" s="37">
        <v>0.45833333333333331</v>
      </c>
      <c r="J344" s="35" t="s">
        <v>451</v>
      </c>
      <c r="K344" s="35" t="s">
        <v>14</v>
      </c>
      <c r="L344" s="35" t="s">
        <v>14</v>
      </c>
    </row>
    <row r="345" spans="1:12" ht="13.2">
      <c r="A345" s="34">
        <v>6796</v>
      </c>
      <c r="B345" s="35" t="s">
        <v>935</v>
      </c>
      <c r="C345" s="35" t="s">
        <v>284</v>
      </c>
      <c r="D345" s="36">
        <v>42700</v>
      </c>
      <c r="E345" s="35" t="s">
        <v>936</v>
      </c>
      <c r="F345" s="35" t="s">
        <v>14</v>
      </c>
      <c r="G345" s="35" t="s">
        <v>32</v>
      </c>
      <c r="H345" s="35" t="s">
        <v>980</v>
      </c>
      <c r="I345" s="37">
        <v>0.41666666666666669</v>
      </c>
      <c r="J345" s="35" t="s">
        <v>653</v>
      </c>
      <c r="K345" s="35" t="s">
        <v>14</v>
      </c>
      <c r="L345" s="35" t="s">
        <v>14</v>
      </c>
    </row>
    <row r="346" spans="1:12" ht="13.2">
      <c r="A346" s="34">
        <v>6774</v>
      </c>
      <c r="B346" s="35" t="s">
        <v>926</v>
      </c>
      <c r="C346" s="35" t="s">
        <v>284</v>
      </c>
      <c r="D346" s="36">
        <v>42700</v>
      </c>
      <c r="E346" s="35" t="s">
        <v>929</v>
      </c>
      <c r="F346" s="35" t="s">
        <v>14</v>
      </c>
      <c r="G346" s="35" t="s">
        <v>15</v>
      </c>
      <c r="H346" s="35" t="s">
        <v>981</v>
      </c>
      <c r="I346" s="37">
        <v>0.4548611111111111</v>
      </c>
      <c r="J346" s="35" t="s">
        <v>352</v>
      </c>
      <c r="K346" s="35" t="s">
        <v>14</v>
      </c>
      <c r="L346" s="35" t="s">
        <v>14</v>
      </c>
    </row>
    <row r="347" spans="1:12" ht="13.2">
      <c r="A347" s="34">
        <v>6755</v>
      </c>
      <c r="B347" s="35" t="s">
        <v>926</v>
      </c>
      <c r="C347" s="35" t="s">
        <v>284</v>
      </c>
      <c r="D347" s="36">
        <v>42721</v>
      </c>
      <c r="E347" s="35" t="s">
        <v>969</v>
      </c>
      <c r="F347" s="35" t="s">
        <v>14</v>
      </c>
      <c r="G347" s="35" t="s">
        <v>15</v>
      </c>
      <c r="H347" s="35" t="s">
        <v>982</v>
      </c>
      <c r="I347" s="37">
        <v>0.45833333333333331</v>
      </c>
      <c r="J347" s="35" t="s">
        <v>520</v>
      </c>
      <c r="K347" s="35" t="s">
        <v>14</v>
      </c>
      <c r="L347" s="35" t="s">
        <v>14</v>
      </c>
    </row>
    <row r="348" spans="1:12" ht="13.2">
      <c r="A348" s="34">
        <v>6724</v>
      </c>
      <c r="B348" s="35" t="s">
        <v>935</v>
      </c>
      <c r="C348" s="35" t="s">
        <v>284</v>
      </c>
      <c r="D348" s="36">
        <v>42693</v>
      </c>
      <c r="E348" s="35" t="s">
        <v>32</v>
      </c>
      <c r="F348" s="35" t="s">
        <v>14</v>
      </c>
      <c r="G348" s="35" t="s">
        <v>939</v>
      </c>
      <c r="H348" s="35" t="s">
        <v>983</v>
      </c>
      <c r="I348" s="37">
        <v>0.375</v>
      </c>
      <c r="J348" s="35" t="s">
        <v>373</v>
      </c>
      <c r="K348" s="35" t="s">
        <v>938</v>
      </c>
      <c r="L348" s="35" t="s">
        <v>584</v>
      </c>
    </row>
    <row r="349" spans="1:12" ht="13.2">
      <c r="A349" s="34">
        <v>6703</v>
      </c>
      <c r="B349" s="35" t="s">
        <v>931</v>
      </c>
      <c r="C349" s="35" t="s">
        <v>284</v>
      </c>
      <c r="D349" s="36">
        <v>42770</v>
      </c>
      <c r="E349" s="35" t="s">
        <v>941</v>
      </c>
      <c r="F349" s="35" t="s">
        <v>14</v>
      </c>
      <c r="G349" s="35" t="s">
        <v>28</v>
      </c>
      <c r="H349" s="35" t="s">
        <v>984</v>
      </c>
      <c r="I349" s="37">
        <v>0.45833333333333331</v>
      </c>
      <c r="J349" s="35" t="s">
        <v>985</v>
      </c>
      <c r="K349" s="35" t="s">
        <v>14</v>
      </c>
      <c r="L349" s="35" t="s">
        <v>14</v>
      </c>
    </row>
    <row r="350" spans="1:12" ht="13.2">
      <c r="A350" s="34">
        <v>6696</v>
      </c>
      <c r="B350" s="35" t="s">
        <v>935</v>
      </c>
      <c r="C350" s="35" t="s">
        <v>284</v>
      </c>
      <c r="D350" s="36">
        <v>42686</v>
      </c>
      <c r="E350" s="35" t="s">
        <v>943</v>
      </c>
      <c r="F350" s="35" t="s">
        <v>14</v>
      </c>
      <c r="G350" s="35" t="s">
        <v>32</v>
      </c>
      <c r="H350" s="35" t="s">
        <v>986</v>
      </c>
      <c r="I350" s="37">
        <v>0.47222222222222221</v>
      </c>
      <c r="J350" s="35" t="s">
        <v>430</v>
      </c>
      <c r="K350" s="35" t="s">
        <v>14</v>
      </c>
      <c r="L350" s="35" t="s">
        <v>14</v>
      </c>
    </row>
    <row r="351" spans="1:12" ht="13.2">
      <c r="A351" s="34">
        <v>6677</v>
      </c>
      <c r="B351" s="35" t="s">
        <v>926</v>
      </c>
      <c r="C351" s="35" t="s">
        <v>284</v>
      </c>
      <c r="D351" s="36">
        <v>42686</v>
      </c>
      <c r="E351" s="35" t="s">
        <v>15</v>
      </c>
      <c r="F351" s="35" t="s">
        <v>14</v>
      </c>
      <c r="G351" s="35" t="s">
        <v>971</v>
      </c>
      <c r="H351" s="35" t="s">
        <v>987</v>
      </c>
      <c r="I351" s="37">
        <v>0.60416666666666663</v>
      </c>
      <c r="J351" s="35" t="s">
        <v>305</v>
      </c>
      <c r="K351" s="35" t="s">
        <v>928</v>
      </c>
      <c r="L351" s="35" t="s">
        <v>456</v>
      </c>
    </row>
    <row r="352" spans="1:12" ht="13.2">
      <c r="A352" s="34">
        <v>6592</v>
      </c>
      <c r="B352" s="35" t="s">
        <v>731</v>
      </c>
      <c r="C352" s="35" t="s">
        <v>284</v>
      </c>
      <c r="D352" s="36">
        <v>42805</v>
      </c>
      <c r="E352" s="35" t="s">
        <v>733</v>
      </c>
      <c r="F352" s="35" t="s">
        <v>14</v>
      </c>
      <c r="G352" s="35" t="s">
        <v>988</v>
      </c>
      <c r="H352" s="35" t="s">
        <v>989</v>
      </c>
      <c r="I352" s="37">
        <v>0.41666666666666669</v>
      </c>
      <c r="J352" s="35" t="s">
        <v>287</v>
      </c>
      <c r="K352" s="35" t="s">
        <v>799</v>
      </c>
      <c r="L352" s="35" t="s">
        <v>869</v>
      </c>
    </row>
    <row r="353" spans="1:12" ht="13.2">
      <c r="A353" s="34">
        <v>6590</v>
      </c>
      <c r="B353" s="35" t="s">
        <v>706</v>
      </c>
      <c r="C353" s="35" t="s">
        <v>284</v>
      </c>
      <c r="D353" s="36">
        <v>42805</v>
      </c>
      <c r="E353" s="35" t="s">
        <v>708</v>
      </c>
      <c r="F353" s="35" t="s">
        <v>14</v>
      </c>
      <c r="G353" s="35" t="s">
        <v>990</v>
      </c>
      <c r="H353" s="35" t="s">
        <v>991</v>
      </c>
      <c r="I353" s="37">
        <v>0.375</v>
      </c>
      <c r="J353" s="35" t="s">
        <v>287</v>
      </c>
      <c r="K353" s="35" t="s">
        <v>761</v>
      </c>
      <c r="L353" s="35" t="s">
        <v>14</v>
      </c>
    </row>
    <row r="354" spans="1:12" ht="13.2">
      <c r="A354" s="34">
        <v>6587</v>
      </c>
      <c r="B354" s="35" t="s">
        <v>718</v>
      </c>
      <c r="C354" s="35" t="s">
        <v>284</v>
      </c>
      <c r="D354" s="36">
        <v>42805</v>
      </c>
      <c r="E354" s="35" t="s">
        <v>778</v>
      </c>
      <c r="F354" s="35" t="s">
        <v>14</v>
      </c>
      <c r="G354" s="35" t="s">
        <v>36</v>
      </c>
      <c r="H354" s="35" t="s">
        <v>992</v>
      </c>
      <c r="I354" s="37">
        <v>0.41666666666666669</v>
      </c>
      <c r="J354" s="35" t="s">
        <v>412</v>
      </c>
      <c r="K354" s="35" t="s">
        <v>14</v>
      </c>
      <c r="L354" s="35" t="s">
        <v>14</v>
      </c>
    </row>
    <row r="355" spans="1:12" ht="13.2">
      <c r="A355" s="34">
        <v>6586</v>
      </c>
      <c r="B355" s="35" t="s">
        <v>703</v>
      </c>
      <c r="C355" s="35" t="s">
        <v>284</v>
      </c>
      <c r="D355" s="36">
        <v>42805</v>
      </c>
      <c r="E355" s="35" t="s">
        <v>780</v>
      </c>
      <c r="F355" s="35" t="s">
        <v>14</v>
      </c>
      <c r="G355" s="35" t="s">
        <v>67</v>
      </c>
      <c r="H355" s="35" t="s">
        <v>993</v>
      </c>
      <c r="I355" s="37">
        <v>0.45833333333333331</v>
      </c>
      <c r="J355" s="35" t="s">
        <v>334</v>
      </c>
      <c r="K355" s="35" t="s">
        <v>14</v>
      </c>
      <c r="L355" s="35" t="s">
        <v>14</v>
      </c>
    </row>
    <row r="356" spans="1:12" ht="13.2">
      <c r="A356" s="34">
        <v>6582</v>
      </c>
      <c r="B356" s="35" t="s">
        <v>724</v>
      </c>
      <c r="C356" s="35" t="s">
        <v>284</v>
      </c>
      <c r="D356" s="36">
        <v>42805</v>
      </c>
      <c r="E356" s="35" t="s">
        <v>776</v>
      </c>
      <c r="F356" s="35" t="s">
        <v>14</v>
      </c>
      <c r="G356" s="35" t="s">
        <v>40</v>
      </c>
      <c r="H356" s="35" t="s">
        <v>994</v>
      </c>
      <c r="I356" s="37">
        <v>0.375</v>
      </c>
      <c r="J356" s="35" t="s">
        <v>412</v>
      </c>
      <c r="K356" s="35" t="s">
        <v>14</v>
      </c>
      <c r="L356" s="35" t="s">
        <v>14</v>
      </c>
    </row>
    <row r="357" spans="1:12" ht="13.2">
      <c r="A357" s="34">
        <v>6578</v>
      </c>
      <c r="B357" s="35" t="s">
        <v>722</v>
      </c>
      <c r="C357" s="35" t="s">
        <v>284</v>
      </c>
      <c r="D357" s="36">
        <v>42805</v>
      </c>
      <c r="E357" s="35" t="s">
        <v>773</v>
      </c>
      <c r="F357" s="35" t="s">
        <v>14</v>
      </c>
      <c r="G357" s="35" t="s">
        <v>20</v>
      </c>
      <c r="H357" s="35" t="s">
        <v>995</v>
      </c>
      <c r="I357" s="37">
        <v>0.41666666666666669</v>
      </c>
      <c r="J357" s="35" t="s">
        <v>295</v>
      </c>
      <c r="K357" s="35" t="s">
        <v>14</v>
      </c>
      <c r="L357" s="35" t="s">
        <v>14</v>
      </c>
    </row>
    <row r="358" spans="1:12" ht="13.2">
      <c r="A358" s="34">
        <v>6574</v>
      </c>
      <c r="B358" s="35" t="s">
        <v>715</v>
      </c>
      <c r="C358" s="35" t="s">
        <v>284</v>
      </c>
      <c r="D358" s="36">
        <v>42805</v>
      </c>
      <c r="E358" s="35" t="s">
        <v>771</v>
      </c>
      <c r="F358" s="35" t="s">
        <v>14</v>
      </c>
      <c r="G358" s="35" t="s">
        <v>64</v>
      </c>
      <c r="H358" s="35" t="s">
        <v>996</v>
      </c>
      <c r="I358" s="37">
        <v>0.375</v>
      </c>
      <c r="J358" s="35" t="s">
        <v>874</v>
      </c>
      <c r="K358" s="35" t="s">
        <v>14</v>
      </c>
      <c r="L358" s="35" t="s">
        <v>14</v>
      </c>
    </row>
    <row r="359" spans="1:12" ht="13.2">
      <c r="A359" s="34">
        <v>6517</v>
      </c>
      <c r="B359" s="35" t="s">
        <v>718</v>
      </c>
      <c r="C359" s="35" t="s">
        <v>284</v>
      </c>
      <c r="D359" s="36">
        <v>42777</v>
      </c>
      <c r="E359" s="35" t="s">
        <v>997</v>
      </c>
      <c r="F359" s="35" t="s">
        <v>14</v>
      </c>
      <c r="G359" s="35" t="s">
        <v>36</v>
      </c>
      <c r="H359" s="35" t="s">
        <v>998</v>
      </c>
      <c r="I359" s="37">
        <v>0.375</v>
      </c>
      <c r="J359" s="35" t="s">
        <v>520</v>
      </c>
      <c r="K359" s="35" t="s">
        <v>14</v>
      </c>
      <c r="L359" s="35" t="s">
        <v>14</v>
      </c>
    </row>
    <row r="360" spans="1:12" ht="13.2">
      <c r="A360" s="34">
        <v>6516</v>
      </c>
      <c r="B360" s="35" t="s">
        <v>724</v>
      </c>
      <c r="C360" s="35" t="s">
        <v>284</v>
      </c>
      <c r="D360" s="36">
        <v>42777</v>
      </c>
      <c r="E360" s="35" t="s">
        <v>999</v>
      </c>
      <c r="F360" s="35" t="s">
        <v>14</v>
      </c>
      <c r="G360" s="35" t="s">
        <v>40</v>
      </c>
      <c r="H360" s="35" t="s">
        <v>1000</v>
      </c>
      <c r="I360" s="37">
        <v>0.41666666666666669</v>
      </c>
      <c r="J360" s="35" t="s">
        <v>721</v>
      </c>
      <c r="K360" s="35" t="s">
        <v>14</v>
      </c>
      <c r="L360" s="35" t="s">
        <v>14</v>
      </c>
    </row>
    <row r="361" spans="1:12" ht="13.2">
      <c r="A361" s="34">
        <v>6514</v>
      </c>
      <c r="B361" s="35" t="s">
        <v>715</v>
      </c>
      <c r="C361" s="35" t="s">
        <v>284</v>
      </c>
      <c r="D361" s="36">
        <v>42777</v>
      </c>
      <c r="E361" s="35" t="s">
        <v>1001</v>
      </c>
      <c r="F361" s="35" t="s">
        <v>14</v>
      </c>
      <c r="G361" s="35" t="s">
        <v>64</v>
      </c>
      <c r="H361" s="35" t="s">
        <v>1002</v>
      </c>
      <c r="I361" s="37">
        <v>0.54166666666666663</v>
      </c>
      <c r="J361" s="35" t="s">
        <v>514</v>
      </c>
      <c r="K361" s="35" t="s">
        <v>14</v>
      </c>
      <c r="L361" s="35" t="s">
        <v>14</v>
      </c>
    </row>
    <row r="362" spans="1:12" ht="13.2">
      <c r="A362" s="34">
        <v>6497</v>
      </c>
      <c r="B362" s="35" t="s">
        <v>715</v>
      </c>
      <c r="C362" s="35" t="s">
        <v>284</v>
      </c>
      <c r="D362" s="36">
        <v>42770</v>
      </c>
      <c r="E362" s="35" t="s">
        <v>64</v>
      </c>
      <c r="F362" s="35" t="s">
        <v>14</v>
      </c>
      <c r="G362" s="35" t="s">
        <v>19</v>
      </c>
      <c r="H362" s="35" t="s">
        <v>1003</v>
      </c>
      <c r="I362" s="37">
        <v>0.375</v>
      </c>
      <c r="J362" s="35" t="s">
        <v>287</v>
      </c>
      <c r="K362" s="35" t="s">
        <v>738</v>
      </c>
      <c r="L362" s="35" t="s">
        <v>775</v>
      </c>
    </row>
    <row r="363" spans="1:12" ht="13.2">
      <c r="A363" s="34">
        <v>6496</v>
      </c>
      <c r="B363" s="35" t="s">
        <v>722</v>
      </c>
      <c r="C363" s="35" t="s">
        <v>284</v>
      </c>
      <c r="D363" s="36">
        <v>42770</v>
      </c>
      <c r="E363" s="35" t="s">
        <v>20</v>
      </c>
      <c r="F363" s="35" t="s">
        <v>14</v>
      </c>
      <c r="G363" s="35" t="s">
        <v>1004</v>
      </c>
      <c r="H363" s="35" t="s">
        <v>1005</v>
      </c>
      <c r="I363" s="37">
        <v>0.375</v>
      </c>
      <c r="J363" s="35" t="s">
        <v>287</v>
      </c>
      <c r="K363" s="35" t="s">
        <v>741</v>
      </c>
      <c r="L363" s="35" t="s">
        <v>350</v>
      </c>
    </row>
    <row r="364" spans="1:12" ht="13.2">
      <c r="A364" s="34">
        <v>6495</v>
      </c>
      <c r="B364" s="35" t="s">
        <v>703</v>
      </c>
      <c r="C364" s="35" t="s">
        <v>284</v>
      </c>
      <c r="D364" s="36">
        <v>42791</v>
      </c>
      <c r="E364" s="35" t="s">
        <v>67</v>
      </c>
      <c r="F364" s="35" t="s">
        <v>14</v>
      </c>
      <c r="G364" s="35" t="s">
        <v>704</v>
      </c>
      <c r="H364" s="35" t="s">
        <v>1006</v>
      </c>
      <c r="I364" s="37">
        <v>0.375</v>
      </c>
      <c r="J364" s="35" t="s">
        <v>287</v>
      </c>
      <c r="K364" s="35" t="s">
        <v>751</v>
      </c>
      <c r="L364" s="35" t="s">
        <v>14</v>
      </c>
    </row>
    <row r="365" spans="1:12" ht="13.2">
      <c r="A365" s="34">
        <v>6445</v>
      </c>
      <c r="B365" s="35" t="s">
        <v>731</v>
      </c>
      <c r="C365" s="35" t="s">
        <v>284</v>
      </c>
      <c r="D365" s="36">
        <v>42763</v>
      </c>
      <c r="E365" s="35" t="s">
        <v>797</v>
      </c>
      <c r="F365" s="35" t="s">
        <v>14</v>
      </c>
      <c r="G365" s="35" t="s">
        <v>733</v>
      </c>
      <c r="H365" s="35" t="s">
        <v>1007</v>
      </c>
      <c r="I365" s="37">
        <v>0.5</v>
      </c>
      <c r="J365" s="35" t="s">
        <v>358</v>
      </c>
      <c r="K365" s="35" t="s">
        <v>14</v>
      </c>
      <c r="L365" s="35" t="s">
        <v>14</v>
      </c>
    </row>
    <row r="366" spans="1:12" ht="13.2">
      <c r="A366" s="34">
        <v>6442</v>
      </c>
      <c r="B366" s="35" t="s">
        <v>706</v>
      </c>
      <c r="C366" s="35" t="s">
        <v>284</v>
      </c>
      <c r="D366" s="36">
        <v>42812</v>
      </c>
      <c r="E366" s="35" t="s">
        <v>801</v>
      </c>
      <c r="F366" s="35" t="s">
        <v>14</v>
      </c>
      <c r="G366" s="35" t="s">
        <v>708</v>
      </c>
      <c r="H366" s="35" t="s">
        <v>1008</v>
      </c>
      <c r="I366" s="37">
        <v>0.375</v>
      </c>
      <c r="J366" s="35" t="s">
        <v>497</v>
      </c>
      <c r="K366" s="35" t="s">
        <v>14</v>
      </c>
      <c r="L366" s="35" t="s">
        <v>14</v>
      </c>
    </row>
    <row r="367" spans="1:12" ht="13.2">
      <c r="A367" s="34">
        <v>6407</v>
      </c>
      <c r="B367" s="35" t="s">
        <v>710</v>
      </c>
      <c r="C367" s="35" t="s">
        <v>284</v>
      </c>
      <c r="D367" s="36">
        <v>42686</v>
      </c>
      <c r="E367" s="35" t="s">
        <v>711</v>
      </c>
      <c r="F367" s="35" t="s">
        <v>14</v>
      </c>
      <c r="G367" s="35" t="s">
        <v>795</v>
      </c>
      <c r="H367" s="35" t="s">
        <v>1009</v>
      </c>
      <c r="I367" s="37">
        <v>0.45833333333333331</v>
      </c>
      <c r="J367" s="35" t="s">
        <v>287</v>
      </c>
      <c r="K367" s="35" t="s">
        <v>384</v>
      </c>
      <c r="L367" s="35" t="s">
        <v>869</v>
      </c>
    </row>
    <row r="368" spans="1:12" ht="13.2">
      <c r="A368" s="34">
        <v>6406</v>
      </c>
      <c r="B368" s="35" t="s">
        <v>703</v>
      </c>
      <c r="C368" s="35" t="s">
        <v>284</v>
      </c>
      <c r="D368" s="36">
        <v>42693</v>
      </c>
      <c r="E368" s="35" t="s">
        <v>793</v>
      </c>
      <c r="F368" s="35" t="s">
        <v>14</v>
      </c>
      <c r="G368" s="35" t="s">
        <v>67</v>
      </c>
      <c r="H368" s="35" t="s">
        <v>1010</v>
      </c>
      <c r="I368" s="37">
        <v>0.41666666666666669</v>
      </c>
      <c r="J368" s="35" t="s">
        <v>546</v>
      </c>
      <c r="K368" s="35" t="s">
        <v>14</v>
      </c>
      <c r="L368" s="35" t="s">
        <v>14</v>
      </c>
    </row>
    <row r="369" spans="1:12" ht="13.2">
      <c r="A369" s="34">
        <v>6400</v>
      </c>
      <c r="B369" s="35" t="s">
        <v>722</v>
      </c>
      <c r="C369" s="35" t="s">
        <v>284</v>
      </c>
      <c r="D369" s="36">
        <v>42763</v>
      </c>
      <c r="E369" s="35" t="s">
        <v>786</v>
      </c>
      <c r="F369" s="35" t="s">
        <v>14</v>
      </c>
      <c r="G369" s="35" t="s">
        <v>20</v>
      </c>
      <c r="H369" s="35" t="s">
        <v>1011</v>
      </c>
      <c r="I369" s="37">
        <v>0.42708333333333331</v>
      </c>
      <c r="J369" s="35" t="s">
        <v>589</v>
      </c>
      <c r="K369" s="35" t="s">
        <v>14</v>
      </c>
      <c r="L369" s="35" t="s">
        <v>14</v>
      </c>
    </row>
    <row r="370" spans="1:12" ht="13.2">
      <c r="A370" s="34">
        <v>6399</v>
      </c>
      <c r="B370" s="35" t="s">
        <v>724</v>
      </c>
      <c r="C370" s="35" t="s">
        <v>284</v>
      </c>
      <c r="D370" s="36">
        <v>42763</v>
      </c>
      <c r="E370" s="35" t="s">
        <v>789</v>
      </c>
      <c r="F370" s="35" t="s">
        <v>14</v>
      </c>
      <c r="G370" s="35" t="s">
        <v>40</v>
      </c>
      <c r="H370" s="35" t="s">
        <v>1012</v>
      </c>
      <c r="I370" s="37">
        <v>0.41666666666666669</v>
      </c>
      <c r="J370" s="35" t="s">
        <v>459</v>
      </c>
      <c r="K370" s="35" t="s">
        <v>14</v>
      </c>
      <c r="L370" s="35" t="s">
        <v>14</v>
      </c>
    </row>
    <row r="371" spans="1:12" ht="13.2">
      <c r="A371" s="34">
        <v>6397</v>
      </c>
      <c r="B371" s="35" t="s">
        <v>715</v>
      </c>
      <c r="C371" s="35" t="s">
        <v>284</v>
      </c>
      <c r="D371" s="36">
        <v>42763</v>
      </c>
      <c r="E371" s="35" t="s">
        <v>184</v>
      </c>
      <c r="F371" s="35" t="s">
        <v>14</v>
      </c>
      <c r="G371" s="35" t="s">
        <v>64</v>
      </c>
      <c r="H371" s="35" t="s">
        <v>1013</v>
      </c>
      <c r="I371" s="37">
        <v>0.42708333333333331</v>
      </c>
      <c r="J371" s="35" t="s">
        <v>867</v>
      </c>
      <c r="K371" s="35" t="s">
        <v>14</v>
      </c>
      <c r="L371" s="35" t="s">
        <v>14</v>
      </c>
    </row>
    <row r="372" spans="1:12" ht="13.2">
      <c r="A372" s="34">
        <v>6392</v>
      </c>
      <c r="B372" s="35" t="s">
        <v>718</v>
      </c>
      <c r="C372" s="35" t="s">
        <v>284</v>
      </c>
      <c r="D372" s="36">
        <v>42763</v>
      </c>
      <c r="E372" s="35" t="s">
        <v>791</v>
      </c>
      <c r="F372" s="35" t="s">
        <v>14</v>
      </c>
      <c r="G372" s="35" t="s">
        <v>36</v>
      </c>
      <c r="H372" s="35" t="s">
        <v>1014</v>
      </c>
      <c r="I372" s="37">
        <v>0.375</v>
      </c>
      <c r="J372" s="35" t="s">
        <v>520</v>
      </c>
      <c r="K372" s="35" t="s">
        <v>14</v>
      </c>
      <c r="L372" s="35" t="s">
        <v>14</v>
      </c>
    </row>
    <row r="373" spans="1:12" ht="13.2">
      <c r="A373" s="34">
        <v>6366</v>
      </c>
      <c r="B373" s="35" t="s">
        <v>731</v>
      </c>
      <c r="C373" s="35" t="s">
        <v>284</v>
      </c>
      <c r="D373" s="36">
        <v>42756</v>
      </c>
      <c r="E373" s="35" t="s">
        <v>733</v>
      </c>
      <c r="F373" s="35" t="s">
        <v>14</v>
      </c>
      <c r="G373" s="35" t="s">
        <v>810</v>
      </c>
      <c r="H373" s="35" t="s">
        <v>1015</v>
      </c>
      <c r="I373" s="37">
        <v>0.45833333333333331</v>
      </c>
      <c r="J373" s="35" t="s">
        <v>373</v>
      </c>
      <c r="K373" s="35" t="s">
        <v>799</v>
      </c>
      <c r="L373" s="35" t="s">
        <v>14</v>
      </c>
    </row>
    <row r="374" spans="1:12" ht="13.2">
      <c r="A374" s="34">
        <v>6364</v>
      </c>
      <c r="B374" s="35" t="s">
        <v>706</v>
      </c>
      <c r="C374" s="35" t="s">
        <v>284</v>
      </c>
      <c r="D374" s="36">
        <v>42756</v>
      </c>
      <c r="E374" s="35" t="s">
        <v>708</v>
      </c>
      <c r="F374" s="35" t="s">
        <v>14</v>
      </c>
      <c r="G374" s="35" t="s">
        <v>807</v>
      </c>
      <c r="H374" s="35" t="s">
        <v>1016</v>
      </c>
      <c r="I374" s="37">
        <v>0.41666666666666669</v>
      </c>
      <c r="J374" s="35" t="s">
        <v>373</v>
      </c>
      <c r="K374" s="35" t="s">
        <v>761</v>
      </c>
      <c r="L374" s="35" t="s">
        <v>14</v>
      </c>
    </row>
    <row r="375" spans="1:12" ht="13.2">
      <c r="A375" s="34">
        <v>6328</v>
      </c>
      <c r="B375" s="35" t="s">
        <v>710</v>
      </c>
      <c r="C375" s="35" t="s">
        <v>284</v>
      </c>
      <c r="D375" s="36">
        <v>42798</v>
      </c>
      <c r="E375" s="35" t="s">
        <v>812</v>
      </c>
      <c r="F375" s="35" t="s">
        <v>14</v>
      </c>
      <c r="G375" s="35" t="s">
        <v>711</v>
      </c>
      <c r="H375" s="35" t="s">
        <v>1017</v>
      </c>
      <c r="I375" s="37">
        <v>0.41666666666666669</v>
      </c>
      <c r="J375" s="35" t="s">
        <v>589</v>
      </c>
      <c r="K375" s="35" t="s">
        <v>14</v>
      </c>
      <c r="L375" s="35" t="s">
        <v>14</v>
      </c>
    </row>
    <row r="376" spans="1:12" ht="13.2">
      <c r="A376" s="34">
        <v>6309</v>
      </c>
      <c r="B376" s="35" t="s">
        <v>715</v>
      </c>
      <c r="C376" s="35" t="s">
        <v>284</v>
      </c>
      <c r="D376" s="36">
        <v>42749</v>
      </c>
      <c r="E376" s="35" t="s">
        <v>64</v>
      </c>
      <c r="F376" s="35" t="s">
        <v>14</v>
      </c>
      <c r="G376" s="35" t="s">
        <v>716</v>
      </c>
      <c r="H376" s="35" t="s">
        <v>1018</v>
      </c>
      <c r="I376" s="37">
        <v>0.58333333333333337</v>
      </c>
      <c r="J376" s="35" t="s">
        <v>287</v>
      </c>
      <c r="K376" s="35" t="s">
        <v>738</v>
      </c>
      <c r="L376" s="35" t="s">
        <v>752</v>
      </c>
    </row>
    <row r="377" spans="1:12" ht="13.2">
      <c r="A377" s="34">
        <v>6308</v>
      </c>
      <c r="B377" s="35" t="s">
        <v>722</v>
      </c>
      <c r="C377" s="35" t="s">
        <v>284</v>
      </c>
      <c r="D377" s="36">
        <v>42749</v>
      </c>
      <c r="E377" s="35" t="s">
        <v>20</v>
      </c>
      <c r="F377" s="35" t="s">
        <v>14</v>
      </c>
      <c r="G377" s="35" t="s">
        <v>193</v>
      </c>
      <c r="H377" s="35" t="s">
        <v>1019</v>
      </c>
      <c r="I377" s="37">
        <v>0.58333333333333337</v>
      </c>
      <c r="J377" s="35" t="s">
        <v>287</v>
      </c>
      <c r="K377" s="35" t="s">
        <v>741</v>
      </c>
      <c r="L377" s="35" t="s">
        <v>775</v>
      </c>
    </row>
    <row r="378" spans="1:12" ht="13.2">
      <c r="A378" s="34">
        <v>6307</v>
      </c>
      <c r="B378" s="35" t="s">
        <v>724</v>
      </c>
      <c r="C378" s="35" t="s">
        <v>284</v>
      </c>
      <c r="D378" s="36">
        <v>42749</v>
      </c>
      <c r="E378" s="35" t="s">
        <v>40</v>
      </c>
      <c r="F378" s="35" t="s">
        <v>14</v>
      </c>
      <c r="G378" s="35" t="s">
        <v>725</v>
      </c>
      <c r="H378" s="35" t="s">
        <v>1020</v>
      </c>
      <c r="I378" s="37">
        <v>0.58333333333333337</v>
      </c>
      <c r="J378" s="35" t="s">
        <v>287</v>
      </c>
      <c r="K378" s="35" t="s">
        <v>744</v>
      </c>
      <c r="L378" s="35" t="s">
        <v>14</v>
      </c>
    </row>
    <row r="379" spans="1:12" ht="13.2">
      <c r="A379" s="34">
        <v>6306</v>
      </c>
      <c r="B379" s="35" t="s">
        <v>718</v>
      </c>
      <c r="C379" s="35" t="s">
        <v>284</v>
      </c>
      <c r="D379" s="36">
        <v>42791</v>
      </c>
      <c r="E379" s="35" t="s">
        <v>36</v>
      </c>
      <c r="F379" s="35" t="s">
        <v>14</v>
      </c>
      <c r="G379" s="35" t="s">
        <v>719</v>
      </c>
      <c r="H379" s="35" t="s">
        <v>1021</v>
      </c>
      <c r="I379" s="37">
        <v>0.375</v>
      </c>
      <c r="J379" s="35" t="s">
        <v>287</v>
      </c>
      <c r="K379" s="35" t="s">
        <v>747</v>
      </c>
      <c r="L379" s="35" t="s">
        <v>14</v>
      </c>
    </row>
    <row r="380" spans="1:12" ht="13.2">
      <c r="A380" s="34">
        <v>6305</v>
      </c>
      <c r="B380" s="35" t="s">
        <v>703</v>
      </c>
      <c r="C380" s="35" t="s">
        <v>284</v>
      </c>
      <c r="D380" s="36">
        <v>42770</v>
      </c>
      <c r="E380" s="35" t="s">
        <v>67</v>
      </c>
      <c r="F380" s="35" t="s">
        <v>14</v>
      </c>
      <c r="G380" s="35" t="s">
        <v>727</v>
      </c>
      <c r="H380" s="35" t="s">
        <v>1022</v>
      </c>
      <c r="I380" s="37">
        <v>0.41666666666666669</v>
      </c>
      <c r="J380" s="35" t="s">
        <v>287</v>
      </c>
      <c r="K380" s="35" t="s">
        <v>751</v>
      </c>
      <c r="L380" s="35" t="s">
        <v>395</v>
      </c>
    </row>
    <row r="381" spans="1:12" ht="13.2">
      <c r="A381" s="34">
        <v>6287</v>
      </c>
      <c r="B381" s="35" t="s">
        <v>706</v>
      </c>
      <c r="C381" s="35" t="s">
        <v>284</v>
      </c>
      <c r="D381" s="36">
        <v>42749</v>
      </c>
      <c r="E381" s="35" t="s">
        <v>819</v>
      </c>
      <c r="F381" s="35" t="s">
        <v>14</v>
      </c>
      <c r="G381" s="35" t="s">
        <v>708</v>
      </c>
      <c r="H381" s="35" t="s">
        <v>1023</v>
      </c>
      <c r="I381" s="37">
        <v>0.375</v>
      </c>
      <c r="J381" s="35" t="s">
        <v>589</v>
      </c>
      <c r="K381" s="35" t="s">
        <v>14</v>
      </c>
      <c r="L381" s="35" t="s">
        <v>14</v>
      </c>
    </row>
    <row r="382" spans="1:12" ht="13.2">
      <c r="A382" s="34">
        <v>6286</v>
      </c>
      <c r="B382" s="35" t="s">
        <v>710</v>
      </c>
      <c r="C382" s="35" t="s">
        <v>284</v>
      </c>
      <c r="D382" s="36">
        <v>42749</v>
      </c>
      <c r="E382" s="35" t="s">
        <v>711</v>
      </c>
      <c r="F382" s="35" t="s">
        <v>14</v>
      </c>
      <c r="G382" s="35" t="s">
        <v>814</v>
      </c>
      <c r="H382" s="35" t="s">
        <v>1024</v>
      </c>
      <c r="I382" s="37">
        <v>0.54166666666666663</v>
      </c>
      <c r="J382" s="35" t="s">
        <v>287</v>
      </c>
      <c r="K382" s="35" t="s">
        <v>384</v>
      </c>
      <c r="L382" s="35" t="s">
        <v>14</v>
      </c>
    </row>
    <row r="383" spans="1:12" ht="13.2">
      <c r="A383" s="34">
        <v>6272</v>
      </c>
      <c r="B383" s="35" t="s">
        <v>731</v>
      </c>
      <c r="C383" s="35" t="s">
        <v>284</v>
      </c>
      <c r="D383" s="36">
        <v>42749</v>
      </c>
      <c r="E383" s="35" t="s">
        <v>817</v>
      </c>
      <c r="F383" s="35" t="s">
        <v>14</v>
      </c>
      <c r="G383" s="35" t="s">
        <v>733</v>
      </c>
      <c r="H383" s="35" t="s">
        <v>1025</v>
      </c>
      <c r="I383" s="37">
        <v>0.375</v>
      </c>
      <c r="J383" s="35" t="s">
        <v>874</v>
      </c>
      <c r="K383" s="35" t="s">
        <v>14</v>
      </c>
      <c r="L383" s="35" t="s">
        <v>14</v>
      </c>
    </row>
    <row r="384" spans="1:12" ht="13.2">
      <c r="A384" s="34">
        <v>6236</v>
      </c>
      <c r="B384" s="35" t="s">
        <v>706</v>
      </c>
      <c r="C384" s="35" t="s">
        <v>284</v>
      </c>
      <c r="D384" s="36">
        <v>42742</v>
      </c>
      <c r="E384" s="35" t="s">
        <v>990</v>
      </c>
      <c r="F384" s="35" t="s">
        <v>14</v>
      </c>
      <c r="G384" s="35" t="s">
        <v>708</v>
      </c>
      <c r="H384" s="35" t="s">
        <v>1026</v>
      </c>
      <c r="I384" s="37">
        <v>0.39583333333333331</v>
      </c>
      <c r="J384" s="35" t="s">
        <v>405</v>
      </c>
      <c r="K384" s="35" t="s">
        <v>14</v>
      </c>
      <c r="L384" s="35" t="s">
        <v>14</v>
      </c>
    </row>
    <row r="385" spans="1:12" ht="13.2">
      <c r="A385" s="34">
        <v>6222</v>
      </c>
      <c r="B385" s="35" t="s">
        <v>731</v>
      </c>
      <c r="C385" s="35" t="s">
        <v>284</v>
      </c>
      <c r="D385" s="36">
        <v>42742</v>
      </c>
      <c r="E385" s="35" t="s">
        <v>988</v>
      </c>
      <c r="F385" s="35" t="s">
        <v>14</v>
      </c>
      <c r="G385" s="35" t="s">
        <v>733</v>
      </c>
      <c r="H385" s="35" t="s">
        <v>1027</v>
      </c>
      <c r="I385" s="37">
        <v>0.4375</v>
      </c>
      <c r="J385" s="35" t="s">
        <v>973</v>
      </c>
      <c r="K385" s="35" t="s">
        <v>14</v>
      </c>
      <c r="L385" s="35" t="s">
        <v>14</v>
      </c>
    </row>
    <row r="386" spans="1:12" ht="13.2">
      <c r="A386" s="34">
        <v>6221</v>
      </c>
      <c r="B386" s="35" t="s">
        <v>715</v>
      </c>
      <c r="C386" s="35" t="s">
        <v>284</v>
      </c>
      <c r="D386" s="36">
        <v>42791</v>
      </c>
      <c r="E386" s="35" t="s">
        <v>736</v>
      </c>
      <c r="F386" s="35" t="s">
        <v>14</v>
      </c>
      <c r="G386" s="35" t="s">
        <v>64</v>
      </c>
      <c r="H386" s="35" t="s">
        <v>1028</v>
      </c>
      <c r="I386" s="37">
        <v>0.41666666666666669</v>
      </c>
      <c r="J386" s="35" t="s">
        <v>352</v>
      </c>
      <c r="K386" s="35" t="s">
        <v>14</v>
      </c>
      <c r="L386" s="35" t="s">
        <v>14</v>
      </c>
    </row>
    <row r="387" spans="1:12" ht="13.2">
      <c r="A387" s="34">
        <v>6220</v>
      </c>
      <c r="B387" s="35" t="s">
        <v>703</v>
      </c>
      <c r="C387" s="35" t="s">
        <v>284</v>
      </c>
      <c r="D387" s="36">
        <v>42749</v>
      </c>
      <c r="E387" s="35" t="s">
        <v>749</v>
      </c>
      <c r="F387" s="35" t="s">
        <v>14</v>
      </c>
      <c r="G387" s="35" t="s">
        <v>67</v>
      </c>
      <c r="H387" s="35" t="s">
        <v>1029</v>
      </c>
      <c r="I387" s="37">
        <v>0.375</v>
      </c>
      <c r="J387" s="35" t="s">
        <v>1030</v>
      </c>
      <c r="K387" s="35" t="s">
        <v>14</v>
      </c>
      <c r="L387" s="35" t="s">
        <v>14</v>
      </c>
    </row>
    <row r="388" spans="1:12" ht="13.2">
      <c r="A388" s="34">
        <v>6213</v>
      </c>
      <c r="B388" s="35" t="s">
        <v>722</v>
      </c>
      <c r="C388" s="35" t="s">
        <v>284</v>
      </c>
      <c r="D388" s="36">
        <v>42721</v>
      </c>
      <c r="E388" s="35" t="s">
        <v>739</v>
      </c>
      <c r="F388" s="35" t="s">
        <v>14</v>
      </c>
      <c r="G388" s="35" t="s">
        <v>20</v>
      </c>
      <c r="H388" s="35" t="s">
        <v>1031</v>
      </c>
      <c r="I388" s="37">
        <v>0.375</v>
      </c>
      <c r="J388" s="35" t="s">
        <v>454</v>
      </c>
      <c r="K388" s="35" t="s">
        <v>14</v>
      </c>
      <c r="L388" s="35" t="s">
        <v>14</v>
      </c>
    </row>
    <row r="389" spans="1:12" ht="13.2">
      <c r="A389" s="34">
        <v>6212</v>
      </c>
      <c r="B389" s="35" t="s">
        <v>718</v>
      </c>
      <c r="C389" s="35" t="s">
        <v>284</v>
      </c>
      <c r="D389" s="36">
        <v>42721</v>
      </c>
      <c r="E389" s="35" t="s">
        <v>745</v>
      </c>
      <c r="F389" s="35" t="s">
        <v>14</v>
      </c>
      <c r="G389" s="35" t="s">
        <v>36</v>
      </c>
      <c r="H389" s="35" t="s">
        <v>1032</v>
      </c>
      <c r="I389" s="37">
        <v>0.54166666666666663</v>
      </c>
      <c r="J389" s="35" t="s">
        <v>1033</v>
      </c>
      <c r="K389" s="35" t="s">
        <v>14</v>
      </c>
      <c r="L389" s="35" t="s">
        <v>14</v>
      </c>
    </row>
    <row r="390" spans="1:12" ht="13.2">
      <c r="A390" s="34">
        <v>6208</v>
      </c>
      <c r="B390" s="35" t="s">
        <v>724</v>
      </c>
      <c r="C390" s="35" t="s">
        <v>284</v>
      </c>
      <c r="D390" s="36">
        <v>42721</v>
      </c>
      <c r="E390" s="35" t="s">
        <v>742</v>
      </c>
      <c r="F390" s="35" t="s">
        <v>14</v>
      </c>
      <c r="G390" s="35" t="s">
        <v>40</v>
      </c>
      <c r="H390" s="35" t="s">
        <v>1034</v>
      </c>
      <c r="I390" s="37">
        <v>0.375</v>
      </c>
      <c r="J390" s="35" t="s">
        <v>467</v>
      </c>
      <c r="K390" s="35" t="s">
        <v>14</v>
      </c>
      <c r="L390" s="35" t="s">
        <v>14</v>
      </c>
    </row>
    <row r="391" spans="1:12" ht="13.2">
      <c r="A391" s="34">
        <v>6200</v>
      </c>
      <c r="B391" s="35" t="s">
        <v>731</v>
      </c>
      <c r="C391" s="35" t="s">
        <v>284</v>
      </c>
      <c r="D391" s="36">
        <v>42721</v>
      </c>
      <c r="E391" s="35" t="s">
        <v>733</v>
      </c>
      <c r="F391" s="35" t="s">
        <v>14</v>
      </c>
      <c r="G391" s="35" t="s">
        <v>732</v>
      </c>
      <c r="H391" s="35" t="s">
        <v>1035</v>
      </c>
      <c r="I391" s="37">
        <v>0.375</v>
      </c>
      <c r="J391" s="35" t="s">
        <v>373</v>
      </c>
      <c r="K391" s="35" t="s">
        <v>799</v>
      </c>
      <c r="L391" s="35" t="s">
        <v>788</v>
      </c>
    </row>
    <row r="392" spans="1:12" ht="13.2">
      <c r="A392" s="34">
        <v>6147</v>
      </c>
      <c r="B392" s="35" t="s">
        <v>715</v>
      </c>
      <c r="C392" s="35" t="s">
        <v>284</v>
      </c>
      <c r="D392" s="36">
        <v>42714</v>
      </c>
      <c r="E392" s="35" t="s">
        <v>64</v>
      </c>
      <c r="F392" s="35" t="s">
        <v>14</v>
      </c>
      <c r="G392" s="35" t="s">
        <v>1001</v>
      </c>
      <c r="H392" s="35" t="s">
        <v>1036</v>
      </c>
      <c r="I392" s="37">
        <v>0.41666666666666669</v>
      </c>
      <c r="J392" s="35" t="s">
        <v>287</v>
      </c>
      <c r="K392" s="35" t="s">
        <v>738</v>
      </c>
      <c r="L392" s="35" t="s">
        <v>752</v>
      </c>
    </row>
    <row r="393" spans="1:12" ht="13.2">
      <c r="A393" s="34">
        <v>6146</v>
      </c>
      <c r="B393" s="35" t="s">
        <v>724</v>
      </c>
      <c r="C393" s="35" t="s">
        <v>284</v>
      </c>
      <c r="D393" s="36">
        <v>42812</v>
      </c>
      <c r="E393" s="35" t="s">
        <v>40</v>
      </c>
      <c r="F393" s="35" t="s">
        <v>14</v>
      </c>
      <c r="G393" s="35" t="s">
        <v>999</v>
      </c>
      <c r="H393" s="35" t="s">
        <v>1037</v>
      </c>
      <c r="I393" s="37">
        <v>0.375</v>
      </c>
      <c r="J393" s="35" t="s">
        <v>287</v>
      </c>
      <c r="K393" s="35" t="s">
        <v>744</v>
      </c>
      <c r="L393" s="35" t="s">
        <v>14</v>
      </c>
    </row>
    <row r="394" spans="1:12" ht="13.2">
      <c r="A394" s="34">
        <v>6145</v>
      </c>
      <c r="B394" s="35" t="s">
        <v>718</v>
      </c>
      <c r="C394" s="35" t="s">
        <v>284</v>
      </c>
      <c r="D394" s="36">
        <v>42714</v>
      </c>
      <c r="E394" s="35" t="s">
        <v>36</v>
      </c>
      <c r="F394" s="35" t="s">
        <v>14</v>
      </c>
      <c r="G394" s="35" t="s">
        <v>997</v>
      </c>
      <c r="H394" s="35" t="s">
        <v>1038</v>
      </c>
      <c r="I394" s="37">
        <v>0.375</v>
      </c>
      <c r="J394" s="35" t="s">
        <v>373</v>
      </c>
      <c r="K394" s="35" t="s">
        <v>747</v>
      </c>
      <c r="L394" s="35" t="s">
        <v>800</v>
      </c>
    </row>
    <row r="395" spans="1:12" ht="13.2">
      <c r="A395" s="34">
        <v>6108</v>
      </c>
      <c r="B395" s="35" t="s">
        <v>731</v>
      </c>
      <c r="C395" s="35" t="s">
        <v>284</v>
      </c>
      <c r="D395" s="36">
        <v>42714</v>
      </c>
      <c r="E395" s="35" t="s">
        <v>733</v>
      </c>
      <c r="F395" s="35" t="s">
        <v>14</v>
      </c>
      <c r="G395" s="35" t="s">
        <v>755</v>
      </c>
      <c r="H395" s="35" t="s">
        <v>1039</v>
      </c>
      <c r="I395" s="37">
        <v>0.41666666666666669</v>
      </c>
      <c r="J395" s="35" t="s">
        <v>287</v>
      </c>
      <c r="K395" s="35" t="s">
        <v>799</v>
      </c>
      <c r="L395" s="35" t="s">
        <v>748</v>
      </c>
    </row>
    <row r="396" spans="1:12" ht="13.2">
      <c r="A396" s="34">
        <v>6106</v>
      </c>
      <c r="B396" s="35" t="s">
        <v>706</v>
      </c>
      <c r="C396" s="35" t="s">
        <v>284</v>
      </c>
      <c r="D396" s="36">
        <v>42714</v>
      </c>
      <c r="E396" s="35" t="s">
        <v>708</v>
      </c>
      <c r="F396" s="35" t="s">
        <v>14</v>
      </c>
      <c r="G396" s="35" t="s">
        <v>753</v>
      </c>
      <c r="H396" s="35" t="s">
        <v>1040</v>
      </c>
      <c r="I396" s="37">
        <v>0.375</v>
      </c>
      <c r="J396" s="35" t="s">
        <v>287</v>
      </c>
      <c r="K396" s="35" t="s">
        <v>761</v>
      </c>
      <c r="L396" s="35" t="s">
        <v>785</v>
      </c>
    </row>
    <row r="397" spans="1:12" ht="13.2">
      <c r="A397" s="34">
        <v>6102</v>
      </c>
      <c r="B397" s="35" t="s">
        <v>722</v>
      </c>
      <c r="C397" s="35" t="s">
        <v>284</v>
      </c>
      <c r="D397" s="36">
        <v>42707</v>
      </c>
      <c r="E397" s="35" t="s">
        <v>1004</v>
      </c>
      <c r="F397" s="35" t="s">
        <v>14</v>
      </c>
      <c r="G397" s="35" t="s">
        <v>20</v>
      </c>
      <c r="H397" s="35" t="s">
        <v>1041</v>
      </c>
      <c r="I397" s="37">
        <v>0.625</v>
      </c>
      <c r="J397" s="35" t="s">
        <v>313</v>
      </c>
      <c r="K397" s="35" t="s">
        <v>14</v>
      </c>
      <c r="L397" s="35" t="s">
        <v>14</v>
      </c>
    </row>
    <row r="398" spans="1:12" ht="13.2">
      <c r="A398" s="34">
        <v>6096</v>
      </c>
      <c r="B398" s="35" t="s">
        <v>715</v>
      </c>
      <c r="C398" s="35" t="s">
        <v>284</v>
      </c>
      <c r="D398" s="36">
        <v>42707</v>
      </c>
      <c r="E398" s="35" t="s">
        <v>19</v>
      </c>
      <c r="F398" s="35" t="s">
        <v>14</v>
      </c>
      <c r="G398" s="35" t="s">
        <v>64</v>
      </c>
      <c r="H398" s="35" t="s">
        <v>1042</v>
      </c>
      <c r="I398" s="37">
        <v>0.45833333333333331</v>
      </c>
      <c r="J398" s="35" t="s">
        <v>334</v>
      </c>
      <c r="K398" s="35" t="s">
        <v>14</v>
      </c>
      <c r="L398" s="35" t="s">
        <v>14</v>
      </c>
    </row>
    <row r="399" spans="1:12" ht="13.2">
      <c r="A399" s="34">
        <v>22171</v>
      </c>
      <c r="B399" s="35" t="s">
        <v>302</v>
      </c>
      <c r="C399" s="35" t="s">
        <v>284</v>
      </c>
      <c r="D399" s="36">
        <v>42784</v>
      </c>
      <c r="E399" s="35" t="s">
        <v>88</v>
      </c>
      <c r="F399" s="35" t="s">
        <v>14</v>
      </c>
      <c r="G399" s="35" t="s">
        <v>1043</v>
      </c>
      <c r="H399" s="35" t="s">
        <v>1044</v>
      </c>
      <c r="I399" s="37">
        <v>0.85416666666666663</v>
      </c>
      <c r="J399" s="35" t="s">
        <v>287</v>
      </c>
      <c r="K399" s="35" t="s">
        <v>338</v>
      </c>
      <c r="L399" s="35" t="s">
        <v>289</v>
      </c>
    </row>
    <row r="400" spans="1:12" ht="13.2">
      <c r="A400" s="34">
        <v>22165</v>
      </c>
      <c r="B400" s="35" t="s">
        <v>302</v>
      </c>
      <c r="C400" s="35" t="s">
        <v>284</v>
      </c>
      <c r="D400" s="36">
        <v>42721</v>
      </c>
      <c r="E400" s="35" t="s">
        <v>1043</v>
      </c>
      <c r="F400" s="35" t="s">
        <v>14</v>
      </c>
      <c r="G400" s="35" t="s">
        <v>88</v>
      </c>
      <c r="H400" s="35" t="s">
        <v>1045</v>
      </c>
      <c r="I400" s="37">
        <v>0.6875</v>
      </c>
      <c r="J400" s="35" t="s">
        <v>973</v>
      </c>
      <c r="K400" s="35" t="s">
        <v>14</v>
      </c>
      <c r="L400" s="35" t="s">
        <v>14</v>
      </c>
    </row>
    <row r="401" spans="1:12" ht="13.2">
      <c r="A401" s="34">
        <v>21915</v>
      </c>
      <c r="B401" s="35" t="s">
        <v>1046</v>
      </c>
      <c r="C401" s="35" t="s">
        <v>284</v>
      </c>
      <c r="D401" s="36">
        <v>42784</v>
      </c>
      <c r="E401" s="35" t="s">
        <v>1047</v>
      </c>
      <c r="F401" s="35" t="s">
        <v>14</v>
      </c>
      <c r="G401" s="35" t="s">
        <v>99</v>
      </c>
      <c r="H401" s="35" t="s">
        <v>1048</v>
      </c>
      <c r="I401" s="37">
        <v>0.54166666666666663</v>
      </c>
      <c r="J401" s="35" t="s">
        <v>459</v>
      </c>
      <c r="K401" s="35" t="s">
        <v>14</v>
      </c>
      <c r="L401" s="35" t="s">
        <v>14</v>
      </c>
    </row>
    <row r="402" spans="1:12" ht="13.2">
      <c r="A402" s="34">
        <v>21912</v>
      </c>
      <c r="B402" s="35" t="s">
        <v>1046</v>
      </c>
      <c r="C402" s="35" t="s">
        <v>284</v>
      </c>
      <c r="D402" s="36">
        <v>42777</v>
      </c>
      <c r="E402" s="35" t="s">
        <v>99</v>
      </c>
      <c r="F402" s="35" t="s">
        <v>14</v>
      </c>
      <c r="G402" s="35" t="s">
        <v>130</v>
      </c>
      <c r="H402" s="35" t="s">
        <v>1049</v>
      </c>
      <c r="I402" s="37">
        <v>0.625</v>
      </c>
      <c r="J402" s="35" t="s">
        <v>287</v>
      </c>
      <c r="K402" s="35" t="s">
        <v>301</v>
      </c>
      <c r="L402" s="35" t="s">
        <v>289</v>
      </c>
    </row>
    <row r="403" spans="1:12" ht="13.2">
      <c r="A403" s="34">
        <v>21897</v>
      </c>
      <c r="B403" s="35" t="s">
        <v>1046</v>
      </c>
      <c r="C403" s="35" t="s">
        <v>284</v>
      </c>
      <c r="D403" s="36">
        <v>42763</v>
      </c>
      <c r="E403" s="35" t="s">
        <v>99</v>
      </c>
      <c r="F403" s="35" t="s">
        <v>14</v>
      </c>
      <c r="G403" s="35" t="s">
        <v>178</v>
      </c>
      <c r="H403" s="35" t="s">
        <v>1050</v>
      </c>
      <c r="I403" s="37">
        <v>0.66666666666666663</v>
      </c>
      <c r="J403" s="35" t="s">
        <v>287</v>
      </c>
      <c r="K403" s="35" t="s">
        <v>606</v>
      </c>
      <c r="L403" s="35" t="s">
        <v>289</v>
      </c>
    </row>
    <row r="404" spans="1:12" ht="13.2">
      <c r="A404" s="34">
        <v>21880</v>
      </c>
      <c r="B404" s="35" t="s">
        <v>1046</v>
      </c>
      <c r="C404" s="35" t="s">
        <v>284</v>
      </c>
      <c r="D404" s="36">
        <v>42756</v>
      </c>
      <c r="E404" s="35" t="s">
        <v>1051</v>
      </c>
      <c r="F404" s="35" t="s">
        <v>14</v>
      </c>
      <c r="G404" s="35" t="s">
        <v>99</v>
      </c>
      <c r="H404" s="35" t="s">
        <v>1052</v>
      </c>
      <c r="I404" s="37">
        <v>0.41666666666666669</v>
      </c>
      <c r="J404" s="35" t="s">
        <v>520</v>
      </c>
      <c r="K404" s="35" t="s">
        <v>14</v>
      </c>
      <c r="L404" s="35" t="s">
        <v>14</v>
      </c>
    </row>
    <row r="405" spans="1:12" ht="13.2">
      <c r="A405" s="34">
        <v>21834</v>
      </c>
      <c r="B405" s="35" t="s">
        <v>1046</v>
      </c>
      <c r="C405" s="35" t="s">
        <v>284</v>
      </c>
      <c r="D405" s="36">
        <v>42714</v>
      </c>
      <c r="E405" s="35" t="s">
        <v>130</v>
      </c>
      <c r="F405" s="35" t="s">
        <v>14</v>
      </c>
      <c r="G405" s="35" t="s">
        <v>99</v>
      </c>
      <c r="H405" s="35" t="s">
        <v>1053</v>
      </c>
      <c r="I405" s="37">
        <v>0.63888888888888884</v>
      </c>
      <c r="J405" s="35" t="s">
        <v>376</v>
      </c>
      <c r="K405" s="35" t="s">
        <v>14</v>
      </c>
      <c r="L405" s="35" t="s">
        <v>14</v>
      </c>
    </row>
    <row r="406" spans="1:12" ht="13.2">
      <c r="A406" s="34">
        <v>21802</v>
      </c>
      <c r="B406" s="35" t="s">
        <v>1046</v>
      </c>
      <c r="C406" s="35" t="s">
        <v>284</v>
      </c>
      <c r="D406" s="36">
        <v>42805</v>
      </c>
      <c r="E406" s="35" t="s">
        <v>99</v>
      </c>
      <c r="F406" s="35" t="s">
        <v>14</v>
      </c>
      <c r="G406" s="35" t="s">
        <v>1054</v>
      </c>
      <c r="H406" s="35" t="s">
        <v>1055</v>
      </c>
      <c r="I406" s="37">
        <v>0.58333333333333337</v>
      </c>
      <c r="J406" s="35" t="s">
        <v>287</v>
      </c>
      <c r="K406" s="35" t="s">
        <v>566</v>
      </c>
      <c r="L406" s="35" t="s">
        <v>289</v>
      </c>
    </row>
    <row r="407" spans="1:12" ht="13.2">
      <c r="A407" s="34">
        <v>21758</v>
      </c>
      <c r="B407" s="35" t="s">
        <v>1046</v>
      </c>
      <c r="C407" s="35" t="s">
        <v>284</v>
      </c>
      <c r="D407" s="36">
        <v>42770</v>
      </c>
      <c r="E407" s="35" t="s">
        <v>1056</v>
      </c>
      <c r="F407" s="35" t="s">
        <v>14</v>
      </c>
      <c r="G407" s="35" t="s">
        <v>99</v>
      </c>
      <c r="H407" s="35" t="s">
        <v>1057</v>
      </c>
      <c r="I407" s="37">
        <v>0.42708333333333331</v>
      </c>
      <c r="J407" s="35" t="s">
        <v>867</v>
      </c>
      <c r="K407" s="35" t="s">
        <v>14</v>
      </c>
      <c r="L407" s="35" t="s">
        <v>14</v>
      </c>
    </row>
    <row r="408" spans="1:12" ht="13.2">
      <c r="A408" s="34">
        <v>21746</v>
      </c>
      <c r="B408" s="35" t="s">
        <v>1046</v>
      </c>
      <c r="C408" s="35" t="s">
        <v>284</v>
      </c>
      <c r="D408" s="36">
        <v>42749</v>
      </c>
      <c r="E408" s="35" t="s">
        <v>99</v>
      </c>
      <c r="F408" s="35" t="s">
        <v>14</v>
      </c>
      <c r="G408" s="35" t="s">
        <v>29</v>
      </c>
      <c r="H408" s="35" t="s">
        <v>1058</v>
      </c>
      <c r="I408" s="37">
        <v>0.70833333333333337</v>
      </c>
      <c r="J408" s="35" t="s">
        <v>305</v>
      </c>
      <c r="K408" s="35" t="s">
        <v>306</v>
      </c>
      <c r="L408" s="35" t="s">
        <v>289</v>
      </c>
    </row>
    <row r="409" spans="1:12" ht="13.2">
      <c r="A409" s="34">
        <v>21735</v>
      </c>
      <c r="B409" s="35" t="s">
        <v>1046</v>
      </c>
      <c r="C409" s="35" t="s">
        <v>284</v>
      </c>
      <c r="D409" s="36">
        <v>42742</v>
      </c>
      <c r="E409" s="35" t="s">
        <v>1054</v>
      </c>
      <c r="F409" s="35" t="s">
        <v>14</v>
      </c>
      <c r="G409" s="35" t="s">
        <v>99</v>
      </c>
      <c r="H409" s="35" t="s">
        <v>1059</v>
      </c>
      <c r="I409" s="37">
        <v>0.41666666666666669</v>
      </c>
      <c r="J409" s="35" t="s">
        <v>467</v>
      </c>
      <c r="K409" s="35" t="s">
        <v>14</v>
      </c>
      <c r="L409" s="35" t="s">
        <v>14</v>
      </c>
    </row>
    <row r="410" spans="1:12" ht="13.2">
      <c r="A410" s="34">
        <v>21732</v>
      </c>
      <c r="B410" s="35" t="s">
        <v>1046</v>
      </c>
      <c r="C410" s="35" t="s">
        <v>284</v>
      </c>
      <c r="D410" s="36">
        <v>42721</v>
      </c>
      <c r="E410" s="35" t="s">
        <v>99</v>
      </c>
      <c r="F410" s="35" t="s">
        <v>14</v>
      </c>
      <c r="G410" s="35" t="s">
        <v>1047</v>
      </c>
      <c r="H410" s="35" t="s">
        <v>1060</v>
      </c>
      <c r="I410" s="37">
        <v>0.58333333333333337</v>
      </c>
      <c r="J410" s="35" t="s">
        <v>287</v>
      </c>
      <c r="K410" s="35" t="s">
        <v>328</v>
      </c>
      <c r="L410" s="35" t="s">
        <v>289</v>
      </c>
    </row>
    <row r="411" spans="1:12" ht="13.2">
      <c r="A411" s="34">
        <v>21717</v>
      </c>
      <c r="B411" s="35" t="s">
        <v>1046</v>
      </c>
      <c r="C411" s="35" t="s">
        <v>284</v>
      </c>
      <c r="D411" s="36">
        <v>42707</v>
      </c>
      <c r="E411" s="35" t="s">
        <v>99</v>
      </c>
      <c r="F411" s="35" t="s">
        <v>14</v>
      </c>
      <c r="G411" s="35" t="s">
        <v>1056</v>
      </c>
      <c r="H411" s="35" t="s">
        <v>1061</v>
      </c>
      <c r="I411" s="37">
        <v>0.41666666666666669</v>
      </c>
      <c r="J411" s="35" t="s">
        <v>373</v>
      </c>
      <c r="K411" s="35" t="s">
        <v>584</v>
      </c>
      <c r="L411" s="35" t="s">
        <v>289</v>
      </c>
    </row>
    <row r="412" spans="1:12" ht="13.2">
      <c r="A412" s="34">
        <v>21705</v>
      </c>
      <c r="B412" s="35" t="s">
        <v>1046</v>
      </c>
      <c r="C412" s="35" t="s">
        <v>284</v>
      </c>
      <c r="D412" s="36">
        <v>42700</v>
      </c>
      <c r="E412" s="35" t="s">
        <v>178</v>
      </c>
      <c r="F412" s="35" t="s">
        <v>14</v>
      </c>
      <c r="G412" s="35" t="s">
        <v>99</v>
      </c>
      <c r="H412" s="35" t="s">
        <v>1062</v>
      </c>
      <c r="I412" s="37">
        <v>0.41666666666666669</v>
      </c>
      <c r="J412" s="35" t="s">
        <v>589</v>
      </c>
      <c r="K412" s="35" t="s">
        <v>14</v>
      </c>
      <c r="L412" s="35" t="s">
        <v>14</v>
      </c>
    </row>
    <row r="413" spans="1:12" ht="13.2">
      <c r="A413" s="34">
        <v>21689</v>
      </c>
      <c r="B413" s="35" t="s">
        <v>1046</v>
      </c>
      <c r="C413" s="35" t="s">
        <v>284</v>
      </c>
      <c r="D413" s="36">
        <v>42693</v>
      </c>
      <c r="E413" s="35" t="s">
        <v>99</v>
      </c>
      <c r="F413" s="35" t="s">
        <v>14</v>
      </c>
      <c r="G413" s="35" t="s">
        <v>1051</v>
      </c>
      <c r="H413" s="35" t="s">
        <v>1063</v>
      </c>
      <c r="I413" s="37">
        <v>0.4513888888888889</v>
      </c>
      <c r="J413" s="35" t="s">
        <v>287</v>
      </c>
      <c r="K413" s="35" t="s">
        <v>567</v>
      </c>
      <c r="L413" s="35" t="s">
        <v>289</v>
      </c>
    </row>
    <row r="414" spans="1:12" ht="13.2">
      <c r="A414" s="34">
        <v>21668</v>
      </c>
      <c r="B414" s="35" t="s">
        <v>1046</v>
      </c>
      <c r="C414" s="35" t="s">
        <v>284</v>
      </c>
      <c r="D414" s="36">
        <v>42686</v>
      </c>
      <c r="E414" s="35" t="s">
        <v>29</v>
      </c>
      <c r="F414" s="35" t="s">
        <v>14</v>
      </c>
      <c r="G414" s="35" t="s">
        <v>99</v>
      </c>
      <c r="H414" s="35" t="s">
        <v>1064</v>
      </c>
      <c r="I414" s="37">
        <v>0.375</v>
      </c>
      <c r="J414" s="35" t="s">
        <v>454</v>
      </c>
      <c r="K414" s="35" t="s">
        <v>14</v>
      </c>
      <c r="L414" s="35" t="s">
        <v>14</v>
      </c>
    </row>
    <row r="415" spans="1:12" ht="13.2">
      <c r="A415" s="34">
        <v>21614</v>
      </c>
      <c r="B415" s="35" t="s">
        <v>1065</v>
      </c>
      <c r="C415" s="35" t="s">
        <v>284</v>
      </c>
      <c r="D415" s="36">
        <v>42784</v>
      </c>
      <c r="E415" s="35" t="s">
        <v>1066</v>
      </c>
      <c r="F415" s="35" t="s">
        <v>14</v>
      </c>
      <c r="G415" s="35" t="s">
        <v>50</v>
      </c>
      <c r="H415" s="35" t="s">
        <v>1067</v>
      </c>
      <c r="I415" s="37">
        <v>0.59027777777777779</v>
      </c>
      <c r="J415" s="35" t="s">
        <v>1068</v>
      </c>
      <c r="K415" s="35" t="s">
        <v>14</v>
      </c>
      <c r="L415" s="35" t="s">
        <v>14</v>
      </c>
    </row>
    <row r="416" spans="1:12" ht="13.2">
      <c r="A416" s="34">
        <v>21595</v>
      </c>
      <c r="B416" s="35" t="s">
        <v>1065</v>
      </c>
      <c r="C416" s="35" t="s">
        <v>284</v>
      </c>
      <c r="D416" s="36">
        <v>42777</v>
      </c>
      <c r="E416" s="35" t="s">
        <v>50</v>
      </c>
      <c r="F416" s="35" t="s">
        <v>14</v>
      </c>
      <c r="G416" s="35" t="s">
        <v>1069</v>
      </c>
      <c r="H416" s="35" t="s">
        <v>1070</v>
      </c>
      <c r="I416" s="37">
        <v>0.66666666666666663</v>
      </c>
      <c r="J416" s="35" t="s">
        <v>287</v>
      </c>
      <c r="K416" s="35" t="s">
        <v>301</v>
      </c>
      <c r="L416" s="35" t="s">
        <v>289</v>
      </c>
    </row>
    <row r="417" spans="1:12" ht="13.2">
      <c r="A417" s="34">
        <v>21543</v>
      </c>
      <c r="B417" s="35" t="s">
        <v>1065</v>
      </c>
      <c r="C417" s="35" t="s">
        <v>284</v>
      </c>
      <c r="D417" s="36">
        <v>42763</v>
      </c>
      <c r="E417" s="35" t="s">
        <v>50</v>
      </c>
      <c r="F417" s="35" t="s">
        <v>14</v>
      </c>
      <c r="G417" s="35" t="s">
        <v>1071</v>
      </c>
      <c r="H417" s="35" t="s">
        <v>1072</v>
      </c>
      <c r="I417" s="37">
        <v>0.70833333333333337</v>
      </c>
      <c r="J417" s="35" t="s">
        <v>287</v>
      </c>
      <c r="K417" s="35" t="s">
        <v>606</v>
      </c>
      <c r="L417" s="35" t="s">
        <v>289</v>
      </c>
    </row>
    <row r="418" spans="1:12" ht="13.2">
      <c r="A418" s="34">
        <v>21472</v>
      </c>
      <c r="B418" s="35" t="s">
        <v>1065</v>
      </c>
      <c r="C418" s="35" t="s">
        <v>284</v>
      </c>
      <c r="D418" s="36">
        <v>42756</v>
      </c>
      <c r="E418" s="35" t="s">
        <v>1073</v>
      </c>
      <c r="F418" s="35" t="s">
        <v>14</v>
      </c>
      <c r="G418" s="35" t="s">
        <v>50</v>
      </c>
      <c r="H418" s="35" t="s">
        <v>1074</v>
      </c>
      <c r="I418" s="37">
        <v>0.58333333333333337</v>
      </c>
      <c r="J418" s="35" t="s">
        <v>530</v>
      </c>
      <c r="K418" s="35" t="s">
        <v>14</v>
      </c>
      <c r="L418" s="35" t="s">
        <v>14</v>
      </c>
    </row>
    <row r="419" spans="1:12" ht="13.2">
      <c r="A419" s="34">
        <v>21313</v>
      </c>
      <c r="B419" s="35" t="s">
        <v>1065</v>
      </c>
      <c r="C419" s="35" t="s">
        <v>284</v>
      </c>
      <c r="D419" s="36">
        <v>42714</v>
      </c>
      <c r="E419" s="35" t="s">
        <v>1069</v>
      </c>
      <c r="F419" s="35" t="s">
        <v>14</v>
      </c>
      <c r="G419" s="35" t="s">
        <v>50</v>
      </c>
      <c r="H419" s="35" t="s">
        <v>1075</v>
      </c>
      <c r="I419" s="37">
        <v>0.70833333333333337</v>
      </c>
      <c r="J419" s="35" t="s">
        <v>1076</v>
      </c>
      <c r="K419" s="35" t="s">
        <v>14</v>
      </c>
      <c r="L419" s="35" t="s">
        <v>14</v>
      </c>
    </row>
    <row r="420" spans="1:12" ht="13.2">
      <c r="A420" s="34">
        <v>21189</v>
      </c>
      <c r="B420" s="35" t="s">
        <v>1065</v>
      </c>
      <c r="C420" s="35" t="s">
        <v>284</v>
      </c>
      <c r="D420" s="36">
        <v>42805</v>
      </c>
      <c r="E420" s="35" t="s">
        <v>50</v>
      </c>
      <c r="F420" s="35" t="s">
        <v>14</v>
      </c>
      <c r="G420" s="35" t="s">
        <v>1077</v>
      </c>
      <c r="H420" s="35" t="s">
        <v>1078</v>
      </c>
      <c r="I420" s="37">
        <v>0.625</v>
      </c>
      <c r="J420" s="35" t="s">
        <v>287</v>
      </c>
      <c r="K420" s="35" t="s">
        <v>566</v>
      </c>
      <c r="L420" s="35" t="s">
        <v>289</v>
      </c>
    </row>
    <row r="421" spans="1:12" ht="13.2">
      <c r="A421" s="34">
        <v>21026</v>
      </c>
      <c r="B421" s="35" t="s">
        <v>1065</v>
      </c>
      <c r="C421" s="35" t="s">
        <v>284</v>
      </c>
      <c r="D421" s="36">
        <v>42770</v>
      </c>
      <c r="E421" s="35" t="s">
        <v>1079</v>
      </c>
      <c r="F421" s="35" t="s">
        <v>14</v>
      </c>
      <c r="G421" s="35" t="s">
        <v>50</v>
      </c>
      <c r="H421" s="35" t="s">
        <v>1080</v>
      </c>
      <c r="I421" s="37">
        <v>0.56944444444444442</v>
      </c>
      <c r="J421" s="35" t="s">
        <v>334</v>
      </c>
      <c r="K421" s="35" t="s">
        <v>14</v>
      </c>
      <c r="L421" s="35" t="s">
        <v>14</v>
      </c>
    </row>
    <row r="422" spans="1:12" ht="13.2">
      <c r="A422" s="34">
        <v>20975</v>
      </c>
      <c r="B422" s="35" t="s">
        <v>1065</v>
      </c>
      <c r="C422" s="35" t="s">
        <v>284</v>
      </c>
      <c r="D422" s="36">
        <v>42749</v>
      </c>
      <c r="E422" s="35" t="s">
        <v>50</v>
      </c>
      <c r="F422" s="35" t="s">
        <v>14</v>
      </c>
      <c r="G422" s="35" t="s">
        <v>56</v>
      </c>
      <c r="H422" s="35" t="s">
        <v>1081</v>
      </c>
      <c r="I422" s="37">
        <v>0.625</v>
      </c>
      <c r="J422" s="35" t="s">
        <v>287</v>
      </c>
      <c r="K422" s="35" t="s">
        <v>584</v>
      </c>
      <c r="L422" s="35" t="s">
        <v>289</v>
      </c>
    </row>
    <row r="423" spans="1:12" ht="13.2">
      <c r="A423" s="34">
        <v>20937</v>
      </c>
      <c r="B423" s="35" t="s">
        <v>1065</v>
      </c>
      <c r="C423" s="35" t="s">
        <v>284</v>
      </c>
      <c r="D423" s="36">
        <v>42742</v>
      </c>
      <c r="E423" s="35" t="s">
        <v>1077</v>
      </c>
      <c r="F423" s="35" t="s">
        <v>14</v>
      </c>
      <c r="G423" s="35" t="s">
        <v>50</v>
      </c>
      <c r="H423" s="35" t="s">
        <v>1082</v>
      </c>
      <c r="I423" s="37">
        <v>0.375</v>
      </c>
      <c r="J423" s="35" t="s">
        <v>1068</v>
      </c>
      <c r="K423" s="35" t="s">
        <v>14</v>
      </c>
      <c r="L423" s="35" t="s">
        <v>14</v>
      </c>
    </row>
    <row r="424" spans="1:12" ht="13.2">
      <c r="A424" s="34">
        <v>20922</v>
      </c>
      <c r="B424" s="35" t="s">
        <v>1065</v>
      </c>
      <c r="C424" s="35" t="s">
        <v>284</v>
      </c>
      <c r="D424" s="36">
        <v>42721</v>
      </c>
      <c r="E424" s="35" t="s">
        <v>50</v>
      </c>
      <c r="F424" s="35" t="s">
        <v>14</v>
      </c>
      <c r="G424" s="35" t="s">
        <v>1066</v>
      </c>
      <c r="H424" s="35" t="s">
        <v>1083</v>
      </c>
      <c r="I424" s="37">
        <v>0.45833333333333331</v>
      </c>
      <c r="J424" s="35" t="s">
        <v>373</v>
      </c>
      <c r="K424" s="35" t="s">
        <v>567</v>
      </c>
      <c r="L424" s="35" t="s">
        <v>289</v>
      </c>
    </row>
    <row r="425" spans="1:12" ht="13.2">
      <c r="A425" s="34">
        <v>20868</v>
      </c>
      <c r="B425" s="35" t="s">
        <v>1065</v>
      </c>
      <c r="C425" s="35" t="s">
        <v>284</v>
      </c>
      <c r="D425" s="36">
        <v>42707</v>
      </c>
      <c r="E425" s="35" t="s">
        <v>50</v>
      </c>
      <c r="F425" s="35" t="s">
        <v>14</v>
      </c>
      <c r="G425" s="35" t="s">
        <v>1079</v>
      </c>
      <c r="H425" s="35" t="s">
        <v>1084</v>
      </c>
      <c r="I425" s="37">
        <v>0.45833333333333331</v>
      </c>
      <c r="J425" s="35" t="s">
        <v>373</v>
      </c>
      <c r="K425" s="35" t="s">
        <v>584</v>
      </c>
      <c r="L425" s="35" t="s">
        <v>289</v>
      </c>
    </row>
    <row r="426" spans="1:12" ht="13.2">
      <c r="A426" s="34">
        <v>20834</v>
      </c>
      <c r="B426" s="35" t="s">
        <v>1065</v>
      </c>
      <c r="C426" s="35" t="s">
        <v>284</v>
      </c>
      <c r="D426" s="36">
        <v>42700</v>
      </c>
      <c r="E426" s="35" t="s">
        <v>1071</v>
      </c>
      <c r="F426" s="35" t="s">
        <v>14</v>
      </c>
      <c r="G426" s="35" t="s">
        <v>50</v>
      </c>
      <c r="H426" s="35" t="s">
        <v>1085</v>
      </c>
      <c r="I426" s="37">
        <v>0.68055555555555558</v>
      </c>
      <c r="J426" s="35" t="s">
        <v>612</v>
      </c>
      <c r="K426" s="35" t="s">
        <v>14</v>
      </c>
      <c r="L426" s="35" t="s">
        <v>14</v>
      </c>
    </row>
    <row r="427" spans="1:12" ht="13.2">
      <c r="A427" s="34">
        <v>20762</v>
      </c>
      <c r="B427" s="35" t="s">
        <v>1065</v>
      </c>
      <c r="C427" s="35" t="s">
        <v>284</v>
      </c>
      <c r="D427" s="36">
        <v>42693</v>
      </c>
      <c r="E427" s="35" t="s">
        <v>50</v>
      </c>
      <c r="F427" s="35" t="s">
        <v>14</v>
      </c>
      <c r="G427" s="35" t="s">
        <v>1073</v>
      </c>
      <c r="H427" s="35" t="s">
        <v>1086</v>
      </c>
      <c r="I427" s="37">
        <v>0.49305555555555558</v>
      </c>
      <c r="J427" s="35" t="s">
        <v>287</v>
      </c>
      <c r="K427" s="35" t="s">
        <v>567</v>
      </c>
      <c r="L427" s="35" t="s">
        <v>289</v>
      </c>
    </row>
    <row r="428" spans="1:12" ht="13.2">
      <c r="A428" s="34">
        <v>20682</v>
      </c>
      <c r="B428" s="35" t="s">
        <v>1065</v>
      </c>
      <c r="C428" s="35" t="s">
        <v>284</v>
      </c>
      <c r="D428" s="36">
        <v>42686</v>
      </c>
      <c r="E428" s="35" t="s">
        <v>56</v>
      </c>
      <c r="F428" s="35" t="s">
        <v>14</v>
      </c>
      <c r="G428" s="35" t="s">
        <v>50</v>
      </c>
      <c r="H428" s="35" t="s">
        <v>1087</v>
      </c>
      <c r="I428" s="37">
        <v>0.48958333333333331</v>
      </c>
      <c r="J428" s="35" t="s">
        <v>331</v>
      </c>
      <c r="K428" s="35" t="s">
        <v>14</v>
      </c>
      <c r="L428" s="35" t="s">
        <v>14</v>
      </c>
    </row>
    <row r="429" spans="1:12" ht="13.2">
      <c r="A429" s="34">
        <v>20602</v>
      </c>
      <c r="B429" s="35" t="s">
        <v>1088</v>
      </c>
      <c r="C429" s="35" t="s">
        <v>284</v>
      </c>
      <c r="D429" s="36">
        <v>42784</v>
      </c>
      <c r="E429" s="35" t="s">
        <v>86</v>
      </c>
      <c r="F429" s="35" t="s">
        <v>14</v>
      </c>
      <c r="G429" s="35" t="s">
        <v>85</v>
      </c>
      <c r="H429" s="35" t="s">
        <v>1089</v>
      </c>
      <c r="I429" s="37">
        <v>0.625</v>
      </c>
      <c r="J429" s="35" t="s">
        <v>678</v>
      </c>
      <c r="K429" s="35" t="s">
        <v>14</v>
      </c>
      <c r="L429" s="35" t="s">
        <v>14</v>
      </c>
    </row>
    <row r="430" spans="1:12" ht="13.2">
      <c r="A430" s="34">
        <v>20587</v>
      </c>
      <c r="B430" s="35" t="s">
        <v>1088</v>
      </c>
      <c r="C430" s="35" t="s">
        <v>284</v>
      </c>
      <c r="D430" s="36">
        <v>42777</v>
      </c>
      <c r="E430" s="35" t="s">
        <v>85</v>
      </c>
      <c r="F430" s="35" t="s">
        <v>14</v>
      </c>
      <c r="G430" s="35" t="s">
        <v>142</v>
      </c>
      <c r="H430" s="35" t="s">
        <v>1090</v>
      </c>
      <c r="I430" s="37">
        <v>0.70833333333333337</v>
      </c>
      <c r="J430" s="35" t="s">
        <v>287</v>
      </c>
      <c r="K430" s="35" t="s">
        <v>584</v>
      </c>
      <c r="L430" s="35" t="s">
        <v>289</v>
      </c>
    </row>
    <row r="431" spans="1:12" ht="13.2">
      <c r="A431" s="34">
        <v>20533</v>
      </c>
      <c r="B431" s="35" t="s">
        <v>1088</v>
      </c>
      <c r="C431" s="35" t="s">
        <v>284</v>
      </c>
      <c r="D431" s="36">
        <v>42763</v>
      </c>
      <c r="E431" s="35" t="s">
        <v>85</v>
      </c>
      <c r="F431" s="35" t="s">
        <v>14</v>
      </c>
      <c r="G431" s="35" t="s">
        <v>1091</v>
      </c>
      <c r="H431" s="35" t="s">
        <v>1092</v>
      </c>
      <c r="I431" s="37">
        <v>0.75</v>
      </c>
      <c r="J431" s="35" t="s">
        <v>287</v>
      </c>
      <c r="K431" s="35" t="s">
        <v>606</v>
      </c>
      <c r="L431" s="35" t="s">
        <v>289</v>
      </c>
    </row>
    <row r="432" spans="1:12" ht="13.2">
      <c r="A432" s="34">
        <v>20458</v>
      </c>
      <c r="B432" s="35" t="s">
        <v>1088</v>
      </c>
      <c r="C432" s="35" t="s">
        <v>284</v>
      </c>
      <c r="D432" s="36">
        <v>42756</v>
      </c>
      <c r="E432" s="35" t="s">
        <v>1093</v>
      </c>
      <c r="F432" s="35" t="s">
        <v>14</v>
      </c>
      <c r="G432" s="35" t="s">
        <v>85</v>
      </c>
      <c r="H432" s="35" t="s">
        <v>1094</v>
      </c>
      <c r="I432" s="37">
        <v>0.76041666666666663</v>
      </c>
      <c r="J432" s="35" t="s">
        <v>376</v>
      </c>
      <c r="K432" s="35" t="s">
        <v>14</v>
      </c>
      <c r="L432" s="35" t="s">
        <v>14</v>
      </c>
    </row>
    <row r="433" spans="1:12" ht="13.2">
      <c r="A433" s="34">
        <v>20311</v>
      </c>
      <c r="B433" s="35" t="s">
        <v>1088</v>
      </c>
      <c r="C433" s="35" t="s">
        <v>284</v>
      </c>
      <c r="D433" s="36">
        <v>42714</v>
      </c>
      <c r="E433" s="35" t="s">
        <v>142</v>
      </c>
      <c r="F433" s="35" t="s">
        <v>14</v>
      </c>
      <c r="G433" s="35" t="s">
        <v>85</v>
      </c>
      <c r="H433" s="35" t="s">
        <v>1095</v>
      </c>
      <c r="I433" s="37">
        <v>0.54861111111111116</v>
      </c>
      <c r="J433" s="35" t="s">
        <v>968</v>
      </c>
      <c r="K433" s="35" t="s">
        <v>14</v>
      </c>
      <c r="L433" s="35" t="s">
        <v>14</v>
      </c>
    </row>
    <row r="434" spans="1:12" ht="13.2">
      <c r="A434" s="34">
        <v>20173</v>
      </c>
      <c r="B434" s="35" t="s">
        <v>1088</v>
      </c>
      <c r="C434" s="35" t="s">
        <v>284</v>
      </c>
      <c r="D434" s="36">
        <v>42805</v>
      </c>
      <c r="E434" s="35" t="s">
        <v>85</v>
      </c>
      <c r="F434" s="35" t="s">
        <v>14</v>
      </c>
      <c r="G434" s="35" t="s">
        <v>1096</v>
      </c>
      <c r="H434" s="35" t="s">
        <v>1097</v>
      </c>
      <c r="I434" s="37">
        <v>0.66666666666666663</v>
      </c>
      <c r="J434" s="35" t="s">
        <v>287</v>
      </c>
      <c r="K434" s="35" t="s">
        <v>328</v>
      </c>
      <c r="L434" s="35" t="s">
        <v>289</v>
      </c>
    </row>
    <row r="435" spans="1:12" ht="13.2">
      <c r="A435" s="34">
        <v>20007</v>
      </c>
      <c r="B435" s="35" t="s">
        <v>1088</v>
      </c>
      <c r="C435" s="35" t="s">
        <v>284</v>
      </c>
      <c r="D435" s="36">
        <v>42770</v>
      </c>
      <c r="E435" s="35" t="s">
        <v>267</v>
      </c>
      <c r="F435" s="35" t="s">
        <v>14</v>
      </c>
      <c r="G435" s="35" t="s">
        <v>85</v>
      </c>
      <c r="H435" s="35" t="s">
        <v>1098</v>
      </c>
      <c r="I435" s="37">
        <v>0.51388888888888884</v>
      </c>
      <c r="J435" s="35" t="s">
        <v>867</v>
      </c>
      <c r="K435" s="35" t="s">
        <v>14</v>
      </c>
      <c r="L435" s="35" t="s">
        <v>14</v>
      </c>
    </row>
    <row r="436" spans="1:12" ht="13.2">
      <c r="A436" s="34">
        <v>19956</v>
      </c>
      <c r="B436" s="35" t="s">
        <v>1088</v>
      </c>
      <c r="C436" s="35" t="s">
        <v>284</v>
      </c>
      <c r="D436" s="36">
        <v>42749</v>
      </c>
      <c r="E436" s="35" t="s">
        <v>85</v>
      </c>
      <c r="F436" s="35" t="s">
        <v>14</v>
      </c>
      <c r="G436" s="35" t="s">
        <v>1099</v>
      </c>
      <c r="H436" s="35" t="s">
        <v>1100</v>
      </c>
      <c r="I436" s="37">
        <v>0.66666666666666663</v>
      </c>
      <c r="J436" s="35" t="s">
        <v>287</v>
      </c>
      <c r="K436" s="35" t="s">
        <v>584</v>
      </c>
      <c r="L436" s="35" t="s">
        <v>289</v>
      </c>
    </row>
    <row r="437" spans="1:12" ht="13.2">
      <c r="A437" s="34">
        <v>19918</v>
      </c>
      <c r="B437" s="35" t="s">
        <v>1088</v>
      </c>
      <c r="C437" s="35" t="s">
        <v>284</v>
      </c>
      <c r="D437" s="36">
        <v>42742</v>
      </c>
      <c r="E437" s="35" t="s">
        <v>1096</v>
      </c>
      <c r="F437" s="35" t="s">
        <v>14</v>
      </c>
      <c r="G437" s="35" t="s">
        <v>85</v>
      </c>
      <c r="H437" s="35" t="s">
        <v>1101</v>
      </c>
      <c r="I437" s="37">
        <v>0.58680555555555558</v>
      </c>
      <c r="J437" s="35" t="s">
        <v>985</v>
      </c>
      <c r="K437" s="35" t="s">
        <v>14</v>
      </c>
      <c r="L437" s="35" t="s">
        <v>14</v>
      </c>
    </row>
    <row r="438" spans="1:12" ht="13.2">
      <c r="A438" s="34">
        <v>19904</v>
      </c>
      <c r="B438" s="35" t="s">
        <v>1088</v>
      </c>
      <c r="C438" s="35" t="s">
        <v>284</v>
      </c>
      <c r="D438" s="36">
        <v>42721</v>
      </c>
      <c r="E438" s="35" t="s">
        <v>85</v>
      </c>
      <c r="F438" s="35" t="s">
        <v>14</v>
      </c>
      <c r="G438" s="35" t="s">
        <v>86</v>
      </c>
      <c r="H438" s="35" t="s">
        <v>1102</v>
      </c>
      <c r="I438" s="37">
        <v>0.41666666666666669</v>
      </c>
      <c r="J438" s="35" t="s">
        <v>373</v>
      </c>
      <c r="K438" s="35" t="s">
        <v>567</v>
      </c>
      <c r="L438" s="35" t="s">
        <v>289</v>
      </c>
    </row>
    <row r="439" spans="1:12" ht="13.2">
      <c r="A439" s="34">
        <v>19849</v>
      </c>
      <c r="B439" s="35" t="s">
        <v>1088</v>
      </c>
      <c r="C439" s="35" t="s">
        <v>284</v>
      </c>
      <c r="D439" s="36">
        <v>42707</v>
      </c>
      <c r="E439" s="35" t="s">
        <v>85</v>
      </c>
      <c r="F439" s="35" t="s">
        <v>14</v>
      </c>
      <c r="G439" s="35" t="s">
        <v>267</v>
      </c>
      <c r="H439" s="35" t="s">
        <v>1103</v>
      </c>
      <c r="I439" s="37">
        <v>0.625</v>
      </c>
      <c r="J439" s="35" t="s">
        <v>287</v>
      </c>
      <c r="K439" s="35" t="s">
        <v>301</v>
      </c>
      <c r="L439" s="35" t="s">
        <v>289</v>
      </c>
    </row>
    <row r="440" spans="1:12" ht="13.2">
      <c r="A440" s="34">
        <v>19814</v>
      </c>
      <c r="B440" s="35" t="s">
        <v>1088</v>
      </c>
      <c r="C440" s="35" t="s">
        <v>284</v>
      </c>
      <c r="D440" s="36">
        <v>42700</v>
      </c>
      <c r="E440" s="35" t="s">
        <v>1091</v>
      </c>
      <c r="F440" s="35" t="s">
        <v>14</v>
      </c>
      <c r="G440" s="35" t="s">
        <v>85</v>
      </c>
      <c r="H440" s="35" t="s">
        <v>1104</v>
      </c>
      <c r="I440" s="37">
        <v>0.59027777777777779</v>
      </c>
      <c r="J440" s="35" t="s">
        <v>320</v>
      </c>
      <c r="K440" s="35" t="s">
        <v>14</v>
      </c>
      <c r="L440" s="35" t="s">
        <v>14</v>
      </c>
    </row>
    <row r="441" spans="1:12" ht="13.2">
      <c r="A441" s="34">
        <v>19741</v>
      </c>
      <c r="B441" s="35" t="s">
        <v>1088</v>
      </c>
      <c r="C441" s="35" t="s">
        <v>284</v>
      </c>
      <c r="D441" s="36">
        <v>42693</v>
      </c>
      <c r="E441" s="35" t="s">
        <v>85</v>
      </c>
      <c r="F441" s="35" t="s">
        <v>14</v>
      </c>
      <c r="G441" s="35" t="s">
        <v>1093</v>
      </c>
      <c r="H441" s="35" t="s">
        <v>1105</v>
      </c>
      <c r="I441" s="37">
        <v>0.61805555555555558</v>
      </c>
      <c r="J441" s="35" t="s">
        <v>287</v>
      </c>
      <c r="K441" s="35" t="s">
        <v>606</v>
      </c>
      <c r="L441" s="35" t="s">
        <v>289</v>
      </c>
    </row>
    <row r="442" spans="1:12" ht="13.2">
      <c r="A442" s="34">
        <v>19668</v>
      </c>
      <c r="B442" s="35" t="s">
        <v>1088</v>
      </c>
      <c r="C442" s="35" t="s">
        <v>284</v>
      </c>
      <c r="D442" s="36">
        <v>42686</v>
      </c>
      <c r="E442" s="35" t="s">
        <v>1099</v>
      </c>
      <c r="F442" s="35" t="s">
        <v>14</v>
      </c>
      <c r="G442" s="35" t="s">
        <v>85</v>
      </c>
      <c r="H442" s="35" t="s">
        <v>1106</v>
      </c>
      <c r="I442" s="37">
        <v>0.51041666666666663</v>
      </c>
      <c r="J442" s="35" t="s">
        <v>331</v>
      </c>
      <c r="K442" s="35" t="s">
        <v>14</v>
      </c>
      <c r="L442" s="35" t="s">
        <v>14</v>
      </c>
    </row>
    <row r="443" spans="1:12" ht="13.2">
      <c r="A443" s="34">
        <v>19560</v>
      </c>
      <c r="B443" s="35" t="s">
        <v>1107</v>
      </c>
      <c r="C443" s="35" t="s">
        <v>284</v>
      </c>
      <c r="D443" s="36">
        <v>42784</v>
      </c>
      <c r="E443" s="35" t="s">
        <v>83</v>
      </c>
      <c r="F443" s="35" t="s">
        <v>14</v>
      </c>
      <c r="G443" s="35" t="s">
        <v>91</v>
      </c>
      <c r="H443" s="35" t="s">
        <v>1108</v>
      </c>
      <c r="I443" s="37">
        <v>0.69444444444444442</v>
      </c>
      <c r="J443" s="35" t="s">
        <v>968</v>
      </c>
      <c r="K443" s="35" t="s">
        <v>14</v>
      </c>
      <c r="L443" s="35" t="s">
        <v>14</v>
      </c>
    </row>
    <row r="444" spans="1:12" ht="13.2">
      <c r="A444" s="34">
        <v>19552</v>
      </c>
      <c r="B444" s="35" t="s">
        <v>1107</v>
      </c>
      <c r="C444" s="35" t="s">
        <v>284</v>
      </c>
      <c r="D444" s="36">
        <v>42777</v>
      </c>
      <c r="E444" s="35" t="s">
        <v>91</v>
      </c>
      <c r="F444" s="35" t="s">
        <v>14</v>
      </c>
      <c r="G444" s="35" t="s">
        <v>1109</v>
      </c>
      <c r="H444" s="35" t="s">
        <v>1110</v>
      </c>
      <c r="I444" s="37">
        <v>0.79861111111111116</v>
      </c>
      <c r="J444" s="35" t="s">
        <v>287</v>
      </c>
      <c r="K444" s="35" t="s">
        <v>567</v>
      </c>
      <c r="L444" s="35" t="s">
        <v>289</v>
      </c>
    </row>
    <row r="445" spans="1:12" ht="13.2">
      <c r="A445" s="34">
        <v>19471</v>
      </c>
      <c r="B445" s="35" t="s">
        <v>1107</v>
      </c>
      <c r="C445" s="35" t="s">
        <v>284</v>
      </c>
      <c r="D445" s="36">
        <v>42763</v>
      </c>
      <c r="E445" s="35" t="s">
        <v>91</v>
      </c>
      <c r="F445" s="35" t="s">
        <v>14</v>
      </c>
      <c r="G445" s="35" t="s">
        <v>1111</v>
      </c>
      <c r="H445" s="35" t="s">
        <v>1112</v>
      </c>
      <c r="I445" s="37">
        <v>0.79166666666666663</v>
      </c>
      <c r="J445" s="35" t="s">
        <v>287</v>
      </c>
      <c r="K445" s="35" t="s">
        <v>566</v>
      </c>
      <c r="L445" s="35" t="s">
        <v>289</v>
      </c>
    </row>
    <row r="446" spans="1:12" ht="13.2">
      <c r="A446" s="34">
        <v>19419</v>
      </c>
      <c r="B446" s="35" t="s">
        <v>1113</v>
      </c>
      <c r="C446" s="35" t="s">
        <v>284</v>
      </c>
      <c r="D446" s="36">
        <v>42763</v>
      </c>
      <c r="E446" s="35" t="s">
        <v>82</v>
      </c>
      <c r="F446" s="35" t="s">
        <v>14</v>
      </c>
      <c r="G446" s="35" t="s">
        <v>1114</v>
      </c>
      <c r="H446" s="35" t="s">
        <v>1115</v>
      </c>
      <c r="I446" s="37">
        <v>0.70833333333333337</v>
      </c>
      <c r="J446" s="35" t="s">
        <v>305</v>
      </c>
      <c r="K446" s="35" t="s">
        <v>301</v>
      </c>
      <c r="L446" s="35" t="s">
        <v>289</v>
      </c>
    </row>
    <row r="447" spans="1:12" ht="13.2">
      <c r="A447" s="34">
        <v>19349</v>
      </c>
      <c r="B447" s="35" t="s">
        <v>1107</v>
      </c>
      <c r="C447" s="35" t="s">
        <v>284</v>
      </c>
      <c r="D447" s="36">
        <v>42756</v>
      </c>
      <c r="E447" s="35" t="s">
        <v>1116</v>
      </c>
      <c r="F447" s="35" t="s">
        <v>14</v>
      </c>
      <c r="G447" s="35" t="s">
        <v>91</v>
      </c>
      <c r="H447" s="35" t="s">
        <v>1117</v>
      </c>
      <c r="I447" s="37">
        <v>0.45833333333333331</v>
      </c>
      <c r="J447" s="35" t="s">
        <v>295</v>
      </c>
      <c r="K447" s="35" t="s">
        <v>14</v>
      </c>
      <c r="L447" s="35" t="s">
        <v>14</v>
      </c>
    </row>
    <row r="448" spans="1:12" ht="13.2">
      <c r="A448" s="34">
        <v>19342</v>
      </c>
      <c r="B448" s="35" t="s">
        <v>1113</v>
      </c>
      <c r="C448" s="35" t="s">
        <v>284</v>
      </c>
      <c r="D448" s="36">
        <v>42756</v>
      </c>
      <c r="E448" s="35" t="s">
        <v>1118</v>
      </c>
      <c r="F448" s="35" t="s">
        <v>14</v>
      </c>
      <c r="G448" s="35" t="s">
        <v>82</v>
      </c>
      <c r="H448" s="35" t="s">
        <v>1119</v>
      </c>
      <c r="I448" s="37">
        <v>0.64930555555555558</v>
      </c>
      <c r="J448" s="35" t="s">
        <v>1120</v>
      </c>
      <c r="K448" s="35" t="s">
        <v>14</v>
      </c>
      <c r="L448" s="35" t="s">
        <v>14</v>
      </c>
    </row>
    <row r="449" spans="1:12" ht="13.2">
      <c r="A449" s="34">
        <v>19286</v>
      </c>
      <c r="B449" s="35" t="s">
        <v>1113</v>
      </c>
      <c r="C449" s="35" t="s">
        <v>284</v>
      </c>
      <c r="D449" s="36">
        <v>42749</v>
      </c>
      <c r="E449" s="35" t="s">
        <v>82</v>
      </c>
      <c r="F449" s="35" t="s">
        <v>14</v>
      </c>
      <c r="G449" s="35" t="s">
        <v>1121</v>
      </c>
      <c r="H449" s="35" t="s">
        <v>1122</v>
      </c>
      <c r="I449" s="37">
        <v>0.84375</v>
      </c>
      <c r="J449" s="35" t="s">
        <v>373</v>
      </c>
      <c r="K449" s="35" t="s">
        <v>566</v>
      </c>
      <c r="L449" s="35" t="s">
        <v>289</v>
      </c>
    </row>
    <row r="450" spans="1:12" ht="13.2">
      <c r="A450" s="34">
        <v>19136</v>
      </c>
      <c r="B450" s="35" t="s">
        <v>1113</v>
      </c>
      <c r="C450" s="35" t="s">
        <v>284</v>
      </c>
      <c r="D450" s="36">
        <v>42721</v>
      </c>
      <c r="E450" s="35" t="s">
        <v>1123</v>
      </c>
      <c r="F450" s="35" t="s">
        <v>14</v>
      </c>
      <c r="G450" s="35" t="s">
        <v>82</v>
      </c>
      <c r="H450" s="35" t="s">
        <v>1124</v>
      </c>
      <c r="I450" s="37">
        <v>0.76736111111111116</v>
      </c>
      <c r="J450" s="35" t="s">
        <v>1125</v>
      </c>
      <c r="K450" s="35" t="s">
        <v>14</v>
      </c>
      <c r="L450" s="35" t="s">
        <v>14</v>
      </c>
    </row>
    <row r="451" spans="1:12" ht="13.2">
      <c r="A451" s="34">
        <v>19125</v>
      </c>
      <c r="B451" s="35" t="s">
        <v>1107</v>
      </c>
      <c r="C451" s="35" t="s">
        <v>284</v>
      </c>
      <c r="D451" s="36">
        <v>42714</v>
      </c>
      <c r="E451" s="35" t="s">
        <v>1109</v>
      </c>
      <c r="F451" s="35" t="s">
        <v>14</v>
      </c>
      <c r="G451" s="35" t="s">
        <v>91</v>
      </c>
      <c r="H451" s="35" t="s">
        <v>1126</v>
      </c>
      <c r="I451" s="37">
        <v>0.65625</v>
      </c>
      <c r="J451" s="35" t="s">
        <v>405</v>
      </c>
      <c r="K451" s="35" t="s">
        <v>14</v>
      </c>
      <c r="L451" s="35" t="s">
        <v>14</v>
      </c>
    </row>
    <row r="452" spans="1:12" ht="13.2">
      <c r="A452" s="34">
        <v>19021</v>
      </c>
      <c r="B452" s="35" t="s">
        <v>1113</v>
      </c>
      <c r="C452" s="35" t="s">
        <v>284</v>
      </c>
      <c r="D452" s="36">
        <v>42707</v>
      </c>
      <c r="E452" s="35" t="s">
        <v>82</v>
      </c>
      <c r="F452" s="35" t="s">
        <v>14</v>
      </c>
      <c r="G452" s="35" t="s">
        <v>1127</v>
      </c>
      <c r="H452" s="35" t="s">
        <v>1128</v>
      </c>
      <c r="I452" s="37">
        <v>0.66666666666666663</v>
      </c>
      <c r="J452" s="35" t="s">
        <v>287</v>
      </c>
      <c r="K452" s="35" t="s">
        <v>301</v>
      </c>
      <c r="L452" s="35" t="s">
        <v>289</v>
      </c>
    </row>
    <row r="453" spans="1:12" ht="13.2">
      <c r="A453" s="34">
        <v>18939</v>
      </c>
      <c r="B453" s="35" t="s">
        <v>1107</v>
      </c>
      <c r="C453" s="35" t="s">
        <v>284</v>
      </c>
      <c r="D453" s="36">
        <v>42805</v>
      </c>
      <c r="E453" s="35" t="s">
        <v>91</v>
      </c>
      <c r="F453" s="35" t="s">
        <v>14</v>
      </c>
      <c r="G453" s="35" t="s">
        <v>1129</v>
      </c>
      <c r="H453" s="35" t="s">
        <v>1130</v>
      </c>
      <c r="I453" s="37">
        <v>0.71180555555555558</v>
      </c>
      <c r="J453" s="35" t="s">
        <v>287</v>
      </c>
      <c r="K453" s="35" t="s">
        <v>328</v>
      </c>
      <c r="L453" s="35" t="s">
        <v>289</v>
      </c>
    </row>
    <row r="454" spans="1:12" ht="13.2">
      <c r="A454" s="34">
        <v>18925</v>
      </c>
      <c r="B454" s="35" t="s">
        <v>1113</v>
      </c>
      <c r="C454" s="35" t="s">
        <v>284</v>
      </c>
      <c r="D454" s="36">
        <v>42805</v>
      </c>
      <c r="E454" s="35" t="s">
        <v>1131</v>
      </c>
      <c r="F454" s="35" t="s">
        <v>14</v>
      </c>
      <c r="G454" s="35" t="s">
        <v>82</v>
      </c>
      <c r="H454" s="35" t="s">
        <v>1132</v>
      </c>
      <c r="I454" s="37">
        <v>0.72916666666666663</v>
      </c>
      <c r="J454" s="35" t="s">
        <v>352</v>
      </c>
      <c r="K454" s="35" t="s">
        <v>14</v>
      </c>
      <c r="L454" s="35" t="s">
        <v>14</v>
      </c>
    </row>
    <row r="455" spans="1:12" ht="13.2">
      <c r="A455" s="34">
        <v>18860</v>
      </c>
      <c r="B455" s="35" t="s">
        <v>1113</v>
      </c>
      <c r="C455" s="35" t="s">
        <v>284</v>
      </c>
      <c r="D455" s="36">
        <v>42784</v>
      </c>
      <c r="E455" s="35" t="s">
        <v>82</v>
      </c>
      <c r="F455" s="35" t="s">
        <v>14</v>
      </c>
      <c r="G455" s="35" t="s">
        <v>1123</v>
      </c>
      <c r="H455" s="35" t="s">
        <v>1133</v>
      </c>
      <c r="I455" s="37">
        <v>0.59027777777777779</v>
      </c>
      <c r="J455" s="35" t="s">
        <v>287</v>
      </c>
      <c r="K455" s="35" t="s">
        <v>606</v>
      </c>
      <c r="L455" s="35" t="s">
        <v>289</v>
      </c>
    </row>
    <row r="456" spans="1:12" ht="13.2">
      <c r="A456" s="34">
        <v>18781</v>
      </c>
      <c r="B456" s="35" t="s">
        <v>1113</v>
      </c>
      <c r="C456" s="35" t="s">
        <v>284</v>
      </c>
      <c r="D456" s="36">
        <v>42777</v>
      </c>
      <c r="E456" s="35" t="s">
        <v>82</v>
      </c>
      <c r="F456" s="35" t="s">
        <v>14</v>
      </c>
      <c r="G456" s="35" t="s">
        <v>1134</v>
      </c>
      <c r="H456" s="35" t="s">
        <v>1135</v>
      </c>
      <c r="I456" s="37">
        <v>0.75</v>
      </c>
      <c r="J456" s="35" t="s">
        <v>287</v>
      </c>
      <c r="K456" s="35" t="s">
        <v>584</v>
      </c>
      <c r="L456" s="35" t="s">
        <v>289</v>
      </c>
    </row>
    <row r="457" spans="1:12" ht="13.2">
      <c r="A457" s="34">
        <v>18732</v>
      </c>
      <c r="B457" s="35" t="s">
        <v>1113</v>
      </c>
      <c r="C457" s="35" t="s">
        <v>284</v>
      </c>
      <c r="D457" s="36">
        <v>42770</v>
      </c>
      <c r="E457" s="35" t="s">
        <v>1127</v>
      </c>
      <c r="F457" s="35" t="s">
        <v>14</v>
      </c>
      <c r="G457" s="35" t="s">
        <v>82</v>
      </c>
      <c r="H457" s="35" t="s">
        <v>1136</v>
      </c>
      <c r="I457" s="37">
        <v>0.63194444444444442</v>
      </c>
      <c r="J457" s="35" t="s">
        <v>1137</v>
      </c>
      <c r="K457" s="35" t="s">
        <v>14</v>
      </c>
      <c r="L457" s="35" t="s">
        <v>14</v>
      </c>
    </row>
    <row r="458" spans="1:12" ht="13.2">
      <c r="A458" s="34">
        <v>18693</v>
      </c>
      <c r="B458" s="35" t="s">
        <v>1107</v>
      </c>
      <c r="C458" s="35" t="s">
        <v>284</v>
      </c>
      <c r="D458" s="36">
        <v>42770</v>
      </c>
      <c r="E458" s="35" t="s">
        <v>1138</v>
      </c>
      <c r="F458" s="35" t="s">
        <v>14</v>
      </c>
      <c r="G458" s="35" t="s">
        <v>91</v>
      </c>
      <c r="H458" s="35" t="s">
        <v>1139</v>
      </c>
      <c r="I458" s="37">
        <v>0.68402777777777779</v>
      </c>
      <c r="J458" s="35" t="s">
        <v>1140</v>
      </c>
      <c r="K458" s="35" t="s">
        <v>14</v>
      </c>
      <c r="L458" s="35" t="s">
        <v>14</v>
      </c>
    </row>
    <row r="459" spans="1:12" ht="13.2">
      <c r="A459" s="34">
        <v>18623</v>
      </c>
      <c r="B459" s="35" t="s">
        <v>1107</v>
      </c>
      <c r="C459" s="35" t="s">
        <v>284</v>
      </c>
      <c r="D459" s="36">
        <v>42749</v>
      </c>
      <c r="E459" s="35" t="s">
        <v>91</v>
      </c>
      <c r="F459" s="35" t="s">
        <v>14</v>
      </c>
      <c r="G459" s="35" t="s">
        <v>1141</v>
      </c>
      <c r="H459" s="35" t="s">
        <v>1142</v>
      </c>
      <c r="I459" s="37">
        <v>0.70833333333333337</v>
      </c>
      <c r="J459" s="35" t="s">
        <v>287</v>
      </c>
      <c r="K459" s="35" t="s">
        <v>328</v>
      </c>
      <c r="L459" s="35" t="s">
        <v>289</v>
      </c>
    </row>
    <row r="460" spans="1:12" ht="13.2">
      <c r="A460" s="34">
        <v>18569</v>
      </c>
      <c r="B460" s="35" t="s">
        <v>1113</v>
      </c>
      <c r="C460" s="35" t="s">
        <v>284</v>
      </c>
      <c r="D460" s="36">
        <v>42742</v>
      </c>
      <c r="E460" s="35" t="s">
        <v>82</v>
      </c>
      <c r="F460" s="35" t="s">
        <v>14</v>
      </c>
      <c r="G460" s="35" t="s">
        <v>1131</v>
      </c>
      <c r="H460" s="35" t="s">
        <v>1143</v>
      </c>
      <c r="I460" s="37">
        <v>0.54166666666666663</v>
      </c>
      <c r="J460" s="35" t="s">
        <v>287</v>
      </c>
      <c r="K460" s="35" t="s">
        <v>14</v>
      </c>
      <c r="L460" s="35" t="s">
        <v>289</v>
      </c>
    </row>
    <row r="461" spans="1:12" ht="13.2">
      <c r="A461" s="34">
        <v>18557</v>
      </c>
      <c r="B461" s="35" t="s">
        <v>1107</v>
      </c>
      <c r="C461" s="35" t="s">
        <v>284</v>
      </c>
      <c r="D461" s="36">
        <v>42742</v>
      </c>
      <c r="E461" s="35" t="s">
        <v>1129</v>
      </c>
      <c r="F461" s="35" t="s">
        <v>14</v>
      </c>
      <c r="G461" s="35" t="s">
        <v>91</v>
      </c>
      <c r="H461" s="35" t="s">
        <v>1144</v>
      </c>
      <c r="I461" s="37">
        <v>0.6875</v>
      </c>
      <c r="J461" s="35" t="s">
        <v>459</v>
      </c>
      <c r="K461" s="35" t="s">
        <v>14</v>
      </c>
      <c r="L461" s="35" t="s">
        <v>14</v>
      </c>
    </row>
    <row r="462" spans="1:12" ht="13.2">
      <c r="A462" s="34">
        <v>18543</v>
      </c>
      <c r="B462" s="35" t="s">
        <v>1107</v>
      </c>
      <c r="C462" s="35" t="s">
        <v>284</v>
      </c>
      <c r="D462" s="36">
        <v>42721</v>
      </c>
      <c r="E462" s="35" t="s">
        <v>91</v>
      </c>
      <c r="F462" s="35" t="s">
        <v>14</v>
      </c>
      <c r="G462" s="35" t="s">
        <v>83</v>
      </c>
      <c r="H462" s="35" t="s">
        <v>1145</v>
      </c>
      <c r="I462" s="37">
        <v>0.625</v>
      </c>
      <c r="J462" s="35" t="s">
        <v>287</v>
      </c>
      <c r="K462" s="35" t="s">
        <v>328</v>
      </c>
      <c r="L462" s="35" t="s">
        <v>289</v>
      </c>
    </row>
    <row r="463" spans="1:12" ht="13.2">
      <c r="A463" s="34">
        <v>18517</v>
      </c>
      <c r="B463" s="35" t="s">
        <v>1113</v>
      </c>
      <c r="C463" s="35" t="s">
        <v>284</v>
      </c>
      <c r="D463" s="36">
        <v>42714</v>
      </c>
      <c r="E463" s="35" t="s">
        <v>1134</v>
      </c>
      <c r="F463" s="35" t="s">
        <v>14</v>
      </c>
      <c r="G463" s="35" t="s">
        <v>82</v>
      </c>
      <c r="H463" s="35" t="s">
        <v>1146</v>
      </c>
      <c r="I463" s="37">
        <v>0.72222222222222221</v>
      </c>
      <c r="J463" s="35" t="s">
        <v>530</v>
      </c>
      <c r="K463" s="35" t="s">
        <v>14</v>
      </c>
      <c r="L463" s="35" t="s">
        <v>14</v>
      </c>
    </row>
    <row r="464" spans="1:12" ht="13.2">
      <c r="A464" s="34">
        <v>18465</v>
      </c>
      <c r="B464" s="35" t="s">
        <v>1107</v>
      </c>
      <c r="C464" s="35" t="s">
        <v>284</v>
      </c>
      <c r="D464" s="36">
        <v>42707</v>
      </c>
      <c r="E464" s="35" t="s">
        <v>91</v>
      </c>
      <c r="F464" s="35" t="s">
        <v>14</v>
      </c>
      <c r="G464" s="35" t="s">
        <v>1138</v>
      </c>
      <c r="H464" s="35" t="s">
        <v>1147</v>
      </c>
      <c r="I464" s="37">
        <v>0.71527777777777779</v>
      </c>
      <c r="J464" s="35" t="s">
        <v>287</v>
      </c>
      <c r="K464" s="35" t="s">
        <v>566</v>
      </c>
      <c r="L464" s="35" t="s">
        <v>289</v>
      </c>
    </row>
    <row r="465" spans="1:12" ht="13.2">
      <c r="A465" s="34">
        <v>18422</v>
      </c>
      <c r="B465" s="35" t="s">
        <v>1113</v>
      </c>
      <c r="C465" s="35" t="s">
        <v>284</v>
      </c>
      <c r="D465" s="36">
        <v>42700</v>
      </c>
      <c r="E465" s="35" t="s">
        <v>1114</v>
      </c>
      <c r="F465" s="35" t="s">
        <v>14</v>
      </c>
      <c r="G465" s="35" t="s">
        <v>82</v>
      </c>
      <c r="H465" s="35" t="s">
        <v>1148</v>
      </c>
      <c r="I465" s="37">
        <v>0.54166666666666663</v>
      </c>
      <c r="J465" s="35" t="s">
        <v>874</v>
      </c>
      <c r="K465" s="35" t="s">
        <v>14</v>
      </c>
      <c r="L465" s="35" t="s">
        <v>14</v>
      </c>
    </row>
    <row r="466" spans="1:12" ht="13.2">
      <c r="A466" s="34">
        <v>18400</v>
      </c>
      <c r="B466" s="35" t="s">
        <v>1107</v>
      </c>
      <c r="C466" s="35" t="s">
        <v>284</v>
      </c>
      <c r="D466" s="36">
        <v>42700</v>
      </c>
      <c r="E466" s="35" t="s">
        <v>1111</v>
      </c>
      <c r="F466" s="35" t="s">
        <v>14</v>
      </c>
      <c r="G466" s="35" t="s">
        <v>91</v>
      </c>
      <c r="H466" s="35" t="s">
        <v>1149</v>
      </c>
      <c r="I466" s="37">
        <v>0.69097222222222221</v>
      </c>
      <c r="J466" s="35" t="s">
        <v>467</v>
      </c>
      <c r="K466" s="35" t="s">
        <v>14</v>
      </c>
      <c r="L466" s="35" t="s">
        <v>14</v>
      </c>
    </row>
    <row r="467" spans="1:12" ht="13.2">
      <c r="A467" s="34">
        <v>18306</v>
      </c>
      <c r="B467" s="35" t="s">
        <v>1107</v>
      </c>
      <c r="C467" s="35" t="s">
        <v>284</v>
      </c>
      <c r="D467" s="36">
        <v>42693</v>
      </c>
      <c r="E467" s="35" t="s">
        <v>91</v>
      </c>
      <c r="F467" s="35" t="s">
        <v>14</v>
      </c>
      <c r="G467" s="35" t="s">
        <v>1116</v>
      </c>
      <c r="H467" s="35" t="s">
        <v>1150</v>
      </c>
      <c r="I467" s="37">
        <v>0.65972222222222221</v>
      </c>
      <c r="J467" s="35" t="s">
        <v>287</v>
      </c>
      <c r="K467" s="35" t="s">
        <v>301</v>
      </c>
      <c r="L467" s="35" t="s">
        <v>289</v>
      </c>
    </row>
    <row r="468" spans="1:12" ht="13.2">
      <c r="A468" s="34">
        <v>18280</v>
      </c>
      <c r="B468" s="35" t="s">
        <v>1113</v>
      </c>
      <c r="C468" s="35" t="s">
        <v>284</v>
      </c>
      <c r="D468" s="36">
        <v>42693</v>
      </c>
      <c r="E468" s="35" t="s">
        <v>82</v>
      </c>
      <c r="F468" s="35" t="s">
        <v>14</v>
      </c>
      <c r="G468" s="35" t="s">
        <v>1118</v>
      </c>
      <c r="H468" s="35" t="s">
        <v>1151</v>
      </c>
      <c r="I468" s="37">
        <v>0.75694444444444442</v>
      </c>
      <c r="J468" s="35" t="s">
        <v>305</v>
      </c>
      <c r="K468" s="35" t="s">
        <v>306</v>
      </c>
      <c r="L468" s="35" t="s">
        <v>289</v>
      </c>
    </row>
    <row r="469" spans="1:12" ht="13.2">
      <c r="A469" s="34">
        <v>18239</v>
      </c>
      <c r="B469" s="35" t="s">
        <v>1113</v>
      </c>
      <c r="C469" s="35" t="s">
        <v>284</v>
      </c>
      <c r="D469" s="36">
        <v>42686</v>
      </c>
      <c r="E469" s="35" t="s">
        <v>1121</v>
      </c>
      <c r="F469" s="35" t="s">
        <v>14</v>
      </c>
      <c r="G469" s="35" t="s">
        <v>82</v>
      </c>
      <c r="H469" s="35" t="s">
        <v>1152</v>
      </c>
      <c r="I469" s="37">
        <v>0.57638888888888884</v>
      </c>
      <c r="J469" s="35" t="s">
        <v>336</v>
      </c>
      <c r="K469" s="35" t="s">
        <v>14</v>
      </c>
      <c r="L469" s="35" t="s">
        <v>14</v>
      </c>
    </row>
    <row r="470" spans="1:12" ht="13.2">
      <c r="A470" s="34">
        <v>18198</v>
      </c>
      <c r="B470" s="35" t="s">
        <v>1107</v>
      </c>
      <c r="C470" s="35" t="s">
        <v>284</v>
      </c>
      <c r="D470" s="36">
        <v>42686</v>
      </c>
      <c r="E470" s="35" t="s">
        <v>1141</v>
      </c>
      <c r="F470" s="35" t="s">
        <v>14</v>
      </c>
      <c r="G470" s="35" t="s">
        <v>91</v>
      </c>
      <c r="H470" s="35" t="s">
        <v>1153</v>
      </c>
      <c r="I470" s="37">
        <v>0.59027777777777779</v>
      </c>
      <c r="J470" s="35" t="s">
        <v>454</v>
      </c>
      <c r="K470" s="35" t="s">
        <v>14</v>
      </c>
      <c r="L470" s="35" t="s">
        <v>14</v>
      </c>
    </row>
    <row r="471" spans="1:12" ht="13.2">
      <c r="A471" s="34">
        <v>18072</v>
      </c>
      <c r="B471" s="35" t="s">
        <v>283</v>
      </c>
      <c r="C471" s="35" t="s">
        <v>284</v>
      </c>
      <c r="D471" s="36">
        <v>42805</v>
      </c>
      <c r="E471" s="35" t="s">
        <v>285</v>
      </c>
      <c r="F471" s="35" t="s">
        <v>14</v>
      </c>
      <c r="G471" s="35" t="s">
        <v>109</v>
      </c>
      <c r="H471" s="35" t="s">
        <v>1154</v>
      </c>
      <c r="I471" s="37">
        <v>0.75694444444444442</v>
      </c>
      <c r="J471" s="35" t="s">
        <v>317</v>
      </c>
      <c r="K471" s="35" t="s">
        <v>14</v>
      </c>
      <c r="L471" s="35" t="s">
        <v>14</v>
      </c>
    </row>
    <row r="472" spans="1:12" ht="13.2">
      <c r="A472" s="34">
        <v>17980</v>
      </c>
      <c r="B472" s="35" t="s">
        <v>302</v>
      </c>
      <c r="C472" s="35" t="s">
        <v>284</v>
      </c>
      <c r="D472" s="36">
        <v>42805</v>
      </c>
      <c r="E472" s="35" t="s">
        <v>1155</v>
      </c>
      <c r="F472" s="35" t="s">
        <v>14</v>
      </c>
      <c r="G472" s="35" t="s">
        <v>88</v>
      </c>
      <c r="H472" s="35" t="s">
        <v>1156</v>
      </c>
      <c r="I472" s="37">
        <v>0.72222222222222221</v>
      </c>
      <c r="J472" s="35" t="s">
        <v>366</v>
      </c>
      <c r="K472" s="35" t="s">
        <v>14</v>
      </c>
      <c r="L472" s="35" t="s">
        <v>14</v>
      </c>
    </row>
    <row r="473" spans="1:12" ht="13.2">
      <c r="A473" s="34">
        <v>17853</v>
      </c>
      <c r="B473" s="35" t="s">
        <v>283</v>
      </c>
      <c r="C473" s="35" t="s">
        <v>284</v>
      </c>
      <c r="D473" s="36">
        <v>42777</v>
      </c>
      <c r="E473" s="35" t="s">
        <v>1157</v>
      </c>
      <c r="F473" s="35" t="s">
        <v>14</v>
      </c>
      <c r="G473" s="35" t="s">
        <v>109</v>
      </c>
      <c r="H473" s="35" t="s">
        <v>1158</v>
      </c>
      <c r="I473" s="37">
        <v>0.51041666666666663</v>
      </c>
      <c r="J473" s="35" t="s">
        <v>320</v>
      </c>
      <c r="K473" s="35" t="s">
        <v>14</v>
      </c>
      <c r="L473" s="35" t="s">
        <v>14</v>
      </c>
    </row>
    <row r="474" spans="1:12" ht="13.2">
      <c r="A474" s="34">
        <v>17790</v>
      </c>
      <c r="B474" s="35" t="s">
        <v>302</v>
      </c>
      <c r="C474" s="35" t="s">
        <v>284</v>
      </c>
      <c r="D474" s="36">
        <v>42770</v>
      </c>
      <c r="E474" s="35" t="s">
        <v>1159</v>
      </c>
      <c r="F474" s="35" t="s">
        <v>14</v>
      </c>
      <c r="G474" s="35" t="s">
        <v>88</v>
      </c>
      <c r="H474" s="35" t="s">
        <v>1160</v>
      </c>
      <c r="I474" s="37">
        <v>0.67013888888888884</v>
      </c>
      <c r="J474" s="35" t="s">
        <v>1161</v>
      </c>
      <c r="K474" s="35" t="s">
        <v>14</v>
      </c>
      <c r="L474" s="35" t="s">
        <v>14</v>
      </c>
    </row>
    <row r="475" spans="1:12" ht="13.2">
      <c r="A475" s="34">
        <v>17767</v>
      </c>
      <c r="B475" s="35" t="s">
        <v>283</v>
      </c>
      <c r="C475" s="35" t="s">
        <v>284</v>
      </c>
      <c r="D475" s="36">
        <v>42770</v>
      </c>
      <c r="E475" s="35" t="s">
        <v>109</v>
      </c>
      <c r="F475" s="35" t="s">
        <v>14</v>
      </c>
      <c r="G475" s="35" t="s">
        <v>1162</v>
      </c>
      <c r="H475" s="35" t="s">
        <v>1163</v>
      </c>
      <c r="I475" s="37">
        <v>0.68402777777777779</v>
      </c>
      <c r="J475" s="35" t="s">
        <v>287</v>
      </c>
      <c r="K475" s="35" t="s">
        <v>306</v>
      </c>
      <c r="L475" s="35" t="s">
        <v>289</v>
      </c>
    </row>
    <row r="476" spans="1:12" ht="13.2">
      <c r="A476" s="34">
        <v>17741</v>
      </c>
      <c r="B476" s="35" t="s">
        <v>302</v>
      </c>
      <c r="C476" s="35" t="s">
        <v>284</v>
      </c>
      <c r="D476" s="36">
        <v>42763</v>
      </c>
      <c r="E476" s="35" t="s">
        <v>88</v>
      </c>
      <c r="F476" s="35" t="s">
        <v>14</v>
      </c>
      <c r="G476" s="35" t="s">
        <v>1164</v>
      </c>
      <c r="H476" s="35" t="s">
        <v>1165</v>
      </c>
      <c r="I476" s="37">
        <v>0.84722222222222221</v>
      </c>
      <c r="J476" s="35" t="s">
        <v>287</v>
      </c>
      <c r="K476" s="35" t="s">
        <v>566</v>
      </c>
      <c r="L476" s="35" t="s">
        <v>289</v>
      </c>
    </row>
    <row r="477" spans="1:12" ht="13.2">
      <c r="A477" s="34">
        <v>17476</v>
      </c>
      <c r="B477" s="35" t="s">
        <v>283</v>
      </c>
      <c r="C477" s="35" t="s">
        <v>284</v>
      </c>
      <c r="D477" s="36">
        <v>42763</v>
      </c>
      <c r="E477" s="35" t="s">
        <v>296</v>
      </c>
      <c r="F477" s="35" t="s">
        <v>14</v>
      </c>
      <c r="G477" s="35" t="s">
        <v>109</v>
      </c>
      <c r="H477" s="35" t="s">
        <v>1166</v>
      </c>
      <c r="I477" s="37">
        <v>0.78819444444444442</v>
      </c>
      <c r="J477" s="35" t="s">
        <v>325</v>
      </c>
      <c r="K477" s="35" t="s">
        <v>14</v>
      </c>
      <c r="L477" s="35" t="s">
        <v>14</v>
      </c>
    </row>
    <row r="478" spans="1:12" ht="13.2">
      <c r="A478" s="34">
        <v>17439</v>
      </c>
      <c r="B478" s="35" t="s">
        <v>302</v>
      </c>
      <c r="C478" s="35" t="s">
        <v>284</v>
      </c>
      <c r="D478" s="36">
        <v>42756</v>
      </c>
      <c r="E478" s="35" t="s">
        <v>303</v>
      </c>
      <c r="F478" s="35" t="s">
        <v>14</v>
      </c>
      <c r="G478" s="35" t="s">
        <v>88</v>
      </c>
      <c r="H478" s="35" t="s">
        <v>1167</v>
      </c>
      <c r="I478" s="37">
        <v>0.64236111111111116</v>
      </c>
      <c r="J478" s="35" t="s">
        <v>1168</v>
      </c>
      <c r="K478" s="35" t="s">
        <v>14</v>
      </c>
      <c r="L478" s="35" t="s">
        <v>14</v>
      </c>
    </row>
    <row r="479" spans="1:12" ht="13.2">
      <c r="A479" s="34">
        <v>17290</v>
      </c>
      <c r="B479" s="35" t="s">
        <v>290</v>
      </c>
      <c r="C479" s="35" t="s">
        <v>284</v>
      </c>
      <c r="D479" s="36">
        <v>42756</v>
      </c>
      <c r="E479" s="35" t="s">
        <v>307</v>
      </c>
      <c r="F479" s="35" t="s">
        <v>14</v>
      </c>
      <c r="G479" s="35" t="s">
        <v>123</v>
      </c>
      <c r="H479" s="35" t="s">
        <v>1169</v>
      </c>
      <c r="I479" s="37">
        <v>0.74305555555555558</v>
      </c>
      <c r="J479" s="35" t="s">
        <v>438</v>
      </c>
      <c r="K479" s="35" t="s">
        <v>14</v>
      </c>
      <c r="L479" s="35" t="s">
        <v>14</v>
      </c>
    </row>
    <row r="480" spans="1:12" ht="13.2">
      <c r="A480" s="34">
        <v>17170</v>
      </c>
      <c r="B480" s="35" t="s">
        <v>290</v>
      </c>
      <c r="C480" s="35" t="s">
        <v>284</v>
      </c>
      <c r="D480" s="36">
        <v>42749</v>
      </c>
      <c r="E480" s="35" t="s">
        <v>123</v>
      </c>
      <c r="F480" s="35" t="s">
        <v>14</v>
      </c>
      <c r="G480" s="35" t="s">
        <v>210</v>
      </c>
      <c r="H480" s="35" t="s">
        <v>1170</v>
      </c>
      <c r="I480" s="37">
        <v>0.86458333333333337</v>
      </c>
      <c r="J480" s="35" t="s">
        <v>287</v>
      </c>
      <c r="K480" s="35" t="s">
        <v>288</v>
      </c>
      <c r="L480" s="35" t="s">
        <v>289</v>
      </c>
    </row>
    <row r="481" spans="1:12" ht="13.2">
      <c r="A481" s="34">
        <v>17097</v>
      </c>
      <c r="B481" s="35" t="s">
        <v>302</v>
      </c>
      <c r="C481" s="35" t="s">
        <v>284</v>
      </c>
      <c r="D481" s="36">
        <v>42742</v>
      </c>
      <c r="E481" s="35" t="s">
        <v>88</v>
      </c>
      <c r="F481" s="35" t="s">
        <v>14</v>
      </c>
      <c r="G481" s="35" t="s">
        <v>1155</v>
      </c>
      <c r="H481" s="35" t="s">
        <v>1171</v>
      </c>
      <c r="I481" s="37">
        <v>0.80208333333333337</v>
      </c>
      <c r="J481" s="35" t="s">
        <v>287</v>
      </c>
      <c r="K481" s="35" t="s">
        <v>298</v>
      </c>
      <c r="L481" s="35" t="s">
        <v>289</v>
      </c>
    </row>
    <row r="482" spans="1:12" ht="13.2">
      <c r="A482" s="34">
        <v>16955</v>
      </c>
      <c r="B482" s="35" t="s">
        <v>283</v>
      </c>
      <c r="C482" s="35" t="s">
        <v>284</v>
      </c>
      <c r="D482" s="36">
        <v>42721</v>
      </c>
      <c r="E482" s="35" t="s">
        <v>1172</v>
      </c>
      <c r="F482" s="35" t="s">
        <v>14</v>
      </c>
      <c r="G482" s="35" t="s">
        <v>109</v>
      </c>
      <c r="H482" s="35" t="s">
        <v>1173</v>
      </c>
      <c r="I482" s="37">
        <v>0.77777777777777779</v>
      </c>
      <c r="J482" s="35" t="s">
        <v>331</v>
      </c>
      <c r="K482" s="35" t="s">
        <v>14</v>
      </c>
      <c r="L482" s="35" t="s">
        <v>14</v>
      </c>
    </row>
    <row r="483" spans="1:12" ht="13.2">
      <c r="A483" s="34">
        <v>16820</v>
      </c>
      <c r="B483" s="35" t="s">
        <v>290</v>
      </c>
      <c r="C483" s="35" t="s">
        <v>284</v>
      </c>
      <c r="D483" s="36">
        <v>42721</v>
      </c>
      <c r="E483" s="35" t="s">
        <v>1174</v>
      </c>
      <c r="F483" s="35" t="s">
        <v>14</v>
      </c>
      <c r="G483" s="35" t="s">
        <v>123</v>
      </c>
      <c r="H483" s="35" t="s">
        <v>1175</v>
      </c>
      <c r="I483" s="37">
        <v>0.75</v>
      </c>
      <c r="J483" s="35" t="s">
        <v>363</v>
      </c>
      <c r="K483" s="35" t="s">
        <v>14</v>
      </c>
      <c r="L483" s="35" t="s">
        <v>14</v>
      </c>
    </row>
    <row r="484" spans="1:12" ht="13.2">
      <c r="A484" s="34">
        <v>16699</v>
      </c>
      <c r="B484" s="35" t="s">
        <v>283</v>
      </c>
      <c r="C484" s="35" t="s">
        <v>284</v>
      </c>
      <c r="D484" s="36">
        <v>42714</v>
      </c>
      <c r="E484" s="35" t="s">
        <v>109</v>
      </c>
      <c r="F484" s="35" t="s">
        <v>14</v>
      </c>
      <c r="G484" s="35" t="s">
        <v>1157</v>
      </c>
      <c r="H484" s="35" t="s">
        <v>1176</v>
      </c>
      <c r="I484" s="37">
        <v>0.70833333333333337</v>
      </c>
      <c r="J484" s="35" t="s">
        <v>287</v>
      </c>
      <c r="K484" s="35" t="s">
        <v>306</v>
      </c>
      <c r="L484" s="35" t="s">
        <v>289</v>
      </c>
    </row>
    <row r="485" spans="1:12" ht="13.2">
      <c r="A485" s="34">
        <v>16603</v>
      </c>
      <c r="B485" s="35" t="s">
        <v>302</v>
      </c>
      <c r="C485" s="35" t="s">
        <v>284</v>
      </c>
      <c r="D485" s="36">
        <v>42707</v>
      </c>
      <c r="E485" s="35" t="s">
        <v>88</v>
      </c>
      <c r="F485" s="35" t="s">
        <v>14</v>
      </c>
      <c r="G485" s="35" t="s">
        <v>1159</v>
      </c>
      <c r="H485" s="35" t="s">
        <v>1177</v>
      </c>
      <c r="I485" s="37">
        <v>0.81944444444444442</v>
      </c>
      <c r="J485" s="35" t="s">
        <v>287</v>
      </c>
      <c r="K485" s="35" t="s">
        <v>338</v>
      </c>
      <c r="L485" s="35" t="s">
        <v>289</v>
      </c>
    </row>
    <row r="486" spans="1:12" ht="13.2">
      <c r="A486" s="34">
        <v>16570</v>
      </c>
      <c r="B486" s="35" t="s">
        <v>283</v>
      </c>
      <c r="C486" s="35" t="s">
        <v>284</v>
      </c>
      <c r="D486" s="36">
        <v>42707</v>
      </c>
      <c r="E486" s="35" t="s">
        <v>1162</v>
      </c>
      <c r="F486" s="35" t="s">
        <v>14</v>
      </c>
      <c r="G486" s="35" t="s">
        <v>109</v>
      </c>
      <c r="H486" s="35" t="s">
        <v>1178</v>
      </c>
      <c r="I486" s="37">
        <v>0.54861111111111116</v>
      </c>
      <c r="J486" s="35" t="s">
        <v>376</v>
      </c>
      <c r="K486" s="35" t="s">
        <v>14</v>
      </c>
      <c r="L486" s="35" t="s">
        <v>14</v>
      </c>
    </row>
    <row r="487" spans="1:12" ht="13.2">
      <c r="A487" s="34">
        <v>16465</v>
      </c>
      <c r="B487" s="35" t="s">
        <v>290</v>
      </c>
      <c r="C487" s="35" t="s">
        <v>284</v>
      </c>
      <c r="D487" s="36">
        <v>42707</v>
      </c>
      <c r="E487" s="35" t="s">
        <v>123</v>
      </c>
      <c r="F487" s="35" t="s">
        <v>14</v>
      </c>
      <c r="G487" s="35" t="s">
        <v>1179</v>
      </c>
      <c r="H487" s="35" t="s">
        <v>1180</v>
      </c>
      <c r="I487" s="37">
        <v>0.77083333333333337</v>
      </c>
      <c r="J487" s="35" t="s">
        <v>287</v>
      </c>
      <c r="K487" s="35" t="s">
        <v>566</v>
      </c>
      <c r="L487" s="35" t="s">
        <v>289</v>
      </c>
    </row>
    <row r="488" spans="1:12" ht="13.2">
      <c r="A488" s="34">
        <v>16319</v>
      </c>
      <c r="B488" s="35" t="s">
        <v>302</v>
      </c>
      <c r="C488" s="35" t="s">
        <v>284</v>
      </c>
      <c r="D488" s="36">
        <v>42700</v>
      </c>
      <c r="E488" s="35" t="s">
        <v>1164</v>
      </c>
      <c r="F488" s="35" t="s">
        <v>14</v>
      </c>
      <c r="G488" s="35" t="s">
        <v>88</v>
      </c>
      <c r="H488" s="35" t="s">
        <v>1181</v>
      </c>
      <c r="I488" s="37">
        <v>0.63541666666666663</v>
      </c>
      <c r="J488" s="35" t="s">
        <v>603</v>
      </c>
      <c r="K488" s="35" t="s">
        <v>14</v>
      </c>
      <c r="L488" s="35" t="s">
        <v>14</v>
      </c>
    </row>
    <row r="489" spans="1:12" ht="13.2">
      <c r="A489" s="34">
        <v>16214</v>
      </c>
      <c r="B489" s="35" t="s">
        <v>290</v>
      </c>
      <c r="C489" s="35" t="s">
        <v>284</v>
      </c>
      <c r="D489" s="36">
        <v>42805</v>
      </c>
      <c r="E489" s="35" t="s">
        <v>291</v>
      </c>
      <c r="F489" s="35" t="s">
        <v>14</v>
      </c>
      <c r="G489" s="35" t="s">
        <v>123</v>
      </c>
      <c r="H489" s="35" t="s">
        <v>1182</v>
      </c>
      <c r="I489" s="37">
        <v>0.76388888888888884</v>
      </c>
      <c r="J489" s="35" t="s">
        <v>1183</v>
      </c>
      <c r="K489" s="35" t="s">
        <v>14</v>
      </c>
      <c r="L489" s="35" t="s">
        <v>14</v>
      </c>
    </row>
    <row r="490" spans="1:12" ht="13.2">
      <c r="A490" s="34">
        <v>16131</v>
      </c>
      <c r="B490" s="35" t="s">
        <v>283</v>
      </c>
      <c r="C490" s="35" t="s">
        <v>284</v>
      </c>
      <c r="D490" s="36">
        <v>42784</v>
      </c>
      <c r="E490" s="35" t="s">
        <v>109</v>
      </c>
      <c r="F490" s="35" t="s">
        <v>14</v>
      </c>
      <c r="G490" s="35" t="s">
        <v>1172</v>
      </c>
      <c r="H490" s="35" t="s">
        <v>1184</v>
      </c>
      <c r="I490" s="37">
        <v>0.69444444444444442</v>
      </c>
      <c r="J490" s="35" t="s">
        <v>287</v>
      </c>
      <c r="K490" s="35" t="s">
        <v>606</v>
      </c>
      <c r="L490" s="35" t="s">
        <v>289</v>
      </c>
    </row>
    <row r="491" spans="1:12" ht="13.2">
      <c r="A491" s="34">
        <v>16033</v>
      </c>
      <c r="B491" s="35" t="s">
        <v>290</v>
      </c>
      <c r="C491" s="35" t="s">
        <v>284</v>
      </c>
      <c r="D491" s="36">
        <v>42784</v>
      </c>
      <c r="E491" s="35" t="s">
        <v>123</v>
      </c>
      <c r="F491" s="35" t="s">
        <v>14</v>
      </c>
      <c r="G491" s="35" t="s">
        <v>1174</v>
      </c>
      <c r="H491" s="35" t="s">
        <v>1185</v>
      </c>
      <c r="I491" s="37">
        <v>0.64236111111111116</v>
      </c>
      <c r="J491" s="35" t="s">
        <v>287</v>
      </c>
      <c r="K491" s="35" t="s">
        <v>606</v>
      </c>
      <c r="L491" s="35" t="s">
        <v>289</v>
      </c>
    </row>
    <row r="492" spans="1:12" ht="13.2">
      <c r="A492" s="34">
        <v>15820</v>
      </c>
      <c r="B492" s="35" t="s">
        <v>290</v>
      </c>
      <c r="C492" s="35" t="s">
        <v>284</v>
      </c>
      <c r="D492" s="36">
        <v>42777</v>
      </c>
      <c r="E492" s="35" t="s">
        <v>123</v>
      </c>
      <c r="F492" s="35" t="s">
        <v>14</v>
      </c>
      <c r="G492" s="35" t="s">
        <v>293</v>
      </c>
      <c r="H492" s="35" t="s">
        <v>1186</v>
      </c>
      <c r="I492" s="37">
        <v>0.85416666666666663</v>
      </c>
      <c r="J492" s="35" t="s">
        <v>287</v>
      </c>
      <c r="K492" s="35" t="s">
        <v>567</v>
      </c>
      <c r="L492" s="35" t="s">
        <v>289</v>
      </c>
    </row>
    <row r="493" spans="1:12" ht="13.2">
      <c r="A493" s="34">
        <v>15671</v>
      </c>
      <c r="B493" s="35" t="s">
        <v>290</v>
      </c>
      <c r="C493" s="35" t="s">
        <v>284</v>
      </c>
      <c r="D493" s="36">
        <v>42770</v>
      </c>
      <c r="E493" s="35" t="s">
        <v>1179</v>
      </c>
      <c r="F493" s="35" t="s">
        <v>14</v>
      </c>
      <c r="G493" s="35" t="s">
        <v>123</v>
      </c>
      <c r="H493" s="35" t="s">
        <v>1187</v>
      </c>
      <c r="I493" s="37">
        <v>0.77777777777777779</v>
      </c>
      <c r="J493" s="35" t="s">
        <v>405</v>
      </c>
      <c r="K493" s="35" t="s">
        <v>14</v>
      </c>
      <c r="L493" s="35" t="s">
        <v>14</v>
      </c>
    </row>
    <row r="494" spans="1:12" ht="13.2">
      <c r="A494" s="34">
        <v>15540</v>
      </c>
      <c r="B494" s="35" t="s">
        <v>283</v>
      </c>
      <c r="C494" s="35" t="s">
        <v>284</v>
      </c>
      <c r="D494" s="36">
        <v>42756</v>
      </c>
      <c r="E494" s="35" t="s">
        <v>299</v>
      </c>
      <c r="F494" s="35" t="s">
        <v>14</v>
      </c>
      <c r="G494" s="35" t="s">
        <v>109</v>
      </c>
      <c r="H494" s="35" t="s">
        <v>1188</v>
      </c>
      <c r="I494" s="37">
        <v>0.79166666666666663</v>
      </c>
      <c r="J494" s="35" t="s">
        <v>341</v>
      </c>
      <c r="K494" s="35" t="s">
        <v>14</v>
      </c>
      <c r="L494" s="35" t="s">
        <v>14</v>
      </c>
    </row>
    <row r="495" spans="1:12" ht="13.2">
      <c r="A495" s="34">
        <v>15462</v>
      </c>
      <c r="B495" s="35" t="s">
        <v>302</v>
      </c>
      <c r="C495" s="35" t="s">
        <v>284</v>
      </c>
      <c r="D495" s="36">
        <v>42749</v>
      </c>
      <c r="E495" s="35" t="s">
        <v>88</v>
      </c>
      <c r="F495" s="35" t="s">
        <v>14</v>
      </c>
      <c r="G495" s="35" t="s">
        <v>311</v>
      </c>
      <c r="H495" s="35" t="s">
        <v>1189</v>
      </c>
      <c r="I495" s="37">
        <v>0.81597222222222221</v>
      </c>
      <c r="J495" s="35" t="s">
        <v>287</v>
      </c>
      <c r="K495" s="35" t="s">
        <v>288</v>
      </c>
      <c r="L495" s="35" t="s">
        <v>289</v>
      </c>
    </row>
    <row r="496" spans="1:12" ht="13.2">
      <c r="A496" s="34">
        <v>4577</v>
      </c>
      <c r="B496" s="35" t="s">
        <v>835</v>
      </c>
      <c r="C496" s="35" t="s">
        <v>284</v>
      </c>
      <c r="D496" s="36">
        <v>42693</v>
      </c>
      <c r="E496" s="35" t="s">
        <v>53</v>
      </c>
      <c r="F496" s="35" t="s">
        <v>14</v>
      </c>
      <c r="G496" s="35" t="s">
        <v>844</v>
      </c>
      <c r="H496" s="35" t="s">
        <v>1190</v>
      </c>
      <c r="I496" s="37">
        <v>0.41319444444444442</v>
      </c>
      <c r="J496" s="35" t="s">
        <v>287</v>
      </c>
      <c r="K496" s="35" t="s">
        <v>838</v>
      </c>
      <c r="L496" s="35" t="s">
        <v>748</v>
      </c>
    </row>
    <row r="497" spans="1:12" ht="13.2">
      <c r="A497" s="34">
        <v>4567</v>
      </c>
      <c r="B497" s="35" t="s">
        <v>835</v>
      </c>
      <c r="C497" s="35" t="s">
        <v>1191</v>
      </c>
      <c r="D497" s="36">
        <v>42684</v>
      </c>
      <c r="E497" s="35" t="s">
        <v>852</v>
      </c>
      <c r="F497" s="35" t="s">
        <v>14</v>
      </c>
      <c r="G497" s="35" t="s">
        <v>53</v>
      </c>
      <c r="H497" s="35" t="s">
        <v>1192</v>
      </c>
      <c r="I497" s="37">
        <v>0.75</v>
      </c>
      <c r="J497" s="35" t="s">
        <v>1030</v>
      </c>
      <c r="K497" s="35" t="s">
        <v>14</v>
      </c>
      <c r="L497" s="35" t="s">
        <v>14</v>
      </c>
    </row>
    <row r="498" spans="1:12" ht="13.2">
      <c r="A498" s="34">
        <v>4564</v>
      </c>
      <c r="B498" s="35" t="s">
        <v>345</v>
      </c>
      <c r="C498" s="35" t="s">
        <v>284</v>
      </c>
      <c r="D498" s="36">
        <v>42770</v>
      </c>
      <c r="E498" s="35" t="s">
        <v>346</v>
      </c>
      <c r="F498" s="35" t="s">
        <v>14</v>
      </c>
      <c r="G498" s="35" t="s">
        <v>854</v>
      </c>
      <c r="H498" s="35" t="s">
        <v>1193</v>
      </c>
      <c r="I498" s="37">
        <v>0.41666666666666669</v>
      </c>
      <c r="J498" s="35" t="s">
        <v>287</v>
      </c>
      <c r="K498" s="35" t="s">
        <v>349</v>
      </c>
      <c r="L498" s="35" t="s">
        <v>869</v>
      </c>
    </row>
    <row r="499" spans="1:12" ht="13.2">
      <c r="A499" s="34">
        <v>4562</v>
      </c>
      <c r="B499" s="35" t="s">
        <v>826</v>
      </c>
      <c r="C499" s="35" t="s">
        <v>284</v>
      </c>
      <c r="D499" s="36">
        <v>42686</v>
      </c>
      <c r="E499" s="35" t="s">
        <v>43</v>
      </c>
      <c r="F499" s="35" t="s">
        <v>14</v>
      </c>
      <c r="G499" s="35" t="s">
        <v>850</v>
      </c>
      <c r="H499" s="35" t="s">
        <v>1194</v>
      </c>
      <c r="I499" s="37">
        <v>0.41666666666666669</v>
      </c>
      <c r="J499" s="35" t="s">
        <v>287</v>
      </c>
      <c r="K499" s="35" t="s">
        <v>843</v>
      </c>
      <c r="L499" s="35" t="s">
        <v>558</v>
      </c>
    </row>
    <row r="500" spans="1:12" ht="13.2">
      <c r="A500" s="34">
        <v>4553</v>
      </c>
      <c r="B500" s="35" t="s">
        <v>831</v>
      </c>
      <c r="C500" s="35" t="s">
        <v>284</v>
      </c>
      <c r="D500" s="36">
        <v>42686</v>
      </c>
      <c r="E500" s="35" t="s">
        <v>848</v>
      </c>
      <c r="F500" s="35" t="s">
        <v>14</v>
      </c>
      <c r="G500" s="35" t="s">
        <v>25</v>
      </c>
      <c r="H500" s="35" t="s">
        <v>1195</v>
      </c>
      <c r="I500" s="37">
        <v>0.375</v>
      </c>
      <c r="J500" s="35" t="s">
        <v>525</v>
      </c>
      <c r="K500" s="35" t="s">
        <v>14</v>
      </c>
      <c r="L500" s="35" t="s">
        <v>14</v>
      </c>
    </row>
    <row r="501" spans="1:12" ht="13.2">
      <c r="A501" s="34">
        <v>7925</v>
      </c>
      <c r="B501" s="35" t="s">
        <v>563</v>
      </c>
      <c r="C501" s="35" t="s">
        <v>284</v>
      </c>
      <c r="D501" s="36">
        <v>42812</v>
      </c>
      <c r="E501" s="35" t="s">
        <v>120</v>
      </c>
      <c r="F501" s="35" t="s">
        <v>14</v>
      </c>
      <c r="G501" s="35" t="s">
        <v>610</v>
      </c>
      <c r="H501" s="35" t="s">
        <v>1196</v>
      </c>
      <c r="I501" s="37">
        <v>0.86458333333333337</v>
      </c>
      <c r="J501" s="35" t="s">
        <v>287</v>
      </c>
      <c r="K501" s="35" t="s">
        <v>566</v>
      </c>
      <c r="L501" s="35" t="s">
        <v>584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N250"/>
  <sheetViews>
    <sheetView workbookViewId="0"/>
  </sheetViews>
  <sheetFormatPr defaultColWidth="12.6640625" defaultRowHeight="15.75" customHeight="1"/>
  <sheetData>
    <row r="1" spans="1:14" ht="15.75" customHeight="1">
      <c r="A1" s="7" t="s">
        <v>1197</v>
      </c>
      <c r="B1" s="7" t="s">
        <v>279</v>
      </c>
      <c r="C1" s="7" t="s">
        <v>1</v>
      </c>
      <c r="D1" s="7" t="s">
        <v>2</v>
      </c>
      <c r="E1" s="7" t="s">
        <v>3</v>
      </c>
      <c r="F1" s="7" t="s">
        <v>4</v>
      </c>
      <c r="G1" s="7"/>
      <c r="H1" s="7" t="s">
        <v>5</v>
      </c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</row>
    <row r="2" spans="1:14" ht="15.75" customHeight="1">
      <c r="A2" s="7">
        <v>175</v>
      </c>
      <c r="B2" s="7">
        <v>14344</v>
      </c>
      <c r="C2" s="7" t="s">
        <v>1198</v>
      </c>
      <c r="D2" s="7" t="s">
        <v>284</v>
      </c>
      <c r="E2" s="39">
        <v>42826</v>
      </c>
      <c r="F2" s="7" t="s">
        <v>1199</v>
      </c>
      <c r="G2" s="7" t="s">
        <v>1200</v>
      </c>
      <c r="H2" s="7" t="s">
        <v>1201</v>
      </c>
      <c r="I2" s="7" t="e">
        <f t="shared" ref="I2:I250" si="0">CONCATENATE(F2:H2)</f>
        <v>#VALUE!</v>
      </c>
      <c r="J2" s="40">
        <v>0.5625</v>
      </c>
      <c r="K2" s="7" t="s">
        <v>30</v>
      </c>
      <c r="L2" s="7" t="s">
        <v>1202</v>
      </c>
      <c r="M2" s="7" t="s">
        <v>14</v>
      </c>
      <c r="N2" s="7" t="s">
        <v>1203</v>
      </c>
    </row>
    <row r="3" spans="1:14" ht="15.75" customHeight="1">
      <c r="A3" s="7">
        <v>177</v>
      </c>
      <c r="B3" s="7">
        <v>14336</v>
      </c>
      <c r="C3" s="7" t="s">
        <v>600</v>
      </c>
      <c r="D3" s="7" t="s">
        <v>284</v>
      </c>
      <c r="E3" s="39">
        <v>42826</v>
      </c>
      <c r="F3" s="7" t="s">
        <v>1204</v>
      </c>
      <c r="G3" s="7" t="s">
        <v>1200</v>
      </c>
      <c r="H3" s="7" t="s">
        <v>1205</v>
      </c>
      <c r="I3" s="7" t="e">
        <f t="shared" si="0"/>
        <v>#VALUE!</v>
      </c>
      <c r="J3" s="40">
        <v>0.625</v>
      </c>
      <c r="K3" s="7" t="s">
        <v>30</v>
      </c>
      <c r="L3" s="7" t="s">
        <v>1202</v>
      </c>
      <c r="M3" s="7" t="s">
        <v>14</v>
      </c>
      <c r="N3" s="7" t="s">
        <v>298</v>
      </c>
    </row>
    <row r="4" spans="1:14" ht="15.75" customHeight="1">
      <c r="A4" s="7">
        <v>179</v>
      </c>
      <c r="B4" s="7">
        <v>13944</v>
      </c>
      <c r="C4" s="7" t="s">
        <v>1206</v>
      </c>
      <c r="D4" s="7" t="s">
        <v>284</v>
      </c>
      <c r="E4" s="39">
        <v>42826</v>
      </c>
      <c r="F4" s="7" t="s">
        <v>1207</v>
      </c>
      <c r="G4" s="7" t="s">
        <v>1200</v>
      </c>
      <c r="H4" s="7" t="s">
        <v>1208</v>
      </c>
      <c r="I4" s="7" t="e">
        <f t="shared" si="0"/>
        <v>#VALUE!</v>
      </c>
      <c r="J4" s="40">
        <v>0.5</v>
      </c>
      <c r="K4" s="7" t="s">
        <v>30</v>
      </c>
      <c r="L4" s="7" t="s">
        <v>1202</v>
      </c>
      <c r="M4" s="7" t="s">
        <v>14</v>
      </c>
      <c r="N4" s="7" t="s">
        <v>567</v>
      </c>
    </row>
    <row r="5" spans="1:14" ht="15.75" customHeight="1">
      <c r="A5" s="7">
        <v>189</v>
      </c>
      <c r="B5" s="7">
        <v>13619</v>
      </c>
      <c r="C5" s="7" t="s">
        <v>1209</v>
      </c>
      <c r="D5" s="7" t="s">
        <v>284</v>
      </c>
      <c r="E5" s="39">
        <v>42826</v>
      </c>
      <c r="F5" s="7" t="s">
        <v>1210</v>
      </c>
      <c r="G5" s="7" t="s">
        <v>1200</v>
      </c>
      <c r="H5" s="7" t="s">
        <v>1211</v>
      </c>
      <c r="I5" s="7" t="e">
        <f t="shared" si="0"/>
        <v>#VALUE!</v>
      </c>
      <c r="J5" s="40">
        <v>0.38541666666666669</v>
      </c>
      <c r="K5" s="7" t="s">
        <v>30</v>
      </c>
      <c r="L5" s="7" t="s">
        <v>114</v>
      </c>
      <c r="M5" s="7" t="s">
        <v>14</v>
      </c>
      <c r="N5" s="7" t="s">
        <v>714</v>
      </c>
    </row>
    <row r="6" spans="1:14" ht="15.75" customHeight="1">
      <c r="A6" s="7">
        <v>196</v>
      </c>
      <c r="B6" s="7">
        <v>13555</v>
      </c>
      <c r="C6" s="7" t="s">
        <v>831</v>
      </c>
      <c r="D6" s="7" t="s">
        <v>284</v>
      </c>
      <c r="E6" s="39">
        <v>42826</v>
      </c>
      <c r="F6" s="7" t="s">
        <v>1212</v>
      </c>
      <c r="G6" s="7" t="s">
        <v>1200</v>
      </c>
      <c r="H6" s="7" t="s">
        <v>1213</v>
      </c>
      <c r="I6" s="7" t="e">
        <f t="shared" si="0"/>
        <v>#VALUE!</v>
      </c>
      <c r="J6" s="40">
        <v>0.38541666666666669</v>
      </c>
      <c r="K6" s="7" t="s">
        <v>30</v>
      </c>
      <c r="L6" s="7" t="s">
        <v>1214</v>
      </c>
      <c r="M6" s="7" t="s">
        <v>14</v>
      </c>
      <c r="N6" s="7" t="s">
        <v>1215</v>
      </c>
    </row>
    <row r="7" spans="1:14" ht="15.75" customHeight="1">
      <c r="A7" s="7">
        <v>200</v>
      </c>
      <c r="B7" s="7">
        <v>13158</v>
      </c>
      <c r="C7" s="7" t="s">
        <v>1216</v>
      </c>
      <c r="D7" s="7" t="s">
        <v>284</v>
      </c>
      <c r="E7" s="39">
        <v>42826</v>
      </c>
      <c r="F7" s="7" t="s">
        <v>1217</v>
      </c>
      <c r="G7" s="7" t="s">
        <v>1200</v>
      </c>
      <c r="H7" s="7" t="s">
        <v>1218</v>
      </c>
      <c r="I7" s="7" t="e">
        <f t="shared" si="0"/>
        <v>#VALUE!</v>
      </c>
      <c r="J7" s="40">
        <v>0.42708333333333331</v>
      </c>
      <c r="K7" s="7" t="s">
        <v>30</v>
      </c>
      <c r="L7" s="7" t="s">
        <v>1214</v>
      </c>
      <c r="M7" s="7" t="s">
        <v>14</v>
      </c>
      <c r="N7" s="7" t="s">
        <v>788</v>
      </c>
    </row>
    <row r="8" spans="1:14" ht="15.75" customHeight="1">
      <c r="A8" s="7">
        <v>216</v>
      </c>
      <c r="B8" s="7">
        <v>12635</v>
      </c>
      <c r="C8" s="7" t="s">
        <v>1219</v>
      </c>
      <c r="D8" s="7" t="s">
        <v>284</v>
      </c>
      <c r="E8" s="39">
        <v>42826</v>
      </c>
      <c r="F8" s="7" t="s">
        <v>1220</v>
      </c>
      <c r="G8" s="7" t="s">
        <v>1200</v>
      </c>
      <c r="H8" s="7" t="s">
        <v>1221</v>
      </c>
      <c r="I8" s="7" t="e">
        <f t="shared" si="0"/>
        <v>#VALUE!</v>
      </c>
      <c r="J8" s="40">
        <v>0.38541666666666669</v>
      </c>
      <c r="K8" s="7" t="s">
        <v>30</v>
      </c>
      <c r="L8" s="7" t="s">
        <v>1214</v>
      </c>
      <c r="M8" s="7" t="s">
        <v>14</v>
      </c>
      <c r="N8" s="7" t="s">
        <v>775</v>
      </c>
    </row>
    <row r="9" spans="1:14" ht="15.75" customHeight="1">
      <c r="A9" s="7">
        <v>218</v>
      </c>
      <c r="B9" s="7">
        <v>12621</v>
      </c>
      <c r="C9" s="7" t="s">
        <v>1222</v>
      </c>
      <c r="D9" s="7" t="s">
        <v>284</v>
      </c>
      <c r="E9" s="39">
        <v>42826</v>
      </c>
      <c r="F9" s="7" t="s">
        <v>1223</v>
      </c>
      <c r="G9" s="7" t="s">
        <v>1200</v>
      </c>
      <c r="H9" s="7" t="s">
        <v>1224</v>
      </c>
      <c r="I9" s="7" t="e">
        <f t="shared" si="0"/>
        <v>#VALUE!</v>
      </c>
      <c r="J9" s="40">
        <v>0.42708333333333331</v>
      </c>
      <c r="K9" s="7" t="s">
        <v>30</v>
      </c>
      <c r="L9" s="7" t="s">
        <v>1214</v>
      </c>
      <c r="M9" s="7" t="s">
        <v>14</v>
      </c>
      <c r="N9" s="7" t="s">
        <v>785</v>
      </c>
    </row>
    <row r="10" spans="1:14" ht="15.75" customHeight="1">
      <c r="A10" s="7">
        <v>235</v>
      </c>
      <c r="B10" s="7">
        <v>12049</v>
      </c>
      <c r="C10" s="7" t="s">
        <v>718</v>
      </c>
      <c r="D10" s="7" t="s">
        <v>284</v>
      </c>
      <c r="E10" s="39">
        <v>42826</v>
      </c>
      <c r="F10" s="7" t="s">
        <v>1225</v>
      </c>
      <c r="G10" s="7" t="s">
        <v>1200</v>
      </c>
      <c r="H10" s="7" t="s">
        <v>1226</v>
      </c>
      <c r="I10" s="7" t="e">
        <f t="shared" si="0"/>
        <v>#VALUE!</v>
      </c>
      <c r="J10" s="40">
        <v>0.38541666666666669</v>
      </c>
      <c r="K10" s="7" t="s">
        <v>30</v>
      </c>
      <c r="L10" s="7" t="s">
        <v>114</v>
      </c>
      <c r="M10" s="7" t="s">
        <v>14</v>
      </c>
      <c r="N10" s="7" t="s">
        <v>1227</v>
      </c>
    </row>
    <row r="11" spans="1:14" ht="15.75" customHeight="1">
      <c r="A11" s="7">
        <v>237</v>
      </c>
      <c r="B11" s="7">
        <v>12047</v>
      </c>
      <c r="C11" s="7" t="s">
        <v>1228</v>
      </c>
      <c r="D11" s="7" t="s">
        <v>284</v>
      </c>
      <c r="E11" s="39">
        <v>42826</v>
      </c>
      <c r="F11" s="7" t="s">
        <v>1229</v>
      </c>
      <c r="G11" s="7" t="s">
        <v>1200</v>
      </c>
      <c r="H11" s="7" t="s">
        <v>1230</v>
      </c>
      <c r="I11" s="7" t="e">
        <f t="shared" si="0"/>
        <v>#VALUE!</v>
      </c>
      <c r="J11" s="40">
        <v>0.42708333333333331</v>
      </c>
      <c r="K11" s="7" t="s">
        <v>30</v>
      </c>
      <c r="L11" s="7" t="s">
        <v>114</v>
      </c>
      <c r="M11" s="7" t="s">
        <v>14</v>
      </c>
      <c r="N11" s="7" t="s">
        <v>301</v>
      </c>
    </row>
    <row r="12" spans="1:14" ht="15.75" customHeight="1">
      <c r="A12" s="7">
        <v>246</v>
      </c>
      <c r="B12" s="7">
        <v>11345</v>
      </c>
      <c r="C12" s="7" t="s">
        <v>1231</v>
      </c>
      <c r="D12" s="7" t="s">
        <v>284</v>
      </c>
      <c r="E12" s="39">
        <v>42826</v>
      </c>
      <c r="F12" s="7" t="s">
        <v>1232</v>
      </c>
      <c r="G12" s="7" t="s">
        <v>1200</v>
      </c>
      <c r="H12" s="7" t="s">
        <v>1233</v>
      </c>
      <c r="I12" s="7" t="e">
        <f t="shared" si="0"/>
        <v>#VALUE!</v>
      </c>
      <c r="J12" s="40">
        <v>0.46875</v>
      </c>
      <c r="K12" s="7" t="s">
        <v>30</v>
      </c>
      <c r="L12" s="7" t="s">
        <v>1234</v>
      </c>
      <c r="M12" s="7" t="s">
        <v>14</v>
      </c>
      <c r="N12" s="7" t="s">
        <v>456</v>
      </c>
    </row>
    <row r="13" spans="1:14" ht="15.75" customHeight="1">
      <c r="A13" s="7">
        <v>248</v>
      </c>
      <c r="B13" s="7">
        <v>11343</v>
      </c>
      <c r="C13" s="7" t="s">
        <v>463</v>
      </c>
      <c r="D13" s="7" t="s">
        <v>284</v>
      </c>
      <c r="E13" s="39">
        <v>42826</v>
      </c>
      <c r="F13" s="7" t="s">
        <v>1235</v>
      </c>
      <c r="G13" s="7" t="s">
        <v>1200</v>
      </c>
      <c r="H13" s="7" t="s">
        <v>1236</v>
      </c>
      <c r="I13" s="7" t="e">
        <f t="shared" si="0"/>
        <v>#VALUE!</v>
      </c>
      <c r="J13" s="40">
        <v>0.41666666666666669</v>
      </c>
      <c r="K13" s="7" t="s">
        <v>30</v>
      </c>
      <c r="L13" s="7" t="s">
        <v>1234</v>
      </c>
      <c r="M13" s="7" t="s">
        <v>14</v>
      </c>
      <c r="N13" s="7" t="s">
        <v>506</v>
      </c>
    </row>
    <row r="14" spans="1:14" ht="15.75" customHeight="1">
      <c r="A14" s="7">
        <v>261</v>
      </c>
      <c r="B14" s="7">
        <v>11069</v>
      </c>
      <c r="C14" s="7" t="s">
        <v>1237</v>
      </c>
      <c r="D14" s="7" t="s">
        <v>284</v>
      </c>
      <c r="E14" s="39">
        <v>42826</v>
      </c>
      <c r="F14" s="7" t="s">
        <v>1238</v>
      </c>
      <c r="G14" s="7" t="s">
        <v>1200</v>
      </c>
      <c r="H14" s="7" t="s">
        <v>1239</v>
      </c>
      <c r="I14" s="7" t="e">
        <f t="shared" si="0"/>
        <v>#VALUE!</v>
      </c>
      <c r="J14" s="40">
        <v>0.4375</v>
      </c>
      <c r="K14" s="7" t="s">
        <v>30</v>
      </c>
      <c r="L14" s="7" t="s">
        <v>1202</v>
      </c>
      <c r="M14" s="7" t="s">
        <v>14</v>
      </c>
      <c r="N14" s="7" t="s">
        <v>566</v>
      </c>
    </row>
    <row r="15" spans="1:14" ht="15.75" customHeight="1">
      <c r="A15" s="7">
        <v>271</v>
      </c>
      <c r="B15" s="7">
        <v>5801</v>
      </c>
      <c r="C15" s="7" t="s">
        <v>1107</v>
      </c>
      <c r="D15" s="7" t="s">
        <v>284</v>
      </c>
      <c r="E15" s="39">
        <v>42826</v>
      </c>
      <c r="F15" s="7" t="s">
        <v>1240</v>
      </c>
      <c r="G15" s="7" t="s">
        <v>1200</v>
      </c>
      <c r="H15" s="7" t="s">
        <v>1241</v>
      </c>
      <c r="I15" s="7" t="e">
        <f t="shared" si="0"/>
        <v>#VALUE!</v>
      </c>
      <c r="J15" s="40">
        <v>0.54166666666666663</v>
      </c>
      <c r="K15" s="7" t="s">
        <v>30</v>
      </c>
      <c r="L15" s="7" t="s">
        <v>1214</v>
      </c>
      <c r="M15" s="7" t="s">
        <v>14</v>
      </c>
      <c r="N15" s="7" t="s">
        <v>289</v>
      </c>
    </row>
    <row r="16" spans="1:14" ht="15.75" customHeight="1">
      <c r="A16" s="7">
        <v>272</v>
      </c>
      <c r="B16" s="7">
        <v>5800</v>
      </c>
      <c r="C16" s="7" t="s">
        <v>1113</v>
      </c>
      <c r="D16" s="7" t="s">
        <v>284</v>
      </c>
      <c r="E16" s="39">
        <v>42826</v>
      </c>
      <c r="F16" s="7" t="s">
        <v>1242</v>
      </c>
      <c r="G16" s="7" t="s">
        <v>1200</v>
      </c>
      <c r="H16" s="7" t="s">
        <v>1243</v>
      </c>
      <c r="I16" s="7" t="e">
        <f t="shared" si="0"/>
        <v>#VALUE!</v>
      </c>
      <c r="J16" s="40">
        <v>0.47916666666666669</v>
      </c>
      <c r="K16" s="7" t="s">
        <v>30</v>
      </c>
      <c r="L16" s="7" t="s">
        <v>1214</v>
      </c>
      <c r="M16" s="7" t="s">
        <v>14</v>
      </c>
      <c r="N16" s="7" t="s">
        <v>289</v>
      </c>
    </row>
    <row r="17" spans="1:14" ht="15.75" customHeight="1">
      <c r="A17" s="7">
        <v>279</v>
      </c>
      <c r="B17" s="7">
        <v>3871</v>
      </c>
      <c r="C17" s="7" t="s">
        <v>1244</v>
      </c>
      <c r="D17" s="7" t="s">
        <v>284</v>
      </c>
      <c r="E17" s="39">
        <v>42826</v>
      </c>
      <c r="F17" s="7" t="s">
        <v>1245</v>
      </c>
      <c r="G17" s="7" t="s">
        <v>1200</v>
      </c>
      <c r="H17" s="7" t="s">
        <v>1246</v>
      </c>
      <c r="I17" s="7" t="e">
        <f t="shared" si="0"/>
        <v>#VALUE!</v>
      </c>
      <c r="J17" s="40">
        <v>0.60416666666666663</v>
      </c>
      <c r="K17" s="7" t="s">
        <v>30</v>
      </c>
      <c r="L17" s="7" t="s">
        <v>1214</v>
      </c>
      <c r="M17" s="7" t="s">
        <v>14</v>
      </c>
      <c r="N17" s="7" t="s">
        <v>289</v>
      </c>
    </row>
    <row r="18" spans="1:14" ht="15.75" customHeight="1">
      <c r="A18" s="7">
        <v>283</v>
      </c>
      <c r="B18" s="7">
        <v>1627</v>
      </c>
      <c r="C18" s="7" t="s">
        <v>1247</v>
      </c>
      <c r="D18" s="7" t="s">
        <v>284</v>
      </c>
      <c r="E18" s="39">
        <v>42826</v>
      </c>
      <c r="F18" s="7" t="s">
        <v>1248</v>
      </c>
      <c r="G18" s="7" t="s">
        <v>1200</v>
      </c>
      <c r="H18" s="7" t="s">
        <v>1249</v>
      </c>
      <c r="I18" s="7" t="e">
        <f t="shared" si="0"/>
        <v>#VALUE!</v>
      </c>
      <c r="J18" s="40">
        <v>0.66666666666666663</v>
      </c>
      <c r="K18" s="7" t="s">
        <v>30</v>
      </c>
      <c r="L18" s="7" t="s">
        <v>1214</v>
      </c>
      <c r="M18" s="7" t="s">
        <v>14</v>
      </c>
      <c r="N18" s="7" t="s">
        <v>289</v>
      </c>
    </row>
    <row r="19" spans="1:14" ht="15.75" customHeight="1">
      <c r="A19" s="7">
        <v>302</v>
      </c>
      <c r="B19" s="7">
        <v>23390</v>
      </c>
      <c r="C19" s="7" t="s">
        <v>1250</v>
      </c>
      <c r="D19" s="7" t="s">
        <v>284</v>
      </c>
      <c r="E19" s="39">
        <v>42826</v>
      </c>
      <c r="F19" s="7" t="s">
        <v>1251</v>
      </c>
      <c r="G19" s="7" t="s">
        <v>1200</v>
      </c>
      <c r="H19" s="7" t="s">
        <v>1252</v>
      </c>
      <c r="I19" s="7" t="e">
        <f t="shared" si="0"/>
        <v>#VALUE!</v>
      </c>
      <c r="J19" s="40">
        <v>0.54166666666666663</v>
      </c>
      <c r="K19" s="7" t="s">
        <v>21</v>
      </c>
      <c r="L19" s="7" t="s">
        <v>114</v>
      </c>
      <c r="M19" s="7" t="s">
        <v>14</v>
      </c>
      <c r="N19" s="7" t="s">
        <v>14</v>
      </c>
    </row>
    <row r="20" spans="1:14" ht="15.75" customHeight="1">
      <c r="A20" s="7">
        <v>307</v>
      </c>
      <c r="B20" s="7">
        <v>23123</v>
      </c>
      <c r="C20" s="7" t="s">
        <v>1253</v>
      </c>
      <c r="D20" s="7" t="s">
        <v>284</v>
      </c>
      <c r="E20" s="39">
        <v>42826</v>
      </c>
      <c r="F20" s="7" t="s">
        <v>1254</v>
      </c>
      <c r="G20" s="7" t="s">
        <v>1200</v>
      </c>
      <c r="H20" s="7" t="s">
        <v>1255</v>
      </c>
      <c r="I20" s="7" t="e">
        <f t="shared" si="0"/>
        <v>#VALUE!</v>
      </c>
      <c r="J20" s="40">
        <v>0.39583333333333331</v>
      </c>
      <c r="K20" s="7" t="s">
        <v>174</v>
      </c>
      <c r="L20" s="7" t="s">
        <v>31</v>
      </c>
      <c r="M20" s="7" t="s">
        <v>14</v>
      </c>
      <c r="N20" s="7" t="s">
        <v>14</v>
      </c>
    </row>
    <row r="21" spans="1:14" ht="15.75" customHeight="1">
      <c r="A21" s="7">
        <v>313</v>
      </c>
      <c r="B21" s="7">
        <v>22986</v>
      </c>
      <c r="C21" s="7" t="s">
        <v>1256</v>
      </c>
      <c r="D21" s="7" t="s">
        <v>284</v>
      </c>
      <c r="E21" s="39">
        <v>42826</v>
      </c>
      <c r="F21" s="7" t="s">
        <v>1257</v>
      </c>
      <c r="G21" s="7" t="s">
        <v>1200</v>
      </c>
      <c r="H21" s="7" t="s">
        <v>1258</v>
      </c>
      <c r="I21" s="7" t="e">
        <f t="shared" si="0"/>
        <v>#VALUE!</v>
      </c>
      <c r="J21" s="40">
        <v>0.55208333333333337</v>
      </c>
      <c r="K21" s="7" t="s">
        <v>143</v>
      </c>
      <c r="L21" s="7" t="s">
        <v>31</v>
      </c>
      <c r="M21" s="7" t="s">
        <v>14</v>
      </c>
      <c r="N21" s="7" t="s">
        <v>14</v>
      </c>
    </row>
    <row r="22" spans="1:14" ht="15.75" customHeight="1">
      <c r="A22" s="7">
        <v>332</v>
      </c>
      <c r="B22" s="7">
        <v>14226</v>
      </c>
      <c r="C22" s="7" t="s">
        <v>1259</v>
      </c>
      <c r="D22" s="7" t="s">
        <v>284</v>
      </c>
      <c r="E22" s="39">
        <v>42826</v>
      </c>
      <c r="F22" s="7" t="s">
        <v>1260</v>
      </c>
      <c r="G22" s="7" t="s">
        <v>1200</v>
      </c>
      <c r="H22" s="7" t="s">
        <v>1261</v>
      </c>
      <c r="I22" s="7" t="e">
        <f t="shared" si="0"/>
        <v>#VALUE!</v>
      </c>
      <c r="J22" s="40">
        <v>0.64583333333333337</v>
      </c>
      <c r="K22" s="7" t="s">
        <v>180</v>
      </c>
      <c r="L22" s="7" t="s">
        <v>1214</v>
      </c>
      <c r="M22" s="7" t="s">
        <v>14</v>
      </c>
      <c r="N22" s="7" t="s">
        <v>14</v>
      </c>
    </row>
    <row r="23" spans="1:14" ht="15.75" customHeight="1">
      <c r="A23" s="7">
        <v>334</v>
      </c>
      <c r="B23" s="7">
        <v>14206</v>
      </c>
      <c r="C23" s="7" t="s">
        <v>560</v>
      </c>
      <c r="D23" s="7" t="s">
        <v>284</v>
      </c>
      <c r="E23" s="39">
        <v>42826</v>
      </c>
      <c r="F23" s="7" t="s">
        <v>1262</v>
      </c>
      <c r="G23" s="7" t="s">
        <v>1200</v>
      </c>
      <c r="H23" s="7" t="s">
        <v>1263</v>
      </c>
      <c r="I23" s="7" t="e">
        <f t="shared" si="0"/>
        <v>#VALUE!</v>
      </c>
      <c r="J23" s="40">
        <v>0.58333333333333337</v>
      </c>
      <c r="K23" s="7" t="s">
        <v>1264</v>
      </c>
      <c r="L23" s="7" t="s">
        <v>1265</v>
      </c>
      <c r="M23" s="7" t="s">
        <v>14</v>
      </c>
      <c r="N23" s="7" t="s">
        <v>14</v>
      </c>
    </row>
    <row r="24" spans="1:14" ht="15.75" customHeight="1">
      <c r="A24" s="7">
        <v>360</v>
      </c>
      <c r="B24" s="7">
        <v>13623</v>
      </c>
      <c r="C24" s="7" t="s">
        <v>1266</v>
      </c>
      <c r="D24" s="7" t="s">
        <v>284</v>
      </c>
      <c r="E24" s="39">
        <v>42826</v>
      </c>
      <c r="F24" s="7" t="s">
        <v>1267</v>
      </c>
      <c r="G24" s="7" t="s">
        <v>1200</v>
      </c>
      <c r="H24" s="7" t="s">
        <v>1268</v>
      </c>
      <c r="I24" s="7" t="e">
        <f t="shared" si="0"/>
        <v>#VALUE!</v>
      </c>
      <c r="J24" s="40">
        <v>0.41666666666666669</v>
      </c>
      <c r="K24" s="7" t="s">
        <v>30</v>
      </c>
      <c r="L24" s="7" t="s">
        <v>1269</v>
      </c>
      <c r="M24" s="7" t="s">
        <v>14</v>
      </c>
      <c r="N24" s="7" t="s">
        <v>14</v>
      </c>
    </row>
    <row r="25" spans="1:14" ht="15.75" customHeight="1">
      <c r="A25" s="7">
        <v>364</v>
      </c>
      <c r="B25" s="7">
        <v>13616</v>
      </c>
      <c r="C25" s="7" t="s">
        <v>369</v>
      </c>
      <c r="D25" s="7" t="s">
        <v>284</v>
      </c>
      <c r="E25" s="39">
        <v>42826</v>
      </c>
      <c r="F25" s="7" t="s">
        <v>1270</v>
      </c>
      <c r="G25" s="7" t="s">
        <v>1200</v>
      </c>
      <c r="H25" s="7" t="s">
        <v>1271</v>
      </c>
      <c r="I25" s="7" t="e">
        <f t="shared" si="0"/>
        <v>#VALUE!</v>
      </c>
      <c r="J25" s="40">
        <v>0.41666666666666669</v>
      </c>
      <c r="K25" s="7" t="s">
        <v>1264</v>
      </c>
      <c r="L25" s="7" t="s">
        <v>1272</v>
      </c>
      <c r="M25" s="7" t="s">
        <v>14</v>
      </c>
      <c r="N25" s="7" t="s">
        <v>14</v>
      </c>
    </row>
    <row r="26" spans="1:14" ht="15.75" customHeight="1">
      <c r="A26" s="7">
        <v>385</v>
      </c>
      <c r="B26" s="7">
        <v>13240</v>
      </c>
      <c r="C26" s="7" t="s">
        <v>1273</v>
      </c>
      <c r="D26" s="7" t="s">
        <v>284</v>
      </c>
      <c r="E26" s="39">
        <v>42826</v>
      </c>
      <c r="F26" s="7" t="s">
        <v>1274</v>
      </c>
      <c r="G26" s="7" t="s">
        <v>1200</v>
      </c>
      <c r="H26" s="7" t="s">
        <v>1275</v>
      </c>
      <c r="I26" s="7" t="e">
        <f t="shared" si="0"/>
        <v>#VALUE!</v>
      </c>
      <c r="J26" s="40">
        <v>0.375</v>
      </c>
      <c r="K26" s="7" t="s">
        <v>253</v>
      </c>
      <c r="L26" s="7" t="s">
        <v>165</v>
      </c>
      <c r="M26" s="7" t="s">
        <v>14</v>
      </c>
      <c r="N26" s="7" t="s">
        <v>14</v>
      </c>
    </row>
    <row r="27" spans="1:14" ht="15.75" customHeight="1">
      <c r="A27" s="7">
        <v>395</v>
      </c>
      <c r="B27" s="7">
        <v>13066</v>
      </c>
      <c r="C27" s="7" t="s">
        <v>935</v>
      </c>
      <c r="D27" s="7" t="s">
        <v>284</v>
      </c>
      <c r="E27" s="39">
        <v>42826</v>
      </c>
      <c r="F27" s="7" t="s">
        <v>1276</v>
      </c>
      <c r="G27" s="7" t="s">
        <v>1200</v>
      </c>
      <c r="H27" s="7" t="s">
        <v>1277</v>
      </c>
      <c r="I27" s="7" t="e">
        <f t="shared" si="0"/>
        <v>#VALUE!</v>
      </c>
      <c r="J27" s="40">
        <v>0.375</v>
      </c>
      <c r="K27" s="7" t="s">
        <v>180</v>
      </c>
      <c r="L27" s="7" t="s">
        <v>107</v>
      </c>
      <c r="M27" s="7" t="s">
        <v>14</v>
      </c>
      <c r="N27" s="7" t="s">
        <v>14</v>
      </c>
    </row>
    <row r="28" spans="1:14" ht="13.2">
      <c r="A28" s="7">
        <v>398</v>
      </c>
      <c r="B28" s="7">
        <v>12886</v>
      </c>
      <c r="C28" s="7" t="s">
        <v>1278</v>
      </c>
      <c r="D28" s="7" t="s">
        <v>284</v>
      </c>
      <c r="E28" s="39">
        <v>42826</v>
      </c>
      <c r="F28" s="7" t="s">
        <v>1279</v>
      </c>
      <c r="G28" s="7" t="s">
        <v>1200</v>
      </c>
      <c r="H28" s="7" t="s">
        <v>1280</v>
      </c>
      <c r="I28" s="7" t="e">
        <f t="shared" si="0"/>
        <v>#VALUE!</v>
      </c>
      <c r="J28" s="40">
        <v>0.375</v>
      </c>
      <c r="K28" s="7" t="s">
        <v>16</v>
      </c>
      <c r="L28" s="7" t="s">
        <v>17</v>
      </c>
      <c r="M28" s="7" t="s">
        <v>14</v>
      </c>
      <c r="N28" s="7" t="s">
        <v>14</v>
      </c>
    </row>
    <row r="29" spans="1:14" ht="13.2">
      <c r="A29" s="7">
        <v>411</v>
      </c>
      <c r="B29" s="7">
        <v>12686</v>
      </c>
      <c r="C29" s="7" t="s">
        <v>1281</v>
      </c>
      <c r="D29" s="7" t="s">
        <v>284</v>
      </c>
      <c r="E29" s="39">
        <v>42826</v>
      </c>
      <c r="F29" s="7" t="s">
        <v>1282</v>
      </c>
      <c r="G29" s="7" t="s">
        <v>1200</v>
      </c>
      <c r="H29" s="7" t="s">
        <v>1283</v>
      </c>
      <c r="I29" s="7" t="e">
        <f t="shared" si="0"/>
        <v>#VALUE!</v>
      </c>
      <c r="J29" s="40">
        <v>0.45833333333333331</v>
      </c>
      <c r="K29" s="7" t="s">
        <v>1284</v>
      </c>
      <c r="L29" s="7" t="s">
        <v>101</v>
      </c>
      <c r="M29" s="7" t="s">
        <v>14</v>
      </c>
      <c r="N29" s="7" t="s">
        <v>14</v>
      </c>
    </row>
    <row r="30" spans="1:14" ht="13.2">
      <c r="A30" s="7">
        <v>420</v>
      </c>
      <c r="B30" s="7">
        <v>12600</v>
      </c>
      <c r="C30" s="7" t="s">
        <v>1285</v>
      </c>
      <c r="D30" s="7" t="s">
        <v>284</v>
      </c>
      <c r="E30" s="39">
        <v>42826</v>
      </c>
      <c r="F30" s="7" t="s">
        <v>1286</v>
      </c>
      <c r="G30" s="7" t="s">
        <v>1200</v>
      </c>
      <c r="H30" s="7" t="s">
        <v>1287</v>
      </c>
      <c r="I30" s="7" t="e">
        <f t="shared" si="0"/>
        <v>#VALUE!</v>
      </c>
      <c r="J30" s="40">
        <v>0.5</v>
      </c>
      <c r="K30" s="7" t="s">
        <v>37</v>
      </c>
      <c r="L30" s="7" t="s">
        <v>1288</v>
      </c>
      <c r="M30" s="7" t="s">
        <v>14</v>
      </c>
      <c r="N30" s="7" t="s">
        <v>14</v>
      </c>
    </row>
    <row r="31" spans="1:14" ht="13.2">
      <c r="A31" s="7">
        <v>428</v>
      </c>
      <c r="B31" s="7">
        <v>12469</v>
      </c>
      <c r="C31" s="7" t="s">
        <v>1289</v>
      </c>
      <c r="D31" s="7" t="s">
        <v>284</v>
      </c>
      <c r="E31" s="39">
        <v>42826</v>
      </c>
      <c r="F31" s="7" t="s">
        <v>1290</v>
      </c>
      <c r="G31" s="7" t="s">
        <v>1200</v>
      </c>
      <c r="H31" s="7" t="s">
        <v>1291</v>
      </c>
      <c r="I31" s="7" t="e">
        <f t="shared" si="0"/>
        <v>#VALUE!</v>
      </c>
      <c r="J31" s="40">
        <v>0.375</v>
      </c>
      <c r="K31" s="7" t="s">
        <v>129</v>
      </c>
      <c r="L31" s="7" t="s">
        <v>101</v>
      </c>
      <c r="M31" s="7" t="s">
        <v>14</v>
      </c>
      <c r="N31" s="7" t="s">
        <v>14</v>
      </c>
    </row>
    <row r="32" spans="1:14" ht="13.2">
      <c r="A32" s="7">
        <v>436</v>
      </c>
      <c r="B32" s="7">
        <v>12205</v>
      </c>
      <c r="C32" s="7" t="s">
        <v>1292</v>
      </c>
      <c r="D32" s="7" t="s">
        <v>284</v>
      </c>
      <c r="E32" s="39">
        <v>42826</v>
      </c>
      <c r="F32" s="7" t="s">
        <v>1293</v>
      </c>
      <c r="G32" s="7" t="s">
        <v>1200</v>
      </c>
      <c r="H32" s="7" t="s">
        <v>1294</v>
      </c>
      <c r="I32" s="7" t="e">
        <f t="shared" si="0"/>
        <v>#VALUE!</v>
      </c>
      <c r="J32" s="40">
        <v>0.375</v>
      </c>
      <c r="K32" s="7" t="s">
        <v>41</v>
      </c>
      <c r="L32" s="7" t="s">
        <v>1295</v>
      </c>
      <c r="M32" s="7" t="s">
        <v>14</v>
      </c>
      <c r="N32" s="7" t="s">
        <v>14</v>
      </c>
    </row>
    <row r="33" spans="1:14" ht="13.2">
      <c r="A33" s="7">
        <v>437</v>
      </c>
      <c r="B33" s="7">
        <v>12196</v>
      </c>
      <c r="C33" s="7" t="s">
        <v>1296</v>
      </c>
      <c r="D33" s="7" t="s">
        <v>284</v>
      </c>
      <c r="E33" s="39">
        <v>42826</v>
      </c>
      <c r="F33" s="7" t="s">
        <v>1297</v>
      </c>
      <c r="G33" s="7" t="s">
        <v>1200</v>
      </c>
      <c r="H33" s="7" t="s">
        <v>1298</v>
      </c>
      <c r="I33" s="7" t="e">
        <f t="shared" si="0"/>
        <v>#VALUE!</v>
      </c>
      <c r="J33" s="40">
        <v>0.375</v>
      </c>
      <c r="K33" s="7" t="s">
        <v>141</v>
      </c>
      <c r="L33" s="7" t="s">
        <v>1299</v>
      </c>
      <c r="M33" s="7" t="s">
        <v>14</v>
      </c>
      <c r="N33" s="7" t="s">
        <v>14</v>
      </c>
    </row>
    <row r="34" spans="1:14" ht="13.2">
      <c r="A34" s="7">
        <v>464</v>
      </c>
      <c r="B34" s="7">
        <v>11797</v>
      </c>
      <c r="C34" s="7" t="s">
        <v>1300</v>
      </c>
      <c r="D34" s="7" t="s">
        <v>284</v>
      </c>
      <c r="E34" s="39">
        <v>42826</v>
      </c>
      <c r="F34" s="7" t="s">
        <v>1301</v>
      </c>
      <c r="G34" s="7" t="s">
        <v>1200</v>
      </c>
      <c r="H34" s="7" t="s">
        <v>1302</v>
      </c>
      <c r="I34" s="7" t="e">
        <f t="shared" si="0"/>
        <v>#VALUE!</v>
      </c>
      <c r="J34" s="40">
        <v>0.38541666666666669</v>
      </c>
      <c r="K34" s="7" t="s">
        <v>16</v>
      </c>
      <c r="L34" s="7" t="s">
        <v>107</v>
      </c>
      <c r="M34" s="7" t="s">
        <v>14</v>
      </c>
      <c r="N34" s="7" t="s">
        <v>14</v>
      </c>
    </row>
    <row r="35" spans="1:14" ht="13.2">
      <c r="A35" s="7">
        <v>465</v>
      </c>
      <c r="B35" s="7">
        <v>11788</v>
      </c>
      <c r="C35" s="7" t="s">
        <v>1303</v>
      </c>
      <c r="D35" s="7" t="s">
        <v>284</v>
      </c>
      <c r="E35" s="39">
        <v>42826</v>
      </c>
      <c r="F35" s="7" t="s">
        <v>1304</v>
      </c>
      <c r="G35" s="7" t="s">
        <v>1200</v>
      </c>
      <c r="H35" s="7" t="s">
        <v>1305</v>
      </c>
      <c r="I35" s="7" t="e">
        <f t="shared" si="0"/>
        <v>#VALUE!</v>
      </c>
      <c r="J35" s="40">
        <v>0.42708333333333331</v>
      </c>
      <c r="K35" s="7" t="s">
        <v>16</v>
      </c>
      <c r="L35" s="7" t="s">
        <v>107</v>
      </c>
      <c r="M35" s="7" t="s">
        <v>14</v>
      </c>
      <c r="N35" s="7" t="s">
        <v>14</v>
      </c>
    </row>
    <row r="36" spans="1:14" ht="13.2">
      <c r="A36" s="7">
        <v>478</v>
      </c>
      <c r="B36" s="7">
        <v>11470</v>
      </c>
      <c r="C36" s="7" t="s">
        <v>1306</v>
      </c>
      <c r="D36" s="7" t="s">
        <v>284</v>
      </c>
      <c r="E36" s="39">
        <v>42826</v>
      </c>
      <c r="F36" s="7" t="s">
        <v>1307</v>
      </c>
      <c r="G36" s="7" t="s">
        <v>1200</v>
      </c>
      <c r="H36" s="7" t="s">
        <v>1308</v>
      </c>
      <c r="I36" s="7" t="e">
        <f t="shared" si="0"/>
        <v>#VALUE!</v>
      </c>
      <c r="J36" s="40">
        <v>0.4375</v>
      </c>
      <c r="K36" s="7" t="s">
        <v>16</v>
      </c>
      <c r="L36" s="7" t="s">
        <v>96</v>
      </c>
      <c r="M36" s="7" t="s">
        <v>14</v>
      </c>
      <c r="N36" s="7" t="s">
        <v>14</v>
      </c>
    </row>
    <row r="37" spans="1:14" ht="13.2">
      <c r="A37" s="7">
        <v>479</v>
      </c>
      <c r="B37" s="7">
        <v>11458</v>
      </c>
      <c r="C37" s="7" t="s">
        <v>1309</v>
      </c>
      <c r="D37" s="7" t="s">
        <v>284</v>
      </c>
      <c r="E37" s="39">
        <v>42826</v>
      </c>
      <c r="F37" s="7" t="s">
        <v>1310</v>
      </c>
      <c r="G37" s="7" t="s">
        <v>1200</v>
      </c>
      <c r="H37" s="7" t="s">
        <v>1311</v>
      </c>
      <c r="I37" s="7" t="e">
        <f t="shared" si="0"/>
        <v>#VALUE!</v>
      </c>
      <c r="J37" s="40">
        <v>0.45833333333333331</v>
      </c>
      <c r="K37" s="7" t="s">
        <v>180</v>
      </c>
      <c r="L37" s="7" t="s">
        <v>107</v>
      </c>
      <c r="M37" s="7" t="s">
        <v>14</v>
      </c>
      <c r="N37" s="7" t="s">
        <v>14</v>
      </c>
    </row>
    <row r="38" spans="1:14" ht="13.2">
      <c r="A38" s="7">
        <v>500</v>
      </c>
      <c r="B38" s="7">
        <v>11196</v>
      </c>
      <c r="C38" s="7" t="s">
        <v>1312</v>
      </c>
      <c r="D38" s="7" t="s">
        <v>284</v>
      </c>
      <c r="E38" s="39">
        <v>42826</v>
      </c>
      <c r="F38" s="7" t="s">
        <v>1313</v>
      </c>
      <c r="G38" s="7" t="s">
        <v>1200</v>
      </c>
      <c r="H38" s="7" t="s">
        <v>1314</v>
      </c>
      <c r="I38" s="7" t="e">
        <f t="shared" si="0"/>
        <v>#VALUE!</v>
      </c>
      <c r="J38" s="40">
        <v>0.54166666666666663</v>
      </c>
      <c r="K38" s="7" t="s">
        <v>16</v>
      </c>
      <c r="L38" s="7" t="s">
        <v>107</v>
      </c>
      <c r="M38" s="7" t="s">
        <v>14</v>
      </c>
      <c r="N38" s="7" t="s">
        <v>14</v>
      </c>
    </row>
    <row r="39" spans="1:14" ht="13.2">
      <c r="A39" s="7">
        <v>509</v>
      </c>
      <c r="B39" s="7">
        <v>10655</v>
      </c>
      <c r="C39" s="7" t="s">
        <v>1315</v>
      </c>
      <c r="D39" s="7" t="s">
        <v>284</v>
      </c>
      <c r="E39" s="39">
        <v>42826</v>
      </c>
      <c r="F39" s="7" t="s">
        <v>1316</v>
      </c>
      <c r="G39" s="7" t="s">
        <v>1200</v>
      </c>
      <c r="H39" s="7" t="s">
        <v>1317</v>
      </c>
      <c r="I39" s="7" t="e">
        <f t="shared" si="0"/>
        <v>#VALUE!</v>
      </c>
      <c r="J39" s="40">
        <v>0.64583333333333337</v>
      </c>
      <c r="K39" s="7" t="s">
        <v>1318</v>
      </c>
      <c r="L39" s="7" t="s">
        <v>1319</v>
      </c>
      <c r="M39" s="7" t="s">
        <v>14</v>
      </c>
      <c r="N39" s="7" t="s">
        <v>14</v>
      </c>
    </row>
    <row r="40" spans="1:14" ht="13.2">
      <c r="A40" s="7">
        <v>536</v>
      </c>
      <c r="B40" s="7">
        <v>4805</v>
      </c>
      <c r="C40" s="7" t="s">
        <v>1320</v>
      </c>
      <c r="D40" s="7" t="s">
        <v>284</v>
      </c>
      <c r="E40" s="39">
        <v>42826</v>
      </c>
      <c r="F40" s="7" t="s">
        <v>1321</v>
      </c>
      <c r="G40" s="7" t="s">
        <v>1200</v>
      </c>
      <c r="H40" s="7" t="s">
        <v>1322</v>
      </c>
      <c r="I40" s="7" t="e">
        <f t="shared" si="0"/>
        <v>#VALUE!</v>
      </c>
      <c r="J40" s="40">
        <v>0.58333333333333337</v>
      </c>
      <c r="K40" s="7" t="s">
        <v>1318</v>
      </c>
      <c r="L40" s="7" t="s">
        <v>1214</v>
      </c>
      <c r="M40" s="7" t="s">
        <v>14</v>
      </c>
      <c r="N40" s="7" t="s">
        <v>14</v>
      </c>
    </row>
    <row r="41" spans="1:14" ht="13.2">
      <c r="A41" s="7">
        <v>187</v>
      </c>
      <c r="B41" s="7">
        <v>13741</v>
      </c>
      <c r="C41" s="7" t="s">
        <v>1323</v>
      </c>
      <c r="D41" s="7" t="s">
        <v>1324</v>
      </c>
      <c r="E41" s="39">
        <v>42830</v>
      </c>
      <c r="F41" s="7" t="s">
        <v>1325</v>
      </c>
      <c r="G41" s="7" t="s">
        <v>1200</v>
      </c>
      <c r="H41" s="7" t="s">
        <v>1326</v>
      </c>
      <c r="I41" s="7" t="e">
        <f t="shared" si="0"/>
        <v>#VALUE!</v>
      </c>
      <c r="J41" s="40">
        <v>0.85416666666666663</v>
      </c>
      <c r="K41" s="7" t="s">
        <v>30</v>
      </c>
      <c r="L41" s="7" t="s">
        <v>1202</v>
      </c>
      <c r="M41" s="7" t="s">
        <v>14</v>
      </c>
      <c r="N41" s="7" t="s">
        <v>328</v>
      </c>
    </row>
    <row r="42" spans="1:14" ht="13.2">
      <c r="A42" s="7">
        <v>213</v>
      </c>
      <c r="B42" s="7">
        <v>12734</v>
      </c>
      <c r="C42" s="7" t="s">
        <v>1281</v>
      </c>
      <c r="D42" s="7" t="s">
        <v>284</v>
      </c>
      <c r="E42" s="39">
        <v>42833</v>
      </c>
      <c r="F42" s="7" t="s">
        <v>1327</v>
      </c>
      <c r="G42" s="7" t="s">
        <v>1200</v>
      </c>
      <c r="H42" s="7" t="s">
        <v>1328</v>
      </c>
      <c r="I42" s="7" t="e">
        <f t="shared" si="0"/>
        <v>#VALUE!</v>
      </c>
      <c r="J42" s="40">
        <v>0.41666666666666669</v>
      </c>
      <c r="K42" s="7" t="s">
        <v>30</v>
      </c>
      <c r="L42" s="7" t="s">
        <v>1329</v>
      </c>
      <c r="M42" s="7" t="s">
        <v>14</v>
      </c>
      <c r="N42" s="7" t="s">
        <v>423</v>
      </c>
    </row>
    <row r="43" spans="1:14" ht="13.2">
      <c r="A43" s="7">
        <v>263</v>
      </c>
      <c r="B43" s="7">
        <v>7765</v>
      </c>
      <c r="C43" s="7" t="s">
        <v>1315</v>
      </c>
      <c r="D43" s="7" t="s">
        <v>284</v>
      </c>
      <c r="E43" s="39">
        <v>42833</v>
      </c>
      <c r="F43" s="7" t="s">
        <v>1330</v>
      </c>
      <c r="G43" s="7" t="s">
        <v>1200</v>
      </c>
      <c r="H43" s="7" t="s">
        <v>1331</v>
      </c>
      <c r="I43" s="7" t="e">
        <f t="shared" si="0"/>
        <v>#VALUE!</v>
      </c>
      <c r="J43" s="40">
        <v>0.58333333333333337</v>
      </c>
      <c r="K43" s="7" t="s">
        <v>30</v>
      </c>
      <c r="L43" s="7" t="s">
        <v>1214</v>
      </c>
      <c r="M43" s="7" t="s">
        <v>14</v>
      </c>
      <c r="N43" s="7" t="s">
        <v>289</v>
      </c>
    </row>
    <row r="44" spans="1:14" ht="13.2">
      <c r="A44" s="7">
        <v>275</v>
      </c>
      <c r="B44" s="7">
        <v>4851</v>
      </c>
      <c r="C44" s="7" t="s">
        <v>1320</v>
      </c>
      <c r="D44" s="7" t="s">
        <v>284</v>
      </c>
      <c r="E44" s="39">
        <v>42833</v>
      </c>
      <c r="F44" s="7" t="s">
        <v>1332</v>
      </c>
      <c r="G44" s="7" t="s">
        <v>1200</v>
      </c>
      <c r="H44" s="7" t="s">
        <v>1333</v>
      </c>
      <c r="I44" s="7" t="e">
        <f t="shared" si="0"/>
        <v>#VALUE!</v>
      </c>
      <c r="J44" s="40">
        <v>0.52083333333333337</v>
      </c>
      <c r="K44" s="7" t="s">
        <v>30</v>
      </c>
      <c r="L44" s="7" t="s">
        <v>1214</v>
      </c>
      <c r="M44" s="7" t="s">
        <v>14</v>
      </c>
      <c r="N44" s="7" t="s">
        <v>289</v>
      </c>
    </row>
    <row r="45" spans="1:14" ht="13.2">
      <c r="A45" s="7">
        <v>475</v>
      </c>
      <c r="B45" s="7">
        <v>11539</v>
      </c>
      <c r="C45" s="7" t="s">
        <v>1231</v>
      </c>
      <c r="D45" s="7" t="s">
        <v>284</v>
      </c>
      <c r="E45" s="39">
        <v>42833</v>
      </c>
      <c r="F45" s="7" t="s">
        <v>1334</v>
      </c>
      <c r="G45" s="7" t="s">
        <v>1200</v>
      </c>
      <c r="H45" s="7" t="s">
        <v>1335</v>
      </c>
      <c r="I45" s="7" t="e">
        <f t="shared" si="0"/>
        <v>#VALUE!</v>
      </c>
      <c r="J45" s="40">
        <v>0.5</v>
      </c>
      <c r="K45" s="7" t="s">
        <v>1336</v>
      </c>
      <c r="L45" s="7" t="s">
        <v>1337</v>
      </c>
      <c r="M45" s="7" t="s">
        <v>14</v>
      </c>
      <c r="N45" s="7" t="s">
        <v>14</v>
      </c>
    </row>
    <row r="46" spans="1:14" ht="13.2">
      <c r="A46" s="7">
        <v>521</v>
      </c>
      <c r="B46" s="7">
        <v>6554</v>
      </c>
      <c r="C46" s="7" t="s">
        <v>1107</v>
      </c>
      <c r="D46" s="7" t="s">
        <v>284</v>
      </c>
      <c r="E46" s="39">
        <v>42833</v>
      </c>
      <c r="F46" s="7" t="s">
        <v>1338</v>
      </c>
      <c r="G46" s="7" t="s">
        <v>1200</v>
      </c>
      <c r="H46" s="7" t="s">
        <v>1339</v>
      </c>
      <c r="I46" s="7" t="e">
        <f t="shared" si="0"/>
        <v>#VALUE!</v>
      </c>
      <c r="J46" s="40">
        <v>0.45833333333333331</v>
      </c>
      <c r="K46" s="7" t="s">
        <v>188</v>
      </c>
      <c r="L46" s="7" t="s">
        <v>1214</v>
      </c>
      <c r="M46" s="7" t="s">
        <v>14</v>
      </c>
      <c r="N46" s="7" t="s">
        <v>14</v>
      </c>
    </row>
    <row r="47" spans="1:14" ht="13.2">
      <c r="A47" s="7">
        <v>522</v>
      </c>
      <c r="B47" s="7">
        <v>6550</v>
      </c>
      <c r="C47" s="7" t="s">
        <v>1113</v>
      </c>
      <c r="D47" s="7" t="s">
        <v>284</v>
      </c>
      <c r="E47" s="39">
        <v>42833</v>
      </c>
      <c r="F47" s="7" t="s">
        <v>1340</v>
      </c>
      <c r="G47" s="7" t="s">
        <v>1200</v>
      </c>
      <c r="H47" s="7" t="s">
        <v>1341</v>
      </c>
      <c r="I47" s="7" t="e">
        <f t="shared" si="0"/>
        <v>#VALUE!</v>
      </c>
      <c r="J47" s="40">
        <v>0.44791666666666669</v>
      </c>
      <c r="K47" s="7" t="s">
        <v>1342</v>
      </c>
      <c r="L47" s="7" t="s">
        <v>1214</v>
      </c>
      <c r="M47" s="7" t="s">
        <v>14</v>
      </c>
      <c r="N47" s="7" t="s">
        <v>14</v>
      </c>
    </row>
    <row r="48" spans="1:14" ht="13.2">
      <c r="A48" s="7">
        <v>534</v>
      </c>
      <c r="B48" s="7">
        <v>4904</v>
      </c>
      <c r="C48" s="7" t="s">
        <v>1244</v>
      </c>
      <c r="D48" s="7" t="s">
        <v>284</v>
      </c>
      <c r="E48" s="39">
        <v>42833</v>
      </c>
      <c r="F48" s="7" t="s">
        <v>1343</v>
      </c>
      <c r="G48" s="7" t="s">
        <v>1200</v>
      </c>
      <c r="H48" s="7" t="s">
        <v>1344</v>
      </c>
      <c r="I48" s="7" t="e">
        <f t="shared" si="0"/>
        <v>#VALUE!</v>
      </c>
      <c r="J48" s="40">
        <v>0.52083333333333337</v>
      </c>
      <c r="K48" s="7" t="s">
        <v>1345</v>
      </c>
      <c r="L48" s="7" t="s">
        <v>1346</v>
      </c>
      <c r="M48" s="7" t="s">
        <v>14</v>
      </c>
      <c r="N48" s="7" t="s">
        <v>14</v>
      </c>
    </row>
    <row r="49" spans="1:14" ht="13.2">
      <c r="A49" s="7">
        <v>546</v>
      </c>
      <c r="B49" s="7">
        <v>2780</v>
      </c>
      <c r="C49" s="7" t="s">
        <v>1247</v>
      </c>
      <c r="D49" s="7" t="s">
        <v>284</v>
      </c>
      <c r="E49" s="39">
        <v>42833</v>
      </c>
      <c r="F49" s="7" t="s">
        <v>1347</v>
      </c>
      <c r="G49" s="7" t="s">
        <v>1200</v>
      </c>
      <c r="H49" s="7" t="s">
        <v>1348</v>
      </c>
      <c r="I49" s="7" t="e">
        <f t="shared" si="0"/>
        <v>#VALUE!</v>
      </c>
      <c r="J49" s="40">
        <v>0.58333333333333337</v>
      </c>
      <c r="K49" s="7" t="s">
        <v>1345</v>
      </c>
      <c r="L49" s="7" t="s">
        <v>1346</v>
      </c>
      <c r="M49" s="7" t="s">
        <v>14</v>
      </c>
      <c r="N49" s="7" t="s">
        <v>14</v>
      </c>
    </row>
    <row r="50" spans="1:14" ht="13.2">
      <c r="A50" s="7">
        <v>357</v>
      </c>
      <c r="B50" s="7">
        <v>13747</v>
      </c>
      <c r="C50" s="7" t="s">
        <v>1323</v>
      </c>
      <c r="D50" s="7" t="s">
        <v>1324</v>
      </c>
      <c r="E50" s="39">
        <v>42837</v>
      </c>
      <c r="F50" s="7" t="s">
        <v>1349</v>
      </c>
      <c r="G50" s="7" t="s">
        <v>1200</v>
      </c>
      <c r="H50" s="7" t="s">
        <v>1350</v>
      </c>
      <c r="I50" s="7" t="e">
        <f t="shared" si="0"/>
        <v>#VALUE!</v>
      </c>
      <c r="J50" s="40">
        <v>0.83333333333333337</v>
      </c>
      <c r="K50" s="7" t="s">
        <v>129</v>
      </c>
      <c r="L50" s="7" t="s">
        <v>114</v>
      </c>
      <c r="M50" s="7" t="s">
        <v>14</v>
      </c>
      <c r="N50" s="7" t="s">
        <v>14</v>
      </c>
    </row>
    <row r="51" spans="1:14" ht="13.2">
      <c r="A51" s="7">
        <v>163</v>
      </c>
      <c r="B51" s="7">
        <v>23383</v>
      </c>
      <c r="C51" s="7" t="s">
        <v>1250</v>
      </c>
      <c r="D51" s="7" t="s">
        <v>284</v>
      </c>
      <c r="E51" s="39">
        <v>42840</v>
      </c>
      <c r="F51" s="7" t="s">
        <v>1351</v>
      </c>
      <c r="G51" s="7" t="s">
        <v>1200</v>
      </c>
      <c r="H51" s="7" t="s">
        <v>1352</v>
      </c>
      <c r="I51" s="7" t="e">
        <f t="shared" si="0"/>
        <v>#VALUE!</v>
      </c>
      <c r="J51" s="40">
        <v>0.4375</v>
      </c>
      <c r="K51" s="7" t="s">
        <v>30</v>
      </c>
      <c r="L51" s="7" t="s">
        <v>101</v>
      </c>
      <c r="M51" s="7" t="s">
        <v>14</v>
      </c>
      <c r="N51" s="7" t="s">
        <v>289</v>
      </c>
    </row>
    <row r="52" spans="1:14" ht="13.2">
      <c r="A52" s="7">
        <v>165</v>
      </c>
      <c r="B52" s="7">
        <v>23099</v>
      </c>
      <c r="C52" s="7" t="s">
        <v>1253</v>
      </c>
      <c r="D52" s="7" t="s">
        <v>284</v>
      </c>
      <c r="E52" s="39">
        <v>42840</v>
      </c>
      <c r="F52" s="7" t="s">
        <v>1353</v>
      </c>
      <c r="G52" s="7" t="s">
        <v>1200</v>
      </c>
      <c r="H52" s="7" t="s">
        <v>1354</v>
      </c>
      <c r="I52" s="7" t="e">
        <f t="shared" si="0"/>
        <v>#VALUE!</v>
      </c>
      <c r="J52" s="40">
        <v>0.5</v>
      </c>
      <c r="K52" s="7" t="s">
        <v>30</v>
      </c>
      <c r="L52" s="7" t="s">
        <v>1329</v>
      </c>
      <c r="M52" s="7" t="s">
        <v>14</v>
      </c>
      <c r="N52" s="7" t="s">
        <v>289</v>
      </c>
    </row>
    <row r="53" spans="1:14" ht="13.2">
      <c r="A53" s="7">
        <v>168</v>
      </c>
      <c r="B53" s="7">
        <v>22946</v>
      </c>
      <c r="C53" s="7" t="s">
        <v>1256</v>
      </c>
      <c r="D53" s="7" t="s">
        <v>284</v>
      </c>
      <c r="E53" s="39">
        <v>42840</v>
      </c>
      <c r="F53" s="7" t="s">
        <v>1355</v>
      </c>
      <c r="G53" s="7" t="s">
        <v>1200</v>
      </c>
      <c r="H53" s="7" t="s">
        <v>1356</v>
      </c>
      <c r="I53" s="7" t="e">
        <f t="shared" si="0"/>
        <v>#VALUE!</v>
      </c>
      <c r="J53" s="40">
        <v>0.5</v>
      </c>
      <c r="K53" s="7" t="s">
        <v>30</v>
      </c>
      <c r="L53" s="7" t="s">
        <v>1234</v>
      </c>
      <c r="M53" s="7" t="s">
        <v>14</v>
      </c>
      <c r="N53" s="7" t="s">
        <v>289</v>
      </c>
    </row>
    <row r="54" spans="1:14" ht="13.2">
      <c r="A54" s="7">
        <v>171</v>
      </c>
      <c r="B54" s="7">
        <v>14354</v>
      </c>
      <c r="C54" s="7" t="s">
        <v>1259</v>
      </c>
      <c r="D54" s="7" t="s">
        <v>284</v>
      </c>
      <c r="E54" s="39">
        <v>42840</v>
      </c>
      <c r="F54" s="7" t="s">
        <v>1357</v>
      </c>
      <c r="G54" s="7" t="s">
        <v>1200</v>
      </c>
      <c r="H54" s="7" t="s">
        <v>1358</v>
      </c>
      <c r="I54" s="7" t="e">
        <f t="shared" si="0"/>
        <v>#VALUE!</v>
      </c>
      <c r="J54" s="40">
        <v>0.63541666666666663</v>
      </c>
      <c r="K54" s="7" t="s">
        <v>30</v>
      </c>
      <c r="L54" s="7" t="s">
        <v>1319</v>
      </c>
      <c r="M54" s="7" t="s">
        <v>14</v>
      </c>
      <c r="N54" s="7" t="s">
        <v>338</v>
      </c>
    </row>
    <row r="55" spans="1:14" ht="13.2">
      <c r="A55" s="7">
        <v>182</v>
      </c>
      <c r="B55" s="7">
        <v>13941</v>
      </c>
      <c r="C55" s="7" t="s">
        <v>560</v>
      </c>
      <c r="D55" s="7" t="s">
        <v>284</v>
      </c>
      <c r="E55" s="39">
        <v>42840</v>
      </c>
      <c r="F55" s="7" t="s">
        <v>1359</v>
      </c>
      <c r="G55" s="7" t="s">
        <v>1200</v>
      </c>
      <c r="H55" s="7" t="s">
        <v>1360</v>
      </c>
      <c r="I55" s="7" t="e">
        <f t="shared" si="0"/>
        <v>#VALUE!</v>
      </c>
      <c r="J55" s="40">
        <v>0.55208333333333337</v>
      </c>
      <c r="K55" s="7" t="s">
        <v>30</v>
      </c>
      <c r="L55" s="7" t="s">
        <v>1319</v>
      </c>
      <c r="M55" s="7" t="s">
        <v>14</v>
      </c>
      <c r="N55" s="7" t="s">
        <v>328</v>
      </c>
    </row>
    <row r="56" spans="1:14" ht="13.2">
      <c r="A56" s="7">
        <v>193</v>
      </c>
      <c r="B56" s="7">
        <v>13567</v>
      </c>
      <c r="C56" s="7" t="s">
        <v>369</v>
      </c>
      <c r="D56" s="7" t="s">
        <v>284</v>
      </c>
      <c r="E56" s="39">
        <v>42840</v>
      </c>
      <c r="F56" s="7" t="s">
        <v>1361</v>
      </c>
      <c r="G56" s="7" t="s">
        <v>1200</v>
      </c>
      <c r="H56" s="7" t="s">
        <v>1362</v>
      </c>
      <c r="I56" s="7" t="e">
        <f t="shared" si="0"/>
        <v>#VALUE!</v>
      </c>
      <c r="J56" s="40">
        <v>0.42708333333333331</v>
      </c>
      <c r="K56" s="7" t="s">
        <v>30</v>
      </c>
      <c r="L56" s="7" t="s">
        <v>1214</v>
      </c>
      <c r="M56" s="7" t="s">
        <v>14</v>
      </c>
      <c r="N56" s="7" t="s">
        <v>1363</v>
      </c>
    </row>
    <row r="57" spans="1:14" ht="13.2">
      <c r="A57" s="7">
        <v>198</v>
      </c>
      <c r="B57" s="7">
        <v>13349</v>
      </c>
      <c r="C57" s="7" t="s">
        <v>1266</v>
      </c>
      <c r="D57" s="7" t="s">
        <v>284</v>
      </c>
      <c r="E57" s="39">
        <v>42840</v>
      </c>
      <c r="F57" s="7" t="s">
        <v>1364</v>
      </c>
      <c r="G57" s="7" t="s">
        <v>1200</v>
      </c>
      <c r="H57" s="7" t="s">
        <v>1365</v>
      </c>
      <c r="I57" s="7" t="e">
        <f t="shared" si="0"/>
        <v>#VALUE!</v>
      </c>
      <c r="J57" s="40">
        <v>0.38541666666666669</v>
      </c>
      <c r="K57" s="7" t="s">
        <v>30</v>
      </c>
      <c r="L57" s="7" t="s">
        <v>1214</v>
      </c>
      <c r="M57" s="7" t="s">
        <v>14</v>
      </c>
      <c r="N57" s="7" t="s">
        <v>399</v>
      </c>
    </row>
    <row r="58" spans="1:14" ht="13.2">
      <c r="A58" s="7">
        <v>203</v>
      </c>
      <c r="B58" s="7">
        <v>13155</v>
      </c>
      <c r="C58" s="7" t="s">
        <v>1273</v>
      </c>
      <c r="D58" s="7" t="s">
        <v>284</v>
      </c>
      <c r="E58" s="39">
        <v>42840</v>
      </c>
      <c r="F58" s="7" t="s">
        <v>1366</v>
      </c>
      <c r="G58" s="7" t="s">
        <v>1200</v>
      </c>
      <c r="H58" s="7" t="s">
        <v>1367</v>
      </c>
      <c r="I58" s="7" t="e">
        <f t="shared" si="0"/>
        <v>#VALUE!</v>
      </c>
      <c r="J58" s="40">
        <v>0.39583333333333331</v>
      </c>
      <c r="K58" s="7" t="s">
        <v>30</v>
      </c>
      <c r="L58" s="7" t="s">
        <v>1269</v>
      </c>
      <c r="M58" s="7" t="s">
        <v>14</v>
      </c>
      <c r="N58" s="7" t="s">
        <v>1215</v>
      </c>
    </row>
    <row r="59" spans="1:14" ht="13.2">
      <c r="A59" s="7">
        <v>207</v>
      </c>
      <c r="B59" s="7">
        <v>12740</v>
      </c>
      <c r="C59" s="7" t="s">
        <v>935</v>
      </c>
      <c r="D59" s="7" t="s">
        <v>284</v>
      </c>
      <c r="E59" s="39">
        <v>42840</v>
      </c>
      <c r="F59" s="7" t="s">
        <v>1368</v>
      </c>
      <c r="G59" s="7" t="s">
        <v>1200</v>
      </c>
      <c r="H59" s="7" t="s">
        <v>1369</v>
      </c>
      <c r="I59" s="7" t="e">
        <f t="shared" si="0"/>
        <v>#VALUE!</v>
      </c>
      <c r="J59" s="40">
        <v>0.375</v>
      </c>
      <c r="K59" s="7" t="s">
        <v>30</v>
      </c>
      <c r="L59" s="7" t="s">
        <v>1329</v>
      </c>
      <c r="M59" s="7" t="s">
        <v>14</v>
      </c>
      <c r="N59" s="7" t="s">
        <v>550</v>
      </c>
    </row>
    <row r="60" spans="1:14" ht="13.2">
      <c r="A60" s="7">
        <v>211</v>
      </c>
      <c r="B60" s="7">
        <v>12736</v>
      </c>
      <c r="C60" s="7" t="s">
        <v>1278</v>
      </c>
      <c r="D60" s="7" t="s">
        <v>284</v>
      </c>
      <c r="E60" s="39">
        <v>42840</v>
      </c>
      <c r="F60" s="7" t="s">
        <v>1370</v>
      </c>
      <c r="G60" s="7" t="s">
        <v>1200</v>
      </c>
      <c r="H60" s="7" t="s">
        <v>1371</v>
      </c>
      <c r="I60" s="7" t="e">
        <f t="shared" si="0"/>
        <v>#VALUE!</v>
      </c>
      <c r="J60" s="40">
        <v>0.41666666666666669</v>
      </c>
      <c r="K60" s="7" t="s">
        <v>30</v>
      </c>
      <c r="L60" s="7" t="s">
        <v>1329</v>
      </c>
      <c r="M60" s="7" t="s">
        <v>14</v>
      </c>
      <c r="N60" s="7" t="s">
        <v>456</v>
      </c>
    </row>
    <row r="61" spans="1:14" ht="13.2">
      <c r="A61" s="7">
        <v>223</v>
      </c>
      <c r="B61" s="7">
        <v>12541</v>
      </c>
      <c r="C61" s="7" t="s">
        <v>1285</v>
      </c>
      <c r="D61" s="7" t="s">
        <v>284</v>
      </c>
      <c r="E61" s="39">
        <v>42840</v>
      </c>
      <c r="F61" s="7" t="s">
        <v>1372</v>
      </c>
      <c r="G61" s="7" t="s">
        <v>1200</v>
      </c>
      <c r="H61" s="7" t="s">
        <v>1373</v>
      </c>
      <c r="I61" s="7" t="e">
        <f t="shared" si="0"/>
        <v>#VALUE!</v>
      </c>
      <c r="J61" s="40">
        <v>0.42708333333333331</v>
      </c>
      <c r="K61" s="7" t="s">
        <v>30</v>
      </c>
      <c r="L61" s="7" t="s">
        <v>114</v>
      </c>
      <c r="M61" s="7" t="s">
        <v>14</v>
      </c>
      <c r="N61" s="7" t="s">
        <v>748</v>
      </c>
    </row>
    <row r="62" spans="1:14" ht="13.2">
      <c r="A62" s="7">
        <v>225</v>
      </c>
      <c r="B62" s="7">
        <v>12059</v>
      </c>
      <c r="C62" s="7" t="s">
        <v>1296</v>
      </c>
      <c r="D62" s="7" t="s">
        <v>284</v>
      </c>
      <c r="E62" s="39">
        <v>42840</v>
      </c>
      <c r="F62" s="7" t="s">
        <v>1374</v>
      </c>
      <c r="G62" s="7" t="s">
        <v>1200</v>
      </c>
      <c r="H62" s="7" t="s">
        <v>1375</v>
      </c>
      <c r="I62" s="7" t="e">
        <f t="shared" si="0"/>
        <v>#VALUE!</v>
      </c>
      <c r="J62" s="40">
        <v>0.38541666666666669</v>
      </c>
      <c r="K62" s="7" t="s">
        <v>30</v>
      </c>
      <c r="L62" s="7" t="s">
        <v>114</v>
      </c>
      <c r="M62" s="7" t="s">
        <v>14</v>
      </c>
      <c r="N62" s="7" t="s">
        <v>800</v>
      </c>
    </row>
    <row r="63" spans="1:14" ht="13.2">
      <c r="A63" s="7">
        <v>228</v>
      </c>
      <c r="B63" s="7">
        <v>12056</v>
      </c>
      <c r="C63" s="7" t="s">
        <v>1292</v>
      </c>
      <c r="D63" s="7" t="s">
        <v>284</v>
      </c>
      <c r="E63" s="39">
        <v>42840</v>
      </c>
      <c r="F63" s="7" t="s">
        <v>1376</v>
      </c>
      <c r="G63" s="7" t="s">
        <v>1200</v>
      </c>
      <c r="H63" s="7" t="s">
        <v>1377</v>
      </c>
      <c r="I63" s="7" t="e">
        <f t="shared" si="0"/>
        <v>#VALUE!</v>
      </c>
      <c r="J63" s="40">
        <v>0.42708333333333331</v>
      </c>
      <c r="K63" s="7" t="s">
        <v>30</v>
      </c>
      <c r="L63" s="7" t="s">
        <v>1214</v>
      </c>
      <c r="M63" s="7" t="s">
        <v>14</v>
      </c>
      <c r="N63" s="7" t="s">
        <v>1363</v>
      </c>
    </row>
    <row r="64" spans="1:14" ht="13.2">
      <c r="A64" s="7">
        <v>232</v>
      </c>
      <c r="B64" s="7">
        <v>12052</v>
      </c>
      <c r="C64" s="7" t="s">
        <v>1289</v>
      </c>
      <c r="D64" s="7" t="s">
        <v>284</v>
      </c>
      <c r="E64" s="39">
        <v>42840</v>
      </c>
      <c r="F64" s="7" t="s">
        <v>1378</v>
      </c>
      <c r="G64" s="7" t="s">
        <v>1200</v>
      </c>
      <c r="H64" s="7" t="s">
        <v>1379</v>
      </c>
      <c r="I64" s="7" t="e">
        <f t="shared" si="0"/>
        <v>#VALUE!</v>
      </c>
      <c r="J64" s="40">
        <v>0.38541666666666669</v>
      </c>
      <c r="K64" s="7" t="s">
        <v>30</v>
      </c>
      <c r="L64" s="7" t="s">
        <v>1214</v>
      </c>
      <c r="M64" s="7" t="s">
        <v>14</v>
      </c>
      <c r="N64" s="7" t="s">
        <v>714</v>
      </c>
    </row>
    <row r="65" spans="1:14" ht="13.2">
      <c r="A65" s="7">
        <v>239</v>
      </c>
      <c r="B65" s="7">
        <v>11670</v>
      </c>
      <c r="C65" s="7" t="s">
        <v>1300</v>
      </c>
      <c r="D65" s="7" t="s">
        <v>284</v>
      </c>
      <c r="E65" s="39">
        <v>42840</v>
      </c>
      <c r="F65" s="7" t="s">
        <v>1380</v>
      </c>
      <c r="G65" s="7" t="s">
        <v>1200</v>
      </c>
      <c r="H65" s="7" t="s">
        <v>1381</v>
      </c>
      <c r="I65" s="7" t="e">
        <f t="shared" si="0"/>
        <v>#VALUE!</v>
      </c>
      <c r="J65" s="40">
        <v>0.47916666666666669</v>
      </c>
      <c r="K65" s="7" t="s">
        <v>30</v>
      </c>
      <c r="L65" s="7" t="s">
        <v>101</v>
      </c>
      <c r="M65" s="7" t="s">
        <v>14</v>
      </c>
      <c r="N65" s="7" t="s">
        <v>493</v>
      </c>
    </row>
    <row r="66" spans="1:14" ht="13.2">
      <c r="A66" s="7">
        <v>242</v>
      </c>
      <c r="B66" s="7">
        <v>11667</v>
      </c>
      <c r="C66" s="7" t="s">
        <v>1303</v>
      </c>
      <c r="D66" s="7" t="s">
        <v>284</v>
      </c>
      <c r="E66" s="39">
        <v>42840</v>
      </c>
      <c r="F66" s="7" t="s">
        <v>1382</v>
      </c>
      <c r="G66" s="7" t="s">
        <v>1200</v>
      </c>
      <c r="H66" s="7" t="s">
        <v>1383</v>
      </c>
      <c r="I66" s="7" t="e">
        <f t="shared" si="0"/>
        <v>#VALUE!</v>
      </c>
      <c r="J66" s="40">
        <v>0.39583333333333331</v>
      </c>
      <c r="K66" s="7" t="s">
        <v>30</v>
      </c>
      <c r="L66" s="7" t="s">
        <v>101</v>
      </c>
      <c r="M66" s="7" t="s">
        <v>14</v>
      </c>
      <c r="N66" s="7" t="s">
        <v>350</v>
      </c>
    </row>
    <row r="67" spans="1:14" ht="13.2">
      <c r="A67" s="7">
        <v>251</v>
      </c>
      <c r="B67" s="7">
        <v>11340</v>
      </c>
      <c r="C67" s="7" t="s">
        <v>1306</v>
      </c>
      <c r="D67" s="7" t="s">
        <v>284</v>
      </c>
      <c r="E67" s="39">
        <v>42840</v>
      </c>
      <c r="F67" s="7" t="s">
        <v>1384</v>
      </c>
      <c r="G67" s="7" t="s">
        <v>1200</v>
      </c>
      <c r="H67" s="7" t="s">
        <v>1385</v>
      </c>
      <c r="I67" s="7" t="e">
        <f t="shared" si="0"/>
        <v>#VALUE!</v>
      </c>
      <c r="J67" s="40">
        <v>0.39583333333333331</v>
      </c>
      <c r="K67" s="7" t="s">
        <v>30</v>
      </c>
      <c r="L67" s="7" t="s">
        <v>1234</v>
      </c>
      <c r="M67" s="7" t="s">
        <v>14</v>
      </c>
      <c r="N67" s="7" t="s">
        <v>418</v>
      </c>
    </row>
    <row r="68" spans="1:14" ht="13.2">
      <c r="A68" s="7">
        <v>256</v>
      </c>
      <c r="B68" s="7">
        <v>11335</v>
      </c>
      <c r="C68" s="7" t="s">
        <v>1309</v>
      </c>
      <c r="D68" s="7" t="s">
        <v>284</v>
      </c>
      <c r="E68" s="39">
        <v>42840</v>
      </c>
      <c r="F68" s="7" t="s">
        <v>1386</v>
      </c>
      <c r="G68" s="7" t="s">
        <v>1200</v>
      </c>
      <c r="H68" s="7" t="s">
        <v>1387</v>
      </c>
      <c r="I68" s="7" t="e">
        <f t="shared" si="0"/>
        <v>#VALUE!</v>
      </c>
      <c r="J68" s="40">
        <v>0.44791666666666669</v>
      </c>
      <c r="K68" s="7" t="s">
        <v>30</v>
      </c>
      <c r="L68" s="7" t="s">
        <v>1234</v>
      </c>
      <c r="M68" s="7" t="s">
        <v>14</v>
      </c>
      <c r="N68" s="7" t="s">
        <v>445</v>
      </c>
    </row>
    <row r="69" spans="1:14" ht="13.2">
      <c r="A69" s="7">
        <v>257</v>
      </c>
      <c r="B69" s="7">
        <v>11073</v>
      </c>
      <c r="C69" s="7" t="s">
        <v>1312</v>
      </c>
      <c r="D69" s="7" t="s">
        <v>284</v>
      </c>
      <c r="E69" s="39">
        <v>42840</v>
      </c>
      <c r="F69" s="7" t="s">
        <v>1388</v>
      </c>
      <c r="G69" s="7" t="s">
        <v>1200</v>
      </c>
      <c r="H69" s="7" t="s">
        <v>1389</v>
      </c>
      <c r="I69" s="7" t="e">
        <f t="shared" si="0"/>
        <v>#VALUE!</v>
      </c>
      <c r="J69" s="40">
        <v>0.55208333333333337</v>
      </c>
      <c r="K69" s="7" t="s">
        <v>30</v>
      </c>
      <c r="L69" s="7" t="s">
        <v>1202</v>
      </c>
      <c r="M69" s="7" t="s">
        <v>14</v>
      </c>
      <c r="N69" s="7" t="s">
        <v>288</v>
      </c>
    </row>
    <row r="70" spans="1:14" ht="13.2">
      <c r="A70" s="7">
        <v>267</v>
      </c>
      <c r="B70" s="7">
        <v>6665</v>
      </c>
      <c r="C70" s="7" t="s">
        <v>1107</v>
      </c>
      <c r="D70" s="7" t="s">
        <v>284</v>
      </c>
      <c r="E70" s="39">
        <v>42840</v>
      </c>
      <c r="F70" s="7" t="s">
        <v>1240</v>
      </c>
      <c r="G70" s="7" t="s">
        <v>1200</v>
      </c>
      <c r="H70" s="7" t="s">
        <v>1390</v>
      </c>
      <c r="I70" s="7" t="e">
        <f t="shared" si="0"/>
        <v>#VALUE!</v>
      </c>
      <c r="J70" s="40">
        <v>0.54166666666666663</v>
      </c>
      <c r="K70" s="7" t="s">
        <v>30</v>
      </c>
      <c r="L70" s="7" t="s">
        <v>1214</v>
      </c>
      <c r="M70" s="7" t="s">
        <v>14</v>
      </c>
      <c r="N70" s="7" t="s">
        <v>289</v>
      </c>
    </row>
    <row r="71" spans="1:14" ht="13.2">
      <c r="A71" s="7">
        <v>268</v>
      </c>
      <c r="B71" s="7">
        <v>6664</v>
      </c>
      <c r="C71" s="7" t="s">
        <v>1113</v>
      </c>
      <c r="D71" s="7" t="s">
        <v>284</v>
      </c>
      <c r="E71" s="39">
        <v>42840</v>
      </c>
      <c r="F71" s="7" t="s">
        <v>1242</v>
      </c>
      <c r="G71" s="7" t="s">
        <v>1200</v>
      </c>
      <c r="H71" s="7" t="s">
        <v>1391</v>
      </c>
      <c r="I71" s="7" t="e">
        <f t="shared" si="0"/>
        <v>#VALUE!</v>
      </c>
      <c r="J71" s="40">
        <v>0.47916666666666669</v>
      </c>
      <c r="K71" s="7" t="s">
        <v>30</v>
      </c>
      <c r="L71" s="7" t="s">
        <v>1214</v>
      </c>
      <c r="M71" s="7" t="s">
        <v>14</v>
      </c>
      <c r="N71" s="7" t="s">
        <v>289</v>
      </c>
    </row>
    <row r="72" spans="1:14" ht="13.2">
      <c r="A72" s="7">
        <v>274</v>
      </c>
      <c r="B72" s="7">
        <v>5023</v>
      </c>
      <c r="C72" s="7" t="s">
        <v>1244</v>
      </c>
      <c r="D72" s="7" t="s">
        <v>284</v>
      </c>
      <c r="E72" s="39">
        <v>42840</v>
      </c>
      <c r="F72" s="7" t="s">
        <v>1245</v>
      </c>
      <c r="G72" s="7" t="s">
        <v>1200</v>
      </c>
      <c r="H72" s="7" t="s">
        <v>1392</v>
      </c>
      <c r="I72" s="7" t="e">
        <f t="shared" si="0"/>
        <v>#VALUE!</v>
      </c>
      <c r="J72" s="40">
        <v>0.60416666666666663</v>
      </c>
      <c r="K72" s="7" t="s">
        <v>30</v>
      </c>
      <c r="L72" s="7" t="s">
        <v>1214</v>
      </c>
      <c r="M72" s="7" t="s">
        <v>14</v>
      </c>
      <c r="N72" s="7" t="s">
        <v>289</v>
      </c>
    </row>
    <row r="73" spans="1:14" ht="13.2">
      <c r="A73" s="7">
        <v>281</v>
      </c>
      <c r="B73" s="7">
        <v>2915</v>
      </c>
      <c r="C73" s="7" t="s">
        <v>1247</v>
      </c>
      <c r="D73" s="7" t="s">
        <v>284</v>
      </c>
      <c r="E73" s="39">
        <v>42840</v>
      </c>
      <c r="F73" s="7" t="s">
        <v>1248</v>
      </c>
      <c r="G73" s="7" t="s">
        <v>1200</v>
      </c>
      <c r="H73" s="7" t="s">
        <v>1393</v>
      </c>
      <c r="I73" s="7" t="e">
        <f t="shared" si="0"/>
        <v>#VALUE!</v>
      </c>
      <c r="J73" s="40">
        <v>0.66666666666666663</v>
      </c>
      <c r="K73" s="7" t="s">
        <v>30</v>
      </c>
      <c r="L73" s="7" t="s">
        <v>1214</v>
      </c>
      <c r="M73" s="7" t="s">
        <v>14</v>
      </c>
      <c r="N73" s="7" t="s">
        <v>289</v>
      </c>
    </row>
    <row r="74" spans="1:14" ht="13.2">
      <c r="A74" s="7">
        <v>329</v>
      </c>
      <c r="B74" s="7">
        <v>14311</v>
      </c>
      <c r="C74" s="7" t="s">
        <v>1206</v>
      </c>
      <c r="D74" s="7" t="s">
        <v>284</v>
      </c>
      <c r="E74" s="39">
        <v>42840</v>
      </c>
      <c r="F74" s="7" t="s">
        <v>1394</v>
      </c>
      <c r="G74" s="7" t="s">
        <v>1200</v>
      </c>
      <c r="H74" s="7" t="s">
        <v>1395</v>
      </c>
      <c r="I74" s="7" t="e">
        <f t="shared" si="0"/>
        <v>#VALUE!</v>
      </c>
      <c r="J74" s="40">
        <v>0.64583333333333337</v>
      </c>
      <c r="K74" s="7" t="s">
        <v>1396</v>
      </c>
      <c r="L74" s="7" t="s">
        <v>1337</v>
      </c>
      <c r="M74" s="7" t="s">
        <v>14</v>
      </c>
      <c r="N74" s="7" t="s">
        <v>14</v>
      </c>
    </row>
    <row r="75" spans="1:14" ht="13.2">
      <c r="A75" s="7">
        <v>333</v>
      </c>
      <c r="B75" s="7">
        <v>14220</v>
      </c>
      <c r="C75" s="7" t="s">
        <v>600</v>
      </c>
      <c r="D75" s="7" t="s">
        <v>284</v>
      </c>
      <c r="E75" s="39">
        <v>42840</v>
      </c>
      <c r="F75" s="7" t="s">
        <v>1397</v>
      </c>
      <c r="G75" s="7" t="s">
        <v>1200</v>
      </c>
      <c r="H75" s="7" t="s">
        <v>1398</v>
      </c>
      <c r="I75" s="7" t="e">
        <f t="shared" si="0"/>
        <v>#VALUE!</v>
      </c>
      <c r="J75" s="40">
        <v>0.71875</v>
      </c>
      <c r="K75" s="7" t="s">
        <v>180</v>
      </c>
      <c r="L75" s="7" t="s">
        <v>1319</v>
      </c>
      <c r="M75" s="7" t="s">
        <v>14</v>
      </c>
      <c r="N75" s="7" t="s">
        <v>14</v>
      </c>
    </row>
    <row r="76" spans="1:14" ht="13.2">
      <c r="A76" s="7">
        <v>338</v>
      </c>
      <c r="B76" s="7">
        <v>14097</v>
      </c>
      <c r="C76" s="7" t="s">
        <v>1198</v>
      </c>
      <c r="D76" s="7" t="s">
        <v>284</v>
      </c>
      <c r="E76" s="39">
        <v>42840</v>
      </c>
      <c r="F76" s="7" t="s">
        <v>1399</v>
      </c>
      <c r="G76" s="7" t="s">
        <v>1200</v>
      </c>
      <c r="H76" s="7" t="s">
        <v>1400</v>
      </c>
      <c r="I76" s="7" t="e">
        <f t="shared" si="0"/>
        <v>#VALUE!</v>
      </c>
      <c r="J76" s="40">
        <v>0.57291666666666663</v>
      </c>
      <c r="K76" s="7" t="s">
        <v>174</v>
      </c>
      <c r="L76" s="7" t="s">
        <v>1295</v>
      </c>
      <c r="M76" s="7" t="s">
        <v>14</v>
      </c>
      <c r="N76" s="7" t="s">
        <v>14</v>
      </c>
    </row>
    <row r="77" spans="1:14" ht="13.2">
      <c r="A77" s="7">
        <v>365</v>
      </c>
      <c r="B77" s="7">
        <v>13584</v>
      </c>
      <c r="C77" s="7" t="s">
        <v>1209</v>
      </c>
      <c r="D77" s="7" t="s">
        <v>284</v>
      </c>
      <c r="E77" s="39">
        <v>42840</v>
      </c>
      <c r="F77" s="7" t="s">
        <v>1401</v>
      </c>
      <c r="G77" s="7" t="s">
        <v>1200</v>
      </c>
      <c r="H77" s="7" t="s">
        <v>1402</v>
      </c>
      <c r="I77" s="7" t="e">
        <f t="shared" si="0"/>
        <v>#VALUE!</v>
      </c>
      <c r="J77" s="40">
        <v>0.375</v>
      </c>
      <c r="K77" s="7" t="s">
        <v>180</v>
      </c>
      <c r="L77" s="7" t="s">
        <v>1214</v>
      </c>
      <c r="M77" s="7" t="s">
        <v>14</v>
      </c>
      <c r="N77" s="7" t="s">
        <v>14</v>
      </c>
    </row>
    <row r="78" spans="1:14" ht="13.2">
      <c r="A78" s="7">
        <v>381</v>
      </c>
      <c r="B78" s="7">
        <v>13324</v>
      </c>
      <c r="C78" s="7" t="s">
        <v>1216</v>
      </c>
      <c r="D78" s="7" t="s">
        <v>284</v>
      </c>
      <c r="E78" s="39">
        <v>42840</v>
      </c>
      <c r="F78" s="7" t="s">
        <v>1403</v>
      </c>
      <c r="G78" s="7" t="s">
        <v>1200</v>
      </c>
      <c r="H78" s="7" t="s">
        <v>1404</v>
      </c>
      <c r="I78" s="7" t="e">
        <f t="shared" si="0"/>
        <v>#VALUE!</v>
      </c>
      <c r="J78" s="40">
        <v>0.375</v>
      </c>
      <c r="K78" s="7" t="s">
        <v>89</v>
      </c>
      <c r="L78" s="7" t="s">
        <v>1214</v>
      </c>
      <c r="M78" s="7" t="s">
        <v>14</v>
      </c>
      <c r="N78" s="7" t="s">
        <v>14</v>
      </c>
    </row>
    <row r="79" spans="1:14" ht="13.2">
      <c r="A79" s="7">
        <v>382</v>
      </c>
      <c r="B79" s="7">
        <v>13284</v>
      </c>
      <c r="C79" s="7" t="s">
        <v>831</v>
      </c>
      <c r="D79" s="7" t="s">
        <v>284</v>
      </c>
      <c r="E79" s="39">
        <v>42840</v>
      </c>
      <c r="F79" s="7" t="s">
        <v>1405</v>
      </c>
      <c r="G79" s="7" t="s">
        <v>1200</v>
      </c>
      <c r="H79" s="7" t="s">
        <v>1406</v>
      </c>
      <c r="I79" s="7" t="e">
        <f t="shared" si="0"/>
        <v>#VALUE!</v>
      </c>
      <c r="J79" s="40">
        <v>0.375</v>
      </c>
      <c r="K79" s="7" t="s">
        <v>16</v>
      </c>
      <c r="L79" s="7" t="s">
        <v>1407</v>
      </c>
      <c r="M79" s="7" t="s">
        <v>14</v>
      </c>
      <c r="N79" s="7" t="s">
        <v>14</v>
      </c>
    </row>
    <row r="80" spans="1:14" ht="13.2">
      <c r="A80" s="7">
        <v>413</v>
      </c>
      <c r="B80" s="7">
        <v>12645</v>
      </c>
      <c r="C80" s="7" t="s">
        <v>1219</v>
      </c>
      <c r="D80" s="7" t="s">
        <v>284</v>
      </c>
      <c r="E80" s="39">
        <v>42840</v>
      </c>
      <c r="F80" s="7" t="s">
        <v>1408</v>
      </c>
      <c r="G80" s="7" t="s">
        <v>1200</v>
      </c>
      <c r="H80" s="7" t="s">
        <v>1409</v>
      </c>
      <c r="I80" s="7" t="e">
        <f t="shared" si="0"/>
        <v>#VALUE!</v>
      </c>
      <c r="J80" s="40">
        <v>0.41666666666666669</v>
      </c>
      <c r="K80" s="7" t="s">
        <v>16</v>
      </c>
      <c r="L80" s="7" t="s">
        <v>1410</v>
      </c>
      <c r="M80" s="7" t="s">
        <v>14</v>
      </c>
      <c r="N80" s="7" t="s">
        <v>14</v>
      </c>
    </row>
    <row r="81" spans="1:14" ht="13.2">
      <c r="A81" s="7">
        <v>435</v>
      </c>
      <c r="B81" s="7">
        <v>12223</v>
      </c>
      <c r="C81" s="7" t="s">
        <v>718</v>
      </c>
      <c r="D81" s="7" t="s">
        <v>284</v>
      </c>
      <c r="E81" s="39">
        <v>42840</v>
      </c>
      <c r="F81" s="7" t="s">
        <v>1411</v>
      </c>
      <c r="G81" s="7" t="s">
        <v>1200</v>
      </c>
      <c r="H81" s="7" t="s">
        <v>1412</v>
      </c>
      <c r="I81" s="7" t="e">
        <f t="shared" si="0"/>
        <v>#VALUE!</v>
      </c>
      <c r="J81" s="40">
        <v>0.375</v>
      </c>
      <c r="K81" s="7" t="s">
        <v>253</v>
      </c>
      <c r="L81" s="7" t="s">
        <v>165</v>
      </c>
      <c r="M81" s="7" t="s">
        <v>14</v>
      </c>
      <c r="N81" s="7" t="s">
        <v>14</v>
      </c>
    </row>
    <row r="82" spans="1:14" ht="13.2">
      <c r="A82" s="7">
        <v>441</v>
      </c>
      <c r="B82" s="7">
        <v>12114</v>
      </c>
      <c r="C82" s="7" t="s">
        <v>1222</v>
      </c>
      <c r="D82" s="7" t="s">
        <v>284</v>
      </c>
      <c r="E82" s="39">
        <v>42840</v>
      </c>
      <c r="F82" s="7" t="s">
        <v>1413</v>
      </c>
      <c r="G82" s="7" t="s">
        <v>1200</v>
      </c>
      <c r="H82" s="7" t="s">
        <v>1414</v>
      </c>
      <c r="I82" s="7" t="e">
        <f t="shared" si="0"/>
        <v>#VALUE!</v>
      </c>
      <c r="J82" s="40">
        <v>0.4375</v>
      </c>
      <c r="K82" s="7" t="s">
        <v>188</v>
      </c>
      <c r="L82" s="7" t="s">
        <v>1214</v>
      </c>
      <c r="M82" s="7" t="s">
        <v>14</v>
      </c>
      <c r="N82" s="7" t="s">
        <v>14</v>
      </c>
    </row>
    <row r="83" spans="1:14" ht="13.2">
      <c r="A83" s="7">
        <v>444</v>
      </c>
      <c r="B83" s="7">
        <v>12100</v>
      </c>
      <c r="C83" s="7" t="s">
        <v>1228</v>
      </c>
      <c r="D83" s="7" t="s">
        <v>284</v>
      </c>
      <c r="E83" s="39">
        <v>42840</v>
      </c>
      <c r="F83" s="7" t="s">
        <v>1415</v>
      </c>
      <c r="G83" s="7" t="s">
        <v>1200</v>
      </c>
      <c r="H83" s="7" t="s">
        <v>1416</v>
      </c>
      <c r="I83" s="7" t="e">
        <f t="shared" si="0"/>
        <v>#VALUE!</v>
      </c>
      <c r="J83" s="40">
        <v>0.47916666666666669</v>
      </c>
      <c r="K83" s="7" t="s">
        <v>188</v>
      </c>
      <c r="L83" s="7" t="s">
        <v>1214</v>
      </c>
      <c r="M83" s="7" t="s">
        <v>14</v>
      </c>
      <c r="N83" s="7" t="s">
        <v>14</v>
      </c>
    </row>
    <row r="84" spans="1:14" ht="13.2">
      <c r="A84" s="7">
        <v>481</v>
      </c>
      <c r="B84" s="7">
        <v>11428</v>
      </c>
      <c r="C84" s="7" t="s">
        <v>463</v>
      </c>
      <c r="D84" s="7" t="s">
        <v>284</v>
      </c>
      <c r="E84" s="39">
        <v>42840</v>
      </c>
      <c r="F84" s="7" t="s">
        <v>1417</v>
      </c>
      <c r="G84" s="7" t="s">
        <v>1200</v>
      </c>
      <c r="H84" s="7" t="s">
        <v>1418</v>
      </c>
      <c r="I84" s="7" t="e">
        <f t="shared" si="0"/>
        <v>#VALUE!</v>
      </c>
      <c r="J84" s="40">
        <v>0.5</v>
      </c>
      <c r="K84" s="7" t="s">
        <v>141</v>
      </c>
      <c r="L84" s="7" t="s">
        <v>165</v>
      </c>
      <c r="M84" s="7" t="s">
        <v>14</v>
      </c>
      <c r="N84" s="7" t="s">
        <v>14</v>
      </c>
    </row>
    <row r="85" spans="1:14" ht="13.2">
      <c r="A85" s="7">
        <v>502</v>
      </c>
      <c r="B85" s="7">
        <v>11140</v>
      </c>
      <c r="C85" s="7" t="s">
        <v>1237</v>
      </c>
      <c r="D85" s="7" t="s">
        <v>284</v>
      </c>
      <c r="E85" s="39">
        <v>42840</v>
      </c>
      <c r="F85" s="7" t="s">
        <v>1419</v>
      </c>
      <c r="G85" s="7" t="s">
        <v>1200</v>
      </c>
      <c r="H85" s="7" t="s">
        <v>1420</v>
      </c>
      <c r="I85" s="7" t="e">
        <f t="shared" si="0"/>
        <v>#VALUE!</v>
      </c>
      <c r="J85" s="40">
        <v>0.50694444444444442</v>
      </c>
      <c r="K85" s="7" t="s">
        <v>180</v>
      </c>
      <c r="L85" s="7" t="s">
        <v>1319</v>
      </c>
      <c r="M85" s="7" t="s">
        <v>14</v>
      </c>
      <c r="N85" s="7" t="s">
        <v>14</v>
      </c>
    </row>
    <row r="86" spans="1:14" ht="13.2">
      <c r="A86" s="7">
        <v>511</v>
      </c>
      <c r="B86" s="7">
        <v>7819</v>
      </c>
      <c r="C86" s="7" t="s">
        <v>1315</v>
      </c>
      <c r="D86" s="7" t="s">
        <v>284</v>
      </c>
      <c r="E86" s="39">
        <v>42840</v>
      </c>
      <c r="F86" s="7" t="s">
        <v>1421</v>
      </c>
      <c r="G86" s="7" t="s">
        <v>1200</v>
      </c>
      <c r="H86" s="7" t="s">
        <v>1317</v>
      </c>
      <c r="I86" s="7" t="e">
        <f t="shared" si="0"/>
        <v>#VALUE!</v>
      </c>
      <c r="J86" s="40">
        <v>0.52777777777777779</v>
      </c>
      <c r="K86" s="7" t="s">
        <v>58</v>
      </c>
      <c r="L86" s="7" t="s">
        <v>31</v>
      </c>
      <c r="M86" s="7" t="s">
        <v>14</v>
      </c>
      <c r="N86" s="7" t="s">
        <v>14</v>
      </c>
    </row>
    <row r="87" spans="1:14" ht="13.2">
      <c r="A87" s="7">
        <v>532</v>
      </c>
      <c r="B87" s="7">
        <v>5062</v>
      </c>
      <c r="C87" s="7" t="s">
        <v>1320</v>
      </c>
      <c r="D87" s="7" t="s">
        <v>284</v>
      </c>
      <c r="E87" s="39">
        <v>42840</v>
      </c>
      <c r="F87" s="7" t="s">
        <v>1422</v>
      </c>
      <c r="G87" s="7" t="s">
        <v>1200</v>
      </c>
      <c r="H87" s="7" t="s">
        <v>1322</v>
      </c>
      <c r="I87" s="7" t="e">
        <f t="shared" si="0"/>
        <v>#VALUE!</v>
      </c>
      <c r="J87" s="40">
        <v>0.52083333333333337</v>
      </c>
      <c r="K87" s="7" t="s">
        <v>164</v>
      </c>
      <c r="L87" s="7" t="s">
        <v>1214</v>
      </c>
      <c r="M87" s="7" t="s">
        <v>14</v>
      </c>
      <c r="N87" s="7" t="s">
        <v>14</v>
      </c>
    </row>
    <row r="88" spans="1:14" ht="13.2">
      <c r="A88" s="7">
        <v>356</v>
      </c>
      <c r="B88" s="7">
        <v>13761</v>
      </c>
      <c r="C88" s="7" t="s">
        <v>1323</v>
      </c>
      <c r="D88" s="7" t="s">
        <v>1324</v>
      </c>
      <c r="E88" s="39">
        <v>42858</v>
      </c>
      <c r="F88" s="7" t="s">
        <v>1423</v>
      </c>
      <c r="G88" s="7" t="s">
        <v>1200</v>
      </c>
      <c r="H88" s="7" t="s">
        <v>1350</v>
      </c>
      <c r="I88" s="7" t="e">
        <f t="shared" si="0"/>
        <v>#VALUE!</v>
      </c>
      <c r="J88" s="40">
        <v>0.83333333333333337</v>
      </c>
      <c r="K88" s="7" t="s">
        <v>141</v>
      </c>
      <c r="L88" s="7" t="s">
        <v>165</v>
      </c>
      <c r="M88" s="7" t="s">
        <v>14</v>
      </c>
      <c r="N88" s="7" t="s">
        <v>14</v>
      </c>
    </row>
    <row r="89" spans="1:14" ht="13.2">
      <c r="A89" s="7">
        <v>161</v>
      </c>
      <c r="B89" s="7">
        <v>23385</v>
      </c>
      <c r="C89" s="7" t="s">
        <v>1250</v>
      </c>
      <c r="D89" s="7" t="s">
        <v>284</v>
      </c>
      <c r="E89" s="39">
        <v>42861</v>
      </c>
      <c r="F89" s="7" t="s">
        <v>1351</v>
      </c>
      <c r="G89" s="7" t="s">
        <v>1200</v>
      </c>
      <c r="H89" s="7" t="s">
        <v>1424</v>
      </c>
      <c r="I89" s="7" t="e">
        <f t="shared" si="0"/>
        <v>#VALUE!</v>
      </c>
      <c r="J89" s="40">
        <v>0.5</v>
      </c>
      <c r="K89" s="7" t="s">
        <v>30</v>
      </c>
      <c r="L89" s="7" t="s">
        <v>114</v>
      </c>
      <c r="M89" s="7" t="s">
        <v>14</v>
      </c>
      <c r="N89" s="7" t="s">
        <v>289</v>
      </c>
    </row>
    <row r="90" spans="1:14" ht="13.2">
      <c r="A90" s="7">
        <v>166</v>
      </c>
      <c r="B90" s="7">
        <v>23098</v>
      </c>
      <c r="C90" s="7" t="s">
        <v>1253</v>
      </c>
      <c r="D90" s="7" t="s">
        <v>284</v>
      </c>
      <c r="E90" s="39">
        <v>42861</v>
      </c>
      <c r="F90" s="7" t="s">
        <v>1353</v>
      </c>
      <c r="G90" s="7" t="s">
        <v>1200</v>
      </c>
      <c r="H90" s="7" t="s">
        <v>1425</v>
      </c>
      <c r="I90" s="7" t="e">
        <f t="shared" si="0"/>
        <v>#VALUE!</v>
      </c>
      <c r="J90" s="40">
        <v>0.45833333333333331</v>
      </c>
      <c r="K90" s="7" t="s">
        <v>30</v>
      </c>
      <c r="L90" s="7" t="s">
        <v>114</v>
      </c>
      <c r="M90" s="7" t="s">
        <v>14</v>
      </c>
      <c r="N90" s="7" t="s">
        <v>289</v>
      </c>
    </row>
    <row r="91" spans="1:14" ht="13.2">
      <c r="A91" s="7">
        <v>178</v>
      </c>
      <c r="B91" s="7">
        <v>14335</v>
      </c>
      <c r="C91" s="7" t="s">
        <v>600</v>
      </c>
      <c r="D91" s="7" t="s">
        <v>284</v>
      </c>
      <c r="E91" s="39">
        <v>42861</v>
      </c>
      <c r="F91" s="7" t="s">
        <v>1204</v>
      </c>
      <c r="G91" s="7" t="s">
        <v>1200</v>
      </c>
      <c r="H91" s="7" t="s">
        <v>1426</v>
      </c>
      <c r="I91" s="7" t="e">
        <f t="shared" si="0"/>
        <v>#VALUE!</v>
      </c>
      <c r="J91" s="40">
        <v>0.54166666666666663</v>
      </c>
      <c r="K91" s="7" t="s">
        <v>30</v>
      </c>
      <c r="L91" s="7" t="s">
        <v>1214</v>
      </c>
      <c r="M91" s="7" t="s">
        <v>14</v>
      </c>
      <c r="N91" s="7" t="s">
        <v>1203</v>
      </c>
    </row>
    <row r="92" spans="1:14" ht="13.2">
      <c r="A92" s="7">
        <v>183</v>
      </c>
      <c r="B92" s="7">
        <v>13940</v>
      </c>
      <c r="C92" s="7" t="s">
        <v>560</v>
      </c>
      <c r="D92" s="7" t="s">
        <v>284</v>
      </c>
      <c r="E92" s="39">
        <v>42861</v>
      </c>
      <c r="F92" s="7" t="s">
        <v>1359</v>
      </c>
      <c r="G92" s="7" t="s">
        <v>1200</v>
      </c>
      <c r="H92" s="7" t="s">
        <v>1427</v>
      </c>
      <c r="I92" s="7" t="e">
        <f t="shared" si="0"/>
        <v>#VALUE!</v>
      </c>
      <c r="J92" s="40">
        <v>0.5625</v>
      </c>
      <c r="K92" s="7" t="s">
        <v>30</v>
      </c>
      <c r="L92" s="7" t="s">
        <v>1202</v>
      </c>
      <c r="M92" s="7" t="s">
        <v>14</v>
      </c>
      <c r="N92" s="7" t="s">
        <v>301</v>
      </c>
    </row>
    <row r="93" spans="1:14" ht="13.2">
      <c r="A93" s="7">
        <v>190</v>
      </c>
      <c r="B93" s="7">
        <v>13618</v>
      </c>
      <c r="C93" s="7" t="s">
        <v>1209</v>
      </c>
      <c r="D93" s="7" t="s">
        <v>284</v>
      </c>
      <c r="E93" s="39">
        <v>42861</v>
      </c>
      <c r="F93" s="7" t="s">
        <v>1210</v>
      </c>
      <c r="G93" s="7" t="s">
        <v>1200</v>
      </c>
      <c r="H93" s="7" t="s">
        <v>1428</v>
      </c>
      <c r="I93" s="7" t="e">
        <f t="shared" si="0"/>
        <v>#VALUE!</v>
      </c>
      <c r="J93" s="40">
        <v>0.375</v>
      </c>
      <c r="K93" s="7" t="s">
        <v>30</v>
      </c>
      <c r="L93" s="7" t="s">
        <v>114</v>
      </c>
      <c r="M93" s="7" t="s">
        <v>14</v>
      </c>
      <c r="N93" s="7" t="s">
        <v>748</v>
      </c>
    </row>
    <row r="94" spans="1:14" ht="13.2">
      <c r="A94" s="7">
        <v>191</v>
      </c>
      <c r="B94" s="7">
        <v>13569</v>
      </c>
      <c r="C94" s="7" t="s">
        <v>369</v>
      </c>
      <c r="D94" s="7" t="s">
        <v>284</v>
      </c>
      <c r="E94" s="39">
        <v>42861</v>
      </c>
      <c r="F94" s="7" t="s">
        <v>1361</v>
      </c>
      <c r="G94" s="7" t="s">
        <v>1200</v>
      </c>
      <c r="H94" s="7" t="s">
        <v>1429</v>
      </c>
      <c r="I94" s="7" t="e">
        <f t="shared" si="0"/>
        <v>#VALUE!</v>
      </c>
      <c r="J94" s="40">
        <v>0.41666666666666669</v>
      </c>
      <c r="K94" s="7" t="s">
        <v>30</v>
      </c>
      <c r="L94" s="7" t="s">
        <v>114</v>
      </c>
      <c r="M94" s="7" t="s">
        <v>14</v>
      </c>
      <c r="N94" s="7" t="s">
        <v>714</v>
      </c>
    </row>
    <row r="95" spans="1:14" ht="13.2">
      <c r="A95" s="7">
        <v>199</v>
      </c>
      <c r="B95" s="7">
        <v>13348</v>
      </c>
      <c r="C95" s="7" t="s">
        <v>1266</v>
      </c>
      <c r="D95" s="7" t="s">
        <v>284</v>
      </c>
      <c r="E95" s="39">
        <v>42861</v>
      </c>
      <c r="F95" s="7" t="s">
        <v>1364</v>
      </c>
      <c r="G95" s="7" t="s">
        <v>1200</v>
      </c>
      <c r="H95" s="7" t="s">
        <v>1430</v>
      </c>
      <c r="I95" s="7" t="e">
        <f t="shared" si="0"/>
        <v>#VALUE!</v>
      </c>
      <c r="J95" s="40">
        <v>0.375</v>
      </c>
      <c r="K95" s="7" t="s">
        <v>30</v>
      </c>
      <c r="L95" s="7" t="s">
        <v>114</v>
      </c>
      <c r="M95" s="7" t="s">
        <v>14</v>
      </c>
      <c r="N95" s="7" t="s">
        <v>1363</v>
      </c>
    </row>
    <row r="96" spans="1:14" ht="13.2">
      <c r="A96" s="7">
        <v>202</v>
      </c>
      <c r="B96" s="7">
        <v>13156</v>
      </c>
      <c r="C96" s="7" t="s">
        <v>1216</v>
      </c>
      <c r="D96" s="7" t="s">
        <v>284</v>
      </c>
      <c r="E96" s="39">
        <v>42861</v>
      </c>
      <c r="F96" s="7" t="s">
        <v>1217</v>
      </c>
      <c r="G96" s="7" t="s">
        <v>1200</v>
      </c>
      <c r="H96" s="7" t="s">
        <v>1431</v>
      </c>
      <c r="I96" s="7" t="e">
        <f t="shared" si="0"/>
        <v>#VALUE!</v>
      </c>
      <c r="J96" s="40">
        <v>0.41666666666666669</v>
      </c>
      <c r="K96" s="7" t="s">
        <v>30</v>
      </c>
      <c r="L96" s="7" t="s">
        <v>114</v>
      </c>
      <c r="M96" s="7" t="s">
        <v>14</v>
      </c>
      <c r="N96" s="7" t="s">
        <v>1432</v>
      </c>
    </row>
    <row r="97" spans="1:14" ht="13.2">
      <c r="A97" s="7">
        <v>212</v>
      </c>
      <c r="B97" s="7">
        <v>12735</v>
      </c>
      <c r="C97" s="7" t="s">
        <v>1281</v>
      </c>
      <c r="D97" s="7" t="s">
        <v>284</v>
      </c>
      <c r="E97" s="39">
        <v>42861</v>
      </c>
      <c r="F97" s="7" t="s">
        <v>1327</v>
      </c>
      <c r="G97" s="7" t="s">
        <v>1200</v>
      </c>
      <c r="H97" s="7" t="s">
        <v>1433</v>
      </c>
      <c r="I97" s="7" t="e">
        <f t="shared" si="0"/>
        <v>#VALUE!</v>
      </c>
      <c r="J97" s="40">
        <v>0.41666666666666669</v>
      </c>
      <c r="K97" s="7" t="s">
        <v>30</v>
      </c>
      <c r="L97" s="7" t="s">
        <v>1329</v>
      </c>
      <c r="M97" s="7" t="s">
        <v>14</v>
      </c>
      <c r="N97" s="7" t="s">
        <v>506</v>
      </c>
    </row>
    <row r="98" spans="1:14" ht="13.2">
      <c r="A98" s="7">
        <v>217</v>
      </c>
      <c r="B98" s="7">
        <v>12634</v>
      </c>
      <c r="C98" s="7" t="s">
        <v>1219</v>
      </c>
      <c r="D98" s="7" t="s">
        <v>284</v>
      </c>
      <c r="E98" s="39">
        <v>42861</v>
      </c>
      <c r="F98" s="7" t="s">
        <v>1220</v>
      </c>
      <c r="G98" s="7" t="s">
        <v>1200</v>
      </c>
      <c r="H98" s="7" t="s">
        <v>1434</v>
      </c>
      <c r="I98" s="7" t="e">
        <f t="shared" si="0"/>
        <v>#VALUE!</v>
      </c>
      <c r="J98" s="40">
        <v>0.41666666666666669</v>
      </c>
      <c r="K98" s="7" t="s">
        <v>30</v>
      </c>
      <c r="L98" s="7" t="s">
        <v>1214</v>
      </c>
      <c r="M98" s="7" t="s">
        <v>14</v>
      </c>
      <c r="N98" s="7" t="s">
        <v>566</v>
      </c>
    </row>
    <row r="99" spans="1:14" ht="13.2">
      <c r="A99" s="7">
        <v>222</v>
      </c>
      <c r="B99" s="7">
        <v>12542</v>
      </c>
      <c r="C99" s="7" t="s">
        <v>1285</v>
      </c>
      <c r="D99" s="7" t="s">
        <v>284</v>
      </c>
      <c r="E99" s="39">
        <v>42861</v>
      </c>
      <c r="F99" s="7" t="s">
        <v>1372</v>
      </c>
      <c r="G99" s="7" t="s">
        <v>1200</v>
      </c>
      <c r="H99" s="7" t="s">
        <v>1435</v>
      </c>
      <c r="I99" s="7" t="e">
        <f t="shared" si="0"/>
        <v>#VALUE!</v>
      </c>
      <c r="J99" s="40">
        <v>0.375</v>
      </c>
      <c r="K99" s="7" t="s">
        <v>30</v>
      </c>
      <c r="L99" s="7" t="s">
        <v>1214</v>
      </c>
      <c r="M99" s="7" t="s">
        <v>14</v>
      </c>
      <c r="N99" s="7" t="s">
        <v>785</v>
      </c>
    </row>
    <row r="100" spans="1:14" ht="13.2">
      <c r="A100" s="7">
        <v>230</v>
      </c>
      <c r="B100" s="7">
        <v>12054</v>
      </c>
      <c r="C100" s="7" t="s">
        <v>1289</v>
      </c>
      <c r="D100" s="7" t="s">
        <v>284</v>
      </c>
      <c r="E100" s="39">
        <v>42861</v>
      </c>
      <c r="F100" s="7" t="s">
        <v>1378</v>
      </c>
      <c r="G100" s="7" t="s">
        <v>1200</v>
      </c>
      <c r="H100" s="7" t="s">
        <v>1436</v>
      </c>
      <c r="I100" s="7" t="e">
        <f t="shared" si="0"/>
        <v>#VALUE!</v>
      </c>
      <c r="J100" s="40">
        <v>0.375</v>
      </c>
      <c r="K100" s="7" t="s">
        <v>30</v>
      </c>
      <c r="L100" s="7" t="s">
        <v>1214</v>
      </c>
      <c r="M100" s="7" t="s">
        <v>14</v>
      </c>
      <c r="N100" s="7" t="s">
        <v>788</v>
      </c>
    </row>
    <row r="101" spans="1:14" ht="13.2">
      <c r="A101" s="7">
        <v>236</v>
      </c>
      <c r="B101" s="7">
        <v>12048</v>
      </c>
      <c r="C101" s="7" t="s">
        <v>1228</v>
      </c>
      <c r="D101" s="7" t="s">
        <v>284</v>
      </c>
      <c r="E101" s="39">
        <v>42861</v>
      </c>
      <c r="F101" s="7" t="s">
        <v>1229</v>
      </c>
      <c r="G101" s="7" t="s">
        <v>1200</v>
      </c>
      <c r="H101" s="7" t="s">
        <v>1437</v>
      </c>
      <c r="I101" s="7" t="e">
        <f t="shared" si="0"/>
        <v>#VALUE!</v>
      </c>
      <c r="J101" s="40">
        <v>0.41666666666666669</v>
      </c>
      <c r="K101" s="7" t="s">
        <v>30</v>
      </c>
      <c r="L101" s="7" t="s">
        <v>1214</v>
      </c>
      <c r="M101" s="7" t="s">
        <v>14</v>
      </c>
      <c r="N101" s="7" t="s">
        <v>350</v>
      </c>
    </row>
    <row r="102" spans="1:14" ht="13.2">
      <c r="A102" s="7">
        <v>247</v>
      </c>
      <c r="B102" s="7">
        <v>11344</v>
      </c>
      <c r="C102" s="7" t="s">
        <v>1231</v>
      </c>
      <c r="D102" s="7" t="s">
        <v>284</v>
      </c>
      <c r="E102" s="39">
        <v>42861</v>
      </c>
      <c r="F102" s="7" t="s">
        <v>1232</v>
      </c>
      <c r="G102" s="7" t="s">
        <v>1200</v>
      </c>
      <c r="H102" s="7" t="s">
        <v>1438</v>
      </c>
      <c r="I102" s="7" t="e">
        <f t="shared" si="0"/>
        <v>#VALUE!</v>
      </c>
      <c r="J102" s="40">
        <v>0.41666666666666669</v>
      </c>
      <c r="K102" s="7" t="s">
        <v>30</v>
      </c>
      <c r="L102" s="7" t="s">
        <v>1234</v>
      </c>
      <c r="M102" s="7" t="s">
        <v>14</v>
      </c>
      <c r="N102" s="7" t="s">
        <v>425</v>
      </c>
    </row>
    <row r="103" spans="1:14" ht="13.2">
      <c r="A103" s="7">
        <v>258</v>
      </c>
      <c r="B103" s="7">
        <v>11072</v>
      </c>
      <c r="C103" s="7" t="s">
        <v>1312</v>
      </c>
      <c r="D103" s="7" t="s">
        <v>284</v>
      </c>
      <c r="E103" s="39">
        <v>42861</v>
      </c>
      <c r="F103" s="7" t="s">
        <v>1388</v>
      </c>
      <c r="G103" s="7" t="s">
        <v>1200</v>
      </c>
      <c r="H103" s="7" t="s">
        <v>1439</v>
      </c>
      <c r="I103" s="7" t="e">
        <f t="shared" si="0"/>
        <v>#VALUE!</v>
      </c>
      <c r="J103" s="40">
        <v>0.46875</v>
      </c>
      <c r="K103" s="7" t="s">
        <v>30</v>
      </c>
      <c r="L103" s="7" t="s">
        <v>1202</v>
      </c>
      <c r="M103" s="7" t="s">
        <v>14</v>
      </c>
      <c r="N103" s="7" t="s">
        <v>606</v>
      </c>
    </row>
    <row r="104" spans="1:14" ht="13.2">
      <c r="A104" s="7">
        <v>264</v>
      </c>
      <c r="B104" s="7">
        <v>7549</v>
      </c>
      <c r="C104" s="7" t="s">
        <v>1315</v>
      </c>
      <c r="D104" s="7" t="s">
        <v>284</v>
      </c>
      <c r="E104" s="39">
        <v>42861</v>
      </c>
      <c r="F104" s="7" t="s">
        <v>1330</v>
      </c>
      <c r="G104" s="7" t="s">
        <v>1200</v>
      </c>
      <c r="H104" s="7" t="s">
        <v>1440</v>
      </c>
      <c r="I104" s="7" t="e">
        <f t="shared" si="0"/>
        <v>#VALUE!</v>
      </c>
      <c r="J104" s="40">
        <v>0.60416666666666663</v>
      </c>
      <c r="K104" s="7" t="s">
        <v>30</v>
      </c>
      <c r="L104" s="7" t="s">
        <v>1214</v>
      </c>
      <c r="M104" s="7" t="s">
        <v>14</v>
      </c>
      <c r="N104" s="7" t="s">
        <v>289</v>
      </c>
    </row>
    <row r="105" spans="1:14" ht="13.2">
      <c r="A105" s="7">
        <v>278</v>
      </c>
      <c r="B105" s="7">
        <v>3987</v>
      </c>
      <c r="C105" s="7" t="s">
        <v>1320</v>
      </c>
      <c r="D105" s="7" t="s">
        <v>284</v>
      </c>
      <c r="E105" s="39">
        <v>42861</v>
      </c>
      <c r="F105" s="7" t="s">
        <v>1332</v>
      </c>
      <c r="G105" s="7" t="s">
        <v>1200</v>
      </c>
      <c r="H105" s="7" t="s">
        <v>1441</v>
      </c>
      <c r="I105" s="7" t="e">
        <f t="shared" si="0"/>
        <v>#VALUE!</v>
      </c>
      <c r="J105" s="40">
        <v>0.66666666666666663</v>
      </c>
      <c r="K105" s="7" t="s">
        <v>30</v>
      </c>
      <c r="L105" s="7" t="s">
        <v>1214</v>
      </c>
      <c r="M105" s="7" t="s">
        <v>14</v>
      </c>
      <c r="N105" s="7" t="s">
        <v>289</v>
      </c>
    </row>
    <row r="106" spans="1:14" ht="13.2">
      <c r="A106" s="7">
        <v>318</v>
      </c>
      <c r="B106" s="7">
        <v>22904</v>
      </c>
      <c r="C106" s="7" t="s">
        <v>1256</v>
      </c>
      <c r="D106" s="7" t="s">
        <v>284</v>
      </c>
      <c r="E106" s="39">
        <v>42861</v>
      </c>
      <c r="F106" s="7" t="s">
        <v>1442</v>
      </c>
      <c r="G106" s="7" t="s">
        <v>1200</v>
      </c>
      <c r="H106" s="7" t="s">
        <v>1258</v>
      </c>
      <c r="I106" s="7" t="e">
        <f t="shared" si="0"/>
        <v>#VALUE!</v>
      </c>
      <c r="J106" s="40">
        <v>0.61458333333333337</v>
      </c>
      <c r="K106" s="7" t="s">
        <v>129</v>
      </c>
      <c r="L106" s="7" t="s">
        <v>114</v>
      </c>
      <c r="M106" s="7" t="s">
        <v>14</v>
      </c>
      <c r="N106" s="7" t="s">
        <v>14</v>
      </c>
    </row>
    <row r="107" spans="1:14" ht="13.2">
      <c r="A107" s="7">
        <v>335</v>
      </c>
      <c r="B107" s="7">
        <v>14203</v>
      </c>
      <c r="C107" s="7" t="s">
        <v>1206</v>
      </c>
      <c r="D107" s="7" t="s">
        <v>284</v>
      </c>
      <c r="E107" s="39">
        <v>42861</v>
      </c>
      <c r="F107" s="7" t="s">
        <v>1443</v>
      </c>
      <c r="G107" s="7" t="s">
        <v>1200</v>
      </c>
      <c r="H107" s="7" t="s">
        <v>1395</v>
      </c>
      <c r="I107" s="7" t="e">
        <f t="shared" si="0"/>
        <v>#VALUE!</v>
      </c>
      <c r="J107" s="40">
        <v>0.59375</v>
      </c>
      <c r="K107" s="7" t="s">
        <v>129</v>
      </c>
      <c r="L107" s="7" t="s">
        <v>101</v>
      </c>
      <c r="M107" s="7" t="s">
        <v>14</v>
      </c>
      <c r="N107" s="7" t="s">
        <v>14</v>
      </c>
    </row>
    <row r="108" spans="1:14" ht="13.2">
      <c r="A108" s="7">
        <v>337</v>
      </c>
      <c r="B108" s="7">
        <v>14121</v>
      </c>
      <c r="C108" s="7" t="s">
        <v>1198</v>
      </c>
      <c r="D108" s="7" t="s">
        <v>284</v>
      </c>
      <c r="E108" s="39">
        <v>42861</v>
      </c>
      <c r="F108" s="7" t="s">
        <v>1444</v>
      </c>
      <c r="G108" s="7" t="s">
        <v>1200</v>
      </c>
      <c r="H108" s="7" t="s">
        <v>1400</v>
      </c>
      <c r="I108" s="7" t="e">
        <f t="shared" si="0"/>
        <v>#VALUE!</v>
      </c>
      <c r="J108" s="40">
        <v>0.5625</v>
      </c>
      <c r="K108" s="7" t="s">
        <v>80</v>
      </c>
      <c r="L108" s="7" t="s">
        <v>59</v>
      </c>
      <c r="M108" s="7" t="s">
        <v>14</v>
      </c>
      <c r="N108" s="7" t="s">
        <v>14</v>
      </c>
    </row>
    <row r="109" spans="1:14" ht="13.2">
      <c r="A109" s="7">
        <v>348</v>
      </c>
      <c r="B109" s="7">
        <v>13929</v>
      </c>
      <c r="C109" s="7" t="s">
        <v>1259</v>
      </c>
      <c r="D109" s="7" t="s">
        <v>284</v>
      </c>
      <c r="E109" s="39">
        <v>42861</v>
      </c>
      <c r="F109" s="7" t="s">
        <v>1445</v>
      </c>
      <c r="G109" s="7" t="s">
        <v>1200</v>
      </c>
      <c r="H109" s="7" t="s">
        <v>1261</v>
      </c>
      <c r="I109" s="7" t="e">
        <f t="shared" si="0"/>
        <v>#VALUE!</v>
      </c>
      <c r="J109" s="40">
        <v>0.47916666666666669</v>
      </c>
      <c r="K109" s="7" t="s">
        <v>37</v>
      </c>
      <c r="L109" s="7" t="s">
        <v>165</v>
      </c>
      <c r="M109" s="7" t="s">
        <v>14</v>
      </c>
      <c r="N109" s="7" t="s">
        <v>14</v>
      </c>
    </row>
    <row r="110" spans="1:14" ht="13.2">
      <c r="A110" s="7">
        <v>350</v>
      </c>
      <c r="B110" s="7">
        <v>13803</v>
      </c>
      <c r="C110" s="7" t="s">
        <v>1446</v>
      </c>
      <c r="D110" s="7" t="s">
        <v>284</v>
      </c>
      <c r="E110" s="39">
        <v>42861</v>
      </c>
      <c r="F110" s="7" t="s">
        <v>1447</v>
      </c>
      <c r="G110" s="7" t="s">
        <v>1200</v>
      </c>
      <c r="H110" s="7" t="s">
        <v>1448</v>
      </c>
      <c r="I110" s="7" t="e">
        <f t="shared" si="0"/>
        <v>#VALUE!</v>
      </c>
      <c r="J110" s="40">
        <v>0.52083333333333337</v>
      </c>
      <c r="K110" s="7" t="s">
        <v>1449</v>
      </c>
      <c r="L110" s="7" t="s">
        <v>1337</v>
      </c>
      <c r="M110" s="7" t="s">
        <v>14</v>
      </c>
      <c r="N110" s="7" t="s">
        <v>14</v>
      </c>
    </row>
    <row r="111" spans="1:14" ht="13.2">
      <c r="A111" s="7">
        <v>352</v>
      </c>
      <c r="B111" s="7">
        <v>13793</v>
      </c>
      <c r="C111" s="7" t="s">
        <v>1446</v>
      </c>
      <c r="D111" s="7" t="s">
        <v>284</v>
      </c>
      <c r="E111" s="39">
        <v>42861</v>
      </c>
      <c r="F111" s="7" t="s">
        <v>1450</v>
      </c>
      <c r="G111" s="7" t="s">
        <v>1200</v>
      </c>
      <c r="H111" s="7" t="s">
        <v>1451</v>
      </c>
      <c r="I111" s="7" t="e">
        <f t="shared" si="0"/>
        <v>#VALUE!</v>
      </c>
      <c r="J111" s="40">
        <v>0.45833333333333331</v>
      </c>
      <c r="K111" s="7" t="s">
        <v>1449</v>
      </c>
      <c r="L111" s="7" t="s">
        <v>1337</v>
      </c>
      <c r="M111" s="7" t="s">
        <v>14</v>
      </c>
      <c r="N111" s="7" t="s">
        <v>14</v>
      </c>
    </row>
    <row r="112" spans="1:14" ht="13.2">
      <c r="A112" s="7">
        <v>375</v>
      </c>
      <c r="B112" s="7">
        <v>13410</v>
      </c>
      <c r="C112" s="7" t="s">
        <v>831</v>
      </c>
      <c r="D112" s="7" t="s">
        <v>284</v>
      </c>
      <c r="E112" s="39">
        <v>42861</v>
      </c>
      <c r="F112" s="7" t="s">
        <v>1452</v>
      </c>
      <c r="G112" s="7" t="s">
        <v>1200</v>
      </c>
      <c r="H112" s="7" t="s">
        <v>1406</v>
      </c>
      <c r="I112" s="7" t="e">
        <f t="shared" si="0"/>
        <v>#VALUE!</v>
      </c>
      <c r="J112" s="40">
        <v>0.45833333333333331</v>
      </c>
      <c r="K112" s="7" t="s">
        <v>1264</v>
      </c>
      <c r="L112" s="7" t="s">
        <v>1272</v>
      </c>
      <c r="M112" s="7" t="s">
        <v>14</v>
      </c>
      <c r="N112" s="7" t="s">
        <v>14</v>
      </c>
    </row>
    <row r="113" spans="1:14" ht="13.2">
      <c r="A113" s="7">
        <v>383</v>
      </c>
      <c r="B113" s="7">
        <v>13273</v>
      </c>
      <c r="C113" s="7" t="s">
        <v>1273</v>
      </c>
      <c r="D113" s="7" t="s">
        <v>284</v>
      </c>
      <c r="E113" s="39">
        <v>42861</v>
      </c>
      <c r="F113" s="7" t="s">
        <v>1453</v>
      </c>
      <c r="G113" s="7" t="s">
        <v>1200</v>
      </c>
      <c r="H113" s="7" t="s">
        <v>1275</v>
      </c>
      <c r="I113" s="7" t="e">
        <f t="shared" si="0"/>
        <v>#VALUE!</v>
      </c>
      <c r="J113" s="40">
        <v>0.41666666666666669</v>
      </c>
      <c r="K113" s="7" t="s">
        <v>16</v>
      </c>
      <c r="L113" s="7" t="s">
        <v>1407</v>
      </c>
      <c r="M113" s="7" t="s">
        <v>14</v>
      </c>
      <c r="N113" s="7" t="s">
        <v>14</v>
      </c>
    </row>
    <row r="114" spans="1:14" ht="13.2">
      <c r="A114" s="7">
        <v>396</v>
      </c>
      <c r="B114" s="7">
        <v>13039</v>
      </c>
      <c r="C114" s="7" t="s">
        <v>1278</v>
      </c>
      <c r="D114" s="7" t="s">
        <v>284</v>
      </c>
      <c r="E114" s="39">
        <v>42861</v>
      </c>
      <c r="F114" s="7" t="s">
        <v>1454</v>
      </c>
      <c r="G114" s="7" t="s">
        <v>1200</v>
      </c>
      <c r="H114" s="7" t="s">
        <v>1280</v>
      </c>
      <c r="I114" s="7" t="e">
        <f t="shared" si="0"/>
        <v>#VALUE!</v>
      </c>
      <c r="J114" s="40">
        <v>0.45833333333333331</v>
      </c>
      <c r="K114" s="7" t="s">
        <v>129</v>
      </c>
      <c r="L114" s="7" t="s">
        <v>101</v>
      </c>
      <c r="M114" s="7" t="s">
        <v>14</v>
      </c>
      <c r="N114" s="7" t="s">
        <v>14</v>
      </c>
    </row>
    <row r="115" spans="1:14" ht="13.2">
      <c r="A115" s="7">
        <v>400</v>
      </c>
      <c r="B115" s="7">
        <v>12838</v>
      </c>
      <c r="C115" s="7" t="s">
        <v>935</v>
      </c>
      <c r="D115" s="7" t="s">
        <v>284</v>
      </c>
      <c r="E115" s="39">
        <v>42861</v>
      </c>
      <c r="F115" s="7" t="s">
        <v>1455</v>
      </c>
      <c r="G115" s="7" t="s">
        <v>1200</v>
      </c>
      <c r="H115" s="7" t="s">
        <v>1277</v>
      </c>
      <c r="I115" s="7" t="e">
        <f t="shared" si="0"/>
        <v>#VALUE!</v>
      </c>
      <c r="J115" s="40">
        <v>0.4375</v>
      </c>
      <c r="K115" s="7" t="s">
        <v>1456</v>
      </c>
      <c r="L115" s="7" t="s">
        <v>114</v>
      </c>
      <c r="M115" s="7" t="s">
        <v>14</v>
      </c>
      <c r="N115" s="7" t="s">
        <v>14</v>
      </c>
    </row>
    <row r="116" spans="1:14" ht="13.2">
      <c r="A116" s="7">
        <v>429</v>
      </c>
      <c r="B116" s="7">
        <v>12447</v>
      </c>
      <c r="C116" s="7" t="s">
        <v>1222</v>
      </c>
      <c r="D116" s="7" t="s">
        <v>284</v>
      </c>
      <c r="E116" s="39">
        <v>42861</v>
      </c>
      <c r="F116" s="7" t="s">
        <v>1457</v>
      </c>
      <c r="G116" s="7" t="s">
        <v>1200</v>
      </c>
      <c r="H116" s="7" t="s">
        <v>1414</v>
      </c>
      <c r="I116" s="7" t="e">
        <f t="shared" si="0"/>
        <v>#VALUE!</v>
      </c>
      <c r="J116" s="40">
        <v>0.375</v>
      </c>
      <c r="K116" s="7" t="s">
        <v>230</v>
      </c>
      <c r="L116" s="7" t="s">
        <v>165</v>
      </c>
      <c r="M116" s="7" t="s">
        <v>14</v>
      </c>
      <c r="N116" s="7" t="s">
        <v>14</v>
      </c>
    </row>
    <row r="117" spans="1:14" ht="13.2">
      <c r="A117" s="7">
        <v>430</v>
      </c>
      <c r="B117" s="7">
        <v>12379</v>
      </c>
      <c r="C117" s="7" t="s">
        <v>1296</v>
      </c>
      <c r="D117" s="7" t="s">
        <v>284</v>
      </c>
      <c r="E117" s="39">
        <v>42861</v>
      </c>
      <c r="F117" s="7" t="s">
        <v>1458</v>
      </c>
      <c r="G117" s="7" t="s">
        <v>1200</v>
      </c>
      <c r="H117" s="7" t="s">
        <v>1298</v>
      </c>
      <c r="I117" s="7" t="e">
        <f t="shared" si="0"/>
        <v>#VALUE!</v>
      </c>
      <c r="J117" s="40">
        <v>0.375</v>
      </c>
      <c r="K117" s="7" t="s">
        <v>89</v>
      </c>
      <c r="L117" s="7" t="s">
        <v>1214</v>
      </c>
      <c r="M117" s="7" t="s">
        <v>14</v>
      </c>
      <c r="N117" s="7" t="s">
        <v>14</v>
      </c>
    </row>
    <row r="118" spans="1:14" ht="13.2">
      <c r="A118" s="7">
        <v>431</v>
      </c>
      <c r="B118" s="7">
        <v>12310</v>
      </c>
      <c r="C118" s="7" t="s">
        <v>718</v>
      </c>
      <c r="D118" s="7" t="s">
        <v>284</v>
      </c>
      <c r="E118" s="39">
        <v>42861</v>
      </c>
      <c r="F118" s="7" t="s">
        <v>1459</v>
      </c>
      <c r="G118" s="7" t="s">
        <v>1200</v>
      </c>
      <c r="H118" s="7" t="s">
        <v>1412</v>
      </c>
      <c r="I118" s="7" t="e">
        <f t="shared" si="0"/>
        <v>#VALUE!</v>
      </c>
      <c r="J118" s="40">
        <v>0.375</v>
      </c>
      <c r="K118" s="7" t="s">
        <v>89</v>
      </c>
      <c r="L118" s="7" t="s">
        <v>114</v>
      </c>
      <c r="M118" s="7" t="s">
        <v>14</v>
      </c>
      <c r="N118" s="7" t="s">
        <v>14</v>
      </c>
    </row>
    <row r="119" spans="1:14" ht="13.2">
      <c r="A119" s="7">
        <v>443</v>
      </c>
      <c r="B119" s="7">
        <v>12103</v>
      </c>
      <c r="C119" s="7" t="s">
        <v>1292</v>
      </c>
      <c r="D119" s="7" t="s">
        <v>284</v>
      </c>
      <c r="E119" s="39">
        <v>42861</v>
      </c>
      <c r="F119" s="7" t="s">
        <v>1460</v>
      </c>
      <c r="G119" s="7" t="s">
        <v>1200</v>
      </c>
      <c r="H119" s="7" t="s">
        <v>1294</v>
      </c>
      <c r="I119" s="7" t="e">
        <f t="shared" si="0"/>
        <v>#VALUE!</v>
      </c>
      <c r="J119" s="40">
        <v>0.4375</v>
      </c>
      <c r="K119" s="7" t="s">
        <v>188</v>
      </c>
      <c r="L119" s="7" t="s">
        <v>1319</v>
      </c>
      <c r="M119" s="7" t="s">
        <v>14</v>
      </c>
      <c r="N119" s="7" t="s">
        <v>14</v>
      </c>
    </row>
    <row r="120" spans="1:14" ht="13.2">
      <c r="A120" s="7">
        <v>463</v>
      </c>
      <c r="B120" s="7">
        <v>11818</v>
      </c>
      <c r="C120" s="7" t="s">
        <v>1303</v>
      </c>
      <c r="D120" s="7" t="s">
        <v>284</v>
      </c>
      <c r="E120" s="39">
        <v>42861</v>
      </c>
      <c r="F120" s="7" t="s">
        <v>1461</v>
      </c>
      <c r="G120" s="7" t="s">
        <v>1200</v>
      </c>
      <c r="H120" s="7" t="s">
        <v>1305</v>
      </c>
      <c r="I120" s="7" t="e">
        <f t="shared" si="0"/>
        <v>#VALUE!</v>
      </c>
      <c r="J120" s="40">
        <v>0.48958333333333331</v>
      </c>
      <c r="K120" s="7" t="s">
        <v>37</v>
      </c>
      <c r="L120" s="7" t="s">
        <v>59</v>
      </c>
      <c r="M120" s="7" t="s">
        <v>14</v>
      </c>
      <c r="N120" s="7" t="s">
        <v>14</v>
      </c>
    </row>
    <row r="121" spans="1:14" ht="13.2">
      <c r="A121" s="7">
        <v>466</v>
      </c>
      <c r="B121" s="7">
        <v>11701</v>
      </c>
      <c r="C121" s="7" t="s">
        <v>1300</v>
      </c>
      <c r="D121" s="7" t="s">
        <v>284</v>
      </c>
      <c r="E121" s="39">
        <v>42861</v>
      </c>
      <c r="F121" s="7" t="s">
        <v>1462</v>
      </c>
      <c r="G121" s="7" t="s">
        <v>1200</v>
      </c>
      <c r="H121" s="7" t="s">
        <v>1302</v>
      </c>
      <c r="I121" s="7" t="e">
        <f t="shared" si="0"/>
        <v>#VALUE!</v>
      </c>
      <c r="J121" s="40">
        <v>0.39583333333333331</v>
      </c>
      <c r="K121" s="7" t="s">
        <v>188</v>
      </c>
      <c r="L121" s="7" t="s">
        <v>1329</v>
      </c>
      <c r="M121" s="7" t="s">
        <v>14</v>
      </c>
      <c r="N121" s="7" t="s">
        <v>14</v>
      </c>
    </row>
    <row r="122" spans="1:14" ht="13.2">
      <c r="A122" s="7">
        <v>474</v>
      </c>
      <c r="B122" s="7">
        <v>11542</v>
      </c>
      <c r="C122" s="7" t="s">
        <v>1309</v>
      </c>
      <c r="D122" s="7" t="s">
        <v>284</v>
      </c>
      <c r="E122" s="39">
        <v>42861</v>
      </c>
      <c r="F122" s="7" t="s">
        <v>1463</v>
      </c>
      <c r="G122" s="7" t="s">
        <v>1200</v>
      </c>
      <c r="H122" s="7" t="s">
        <v>1311</v>
      </c>
      <c r="I122" s="7" t="e">
        <f t="shared" si="0"/>
        <v>#VALUE!</v>
      </c>
      <c r="J122" s="40">
        <v>0.40625</v>
      </c>
      <c r="K122" s="7" t="s">
        <v>170</v>
      </c>
      <c r="L122" s="7" t="s">
        <v>59</v>
      </c>
      <c r="M122" s="7" t="s">
        <v>14</v>
      </c>
      <c r="N122" s="7" t="s">
        <v>14</v>
      </c>
    </row>
    <row r="123" spans="1:14" ht="13.2">
      <c r="A123" s="7">
        <v>482</v>
      </c>
      <c r="B123" s="7">
        <v>11368</v>
      </c>
      <c r="C123" s="7" t="s">
        <v>1306</v>
      </c>
      <c r="D123" s="7" t="s">
        <v>284</v>
      </c>
      <c r="E123" s="39">
        <v>42861</v>
      </c>
      <c r="F123" s="7" t="s">
        <v>1464</v>
      </c>
      <c r="G123" s="7" t="s">
        <v>1200</v>
      </c>
      <c r="H123" s="7" t="s">
        <v>1308</v>
      </c>
      <c r="I123" s="7" t="e">
        <f t="shared" si="0"/>
        <v>#VALUE!</v>
      </c>
      <c r="J123" s="40">
        <v>0.54166666666666663</v>
      </c>
      <c r="K123" s="7" t="s">
        <v>21</v>
      </c>
      <c r="L123" s="7" t="s">
        <v>101</v>
      </c>
      <c r="M123" s="7" t="s">
        <v>14</v>
      </c>
      <c r="N123" s="7" t="s">
        <v>14</v>
      </c>
    </row>
    <row r="124" spans="1:14" ht="13.2">
      <c r="A124" s="7">
        <v>483</v>
      </c>
      <c r="B124" s="7">
        <v>11365</v>
      </c>
      <c r="C124" s="7" t="s">
        <v>463</v>
      </c>
      <c r="D124" s="7" t="s">
        <v>284</v>
      </c>
      <c r="E124" s="39">
        <v>42861</v>
      </c>
      <c r="F124" s="7" t="s">
        <v>1465</v>
      </c>
      <c r="G124" s="7" t="s">
        <v>1200</v>
      </c>
      <c r="H124" s="7" t="s">
        <v>1418</v>
      </c>
      <c r="I124" s="7" t="e">
        <f t="shared" si="0"/>
        <v>#VALUE!</v>
      </c>
      <c r="J124" s="40">
        <v>0.52083333333333337</v>
      </c>
      <c r="K124" s="7" t="s">
        <v>188</v>
      </c>
      <c r="L124" s="7" t="s">
        <v>1329</v>
      </c>
      <c r="M124" s="7" t="s">
        <v>14</v>
      </c>
      <c r="N124" s="7" t="s">
        <v>14</v>
      </c>
    </row>
    <row r="125" spans="1:14" ht="13.2">
      <c r="A125" s="7">
        <v>497</v>
      </c>
      <c r="B125" s="7">
        <v>11253</v>
      </c>
      <c r="C125" s="7" t="s">
        <v>1237</v>
      </c>
      <c r="D125" s="7" t="s">
        <v>284</v>
      </c>
      <c r="E125" s="39">
        <v>42861</v>
      </c>
      <c r="F125" s="7" t="s">
        <v>1466</v>
      </c>
      <c r="G125" s="7" t="s">
        <v>1200</v>
      </c>
      <c r="H125" s="7" t="s">
        <v>1420</v>
      </c>
      <c r="I125" s="7" t="e">
        <f t="shared" si="0"/>
        <v>#VALUE!</v>
      </c>
      <c r="J125" s="40">
        <v>0.45833333333333331</v>
      </c>
      <c r="K125" s="7" t="s">
        <v>230</v>
      </c>
      <c r="L125" s="7" t="s">
        <v>165</v>
      </c>
      <c r="M125" s="7" t="s">
        <v>14</v>
      </c>
      <c r="N125" s="7" t="s">
        <v>14</v>
      </c>
    </row>
    <row r="126" spans="1:14" ht="13.2">
      <c r="A126" s="7">
        <v>525</v>
      </c>
      <c r="B126" s="7">
        <v>5884</v>
      </c>
      <c r="C126" s="7" t="s">
        <v>1113</v>
      </c>
      <c r="D126" s="7" t="s">
        <v>284</v>
      </c>
      <c r="E126" s="39">
        <v>42861</v>
      </c>
      <c r="F126" s="7" t="s">
        <v>1467</v>
      </c>
      <c r="G126" s="7" t="s">
        <v>1200</v>
      </c>
      <c r="H126" s="7" t="s">
        <v>1341</v>
      </c>
      <c r="I126" s="7" t="e">
        <f t="shared" si="0"/>
        <v>#VALUE!</v>
      </c>
      <c r="J126" s="40">
        <v>0.45833333333333331</v>
      </c>
      <c r="K126" s="7" t="s">
        <v>170</v>
      </c>
      <c r="L126" s="7" t="s">
        <v>59</v>
      </c>
      <c r="M126" s="7" t="s">
        <v>14</v>
      </c>
      <c r="N126" s="7" t="s">
        <v>14</v>
      </c>
    </row>
    <row r="127" spans="1:14" ht="13.2">
      <c r="A127" s="7">
        <v>526</v>
      </c>
      <c r="B127" s="7">
        <v>5880</v>
      </c>
      <c r="C127" s="7" t="s">
        <v>1107</v>
      </c>
      <c r="D127" s="7" t="s">
        <v>284</v>
      </c>
      <c r="E127" s="39">
        <v>42861</v>
      </c>
      <c r="F127" s="7" t="s">
        <v>1468</v>
      </c>
      <c r="G127" s="7" t="s">
        <v>1200</v>
      </c>
      <c r="H127" s="7" t="s">
        <v>1339</v>
      </c>
      <c r="I127" s="7" t="e">
        <f t="shared" si="0"/>
        <v>#VALUE!</v>
      </c>
      <c r="J127" s="40">
        <v>0.52083333333333337</v>
      </c>
      <c r="K127" s="7" t="s">
        <v>141</v>
      </c>
      <c r="L127" s="7" t="s">
        <v>165</v>
      </c>
      <c r="M127" s="7" t="s">
        <v>14</v>
      </c>
      <c r="N127" s="7" t="s">
        <v>14</v>
      </c>
    </row>
    <row r="128" spans="1:14" ht="13.2">
      <c r="A128" s="7">
        <v>540</v>
      </c>
      <c r="B128" s="7">
        <v>3995</v>
      </c>
      <c r="C128" s="7" t="s">
        <v>1244</v>
      </c>
      <c r="D128" s="7" t="s">
        <v>284</v>
      </c>
      <c r="E128" s="39">
        <v>42861</v>
      </c>
      <c r="F128" s="7" t="s">
        <v>1469</v>
      </c>
      <c r="G128" s="7" t="s">
        <v>1200</v>
      </c>
      <c r="H128" s="7" t="s">
        <v>1344</v>
      </c>
      <c r="I128" s="7" t="e">
        <f t="shared" si="0"/>
        <v>#VALUE!</v>
      </c>
      <c r="J128" s="40">
        <v>0.58333333333333337</v>
      </c>
      <c r="K128" s="7" t="s">
        <v>1470</v>
      </c>
      <c r="L128" s="7" t="s">
        <v>165</v>
      </c>
      <c r="M128" s="7" t="s">
        <v>14</v>
      </c>
      <c r="N128" s="7" t="s">
        <v>14</v>
      </c>
    </row>
    <row r="129" spans="1:14" ht="13.2">
      <c r="A129" s="7">
        <v>548</v>
      </c>
      <c r="B129" s="7">
        <v>1750</v>
      </c>
      <c r="C129" s="7" t="s">
        <v>1247</v>
      </c>
      <c r="D129" s="7" t="s">
        <v>284</v>
      </c>
      <c r="E129" s="39">
        <v>42861</v>
      </c>
      <c r="F129" s="7" t="s">
        <v>1471</v>
      </c>
      <c r="G129" s="7" t="s">
        <v>1200</v>
      </c>
      <c r="H129" s="7" t="s">
        <v>1348</v>
      </c>
      <c r="I129" s="7" t="e">
        <f t="shared" si="0"/>
        <v>#VALUE!</v>
      </c>
      <c r="J129" s="40">
        <v>0.64583333333333337</v>
      </c>
      <c r="K129" s="7" t="s">
        <v>1470</v>
      </c>
      <c r="L129" s="7" t="s">
        <v>165</v>
      </c>
      <c r="M129" s="7" t="s">
        <v>14</v>
      </c>
      <c r="N129" s="7" t="s">
        <v>14</v>
      </c>
    </row>
    <row r="130" spans="1:14" ht="13.2">
      <c r="A130" s="7">
        <v>186</v>
      </c>
      <c r="B130" s="7">
        <v>13765</v>
      </c>
      <c r="C130" s="7" t="s">
        <v>1323</v>
      </c>
      <c r="D130" s="7" t="s">
        <v>1324</v>
      </c>
      <c r="E130" s="39">
        <v>42865</v>
      </c>
      <c r="F130" s="7" t="s">
        <v>1325</v>
      </c>
      <c r="G130" s="7" t="s">
        <v>1200</v>
      </c>
      <c r="H130" s="7" t="s">
        <v>1472</v>
      </c>
      <c r="I130" s="7" t="e">
        <f t="shared" si="0"/>
        <v>#VALUE!</v>
      </c>
      <c r="J130" s="40">
        <v>0.85416666666666663</v>
      </c>
      <c r="K130" s="7" t="s">
        <v>30</v>
      </c>
      <c r="L130" s="7" t="s">
        <v>1202</v>
      </c>
      <c r="M130" s="7" t="s">
        <v>14</v>
      </c>
      <c r="N130" s="7" t="s">
        <v>584</v>
      </c>
    </row>
    <row r="131" spans="1:14" ht="13.2">
      <c r="A131" s="7">
        <v>169</v>
      </c>
      <c r="B131" s="7">
        <v>22945</v>
      </c>
      <c r="C131" s="7" t="s">
        <v>1256</v>
      </c>
      <c r="D131" s="7" t="s">
        <v>284</v>
      </c>
      <c r="E131" s="39">
        <v>42868</v>
      </c>
      <c r="F131" s="7" t="s">
        <v>1355</v>
      </c>
      <c r="G131" s="7" t="s">
        <v>1200</v>
      </c>
      <c r="H131" s="7" t="s">
        <v>1473</v>
      </c>
      <c r="I131" s="7" t="e">
        <f t="shared" si="0"/>
        <v>#VALUE!</v>
      </c>
      <c r="J131" s="40">
        <v>0.42708333333333331</v>
      </c>
      <c r="K131" s="7" t="s">
        <v>30</v>
      </c>
      <c r="L131" s="7" t="s">
        <v>114</v>
      </c>
      <c r="M131" s="7" t="s">
        <v>14</v>
      </c>
      <c r="N131" s="7" t="s">
        <v>289</v>
      </c>
    </row>
    <row r="132" spans="1:14" ht="13.2">
      <c r="A132" s="7">
        <v>172</v>
      </c>
      <c r="B132" s="7">
        <v>14353</v>
      </c>
      <c r="C132" s="7" t="s">
        <v>1259</v>
      </c>
      <c r="D132" s="7" t="s">
        <v>284</v>
      </c>
      <c r="E132" s="39">
        <v>42868</v>
      </c>
      <c r="F132" s="7" t="s">
        <v>1357</v>
      </c>
      <c r="G132" s="7" t="s">
        <v>1200</v>
      </c>
      <c r="H132" s="7" t="s">
        <v>1474</v>
      </c>
      <c r="I132" s="7" t="e">
        <f t="shared" si="0"/>
        <v>#VALUE!</v>
      </c>
      <c r="J132" s="40">
        <v>0.57291666666666663</v>
      </c>
      <c r="K132" s="7" t="s">
        <v>30</v>
      </c>
      <c r="L132" s="7" t="s">
        <v>1319</v>
      </c>
      <c r="M132" s="7" t="s">
        <v>14</v>
      </c>
      <c r="N132" s="7" t="s">
        <v>298</v>
      </c>
    </row>
    <row r="133" spans="1:14" ht="13.2">
      <c r="A133" s="7">
        <v>173</v>
      </c>
      <c r="B133" s="7">
        <v>14346</v>
      </c>
      <c r="C133" s="7" t="s">
        <v>1198</v>
      </c>
      <c r="D133" s="7" t="s">
        <v>284</v>
      </c>
      <c r="E133" s="39">
        <v>42868</v>
      </c>
      <c r="F133" s="7" t="s">
        <v>1199</v>
      </c>
      <c r="G133" s="7" t="s">
        <v>1200</v>
      </c>
      <c r="H133" s="7" t="s">
        <v>1475</v>
      </c>
      <c r="I133" s="7" t="e">
        <f t="shared" si="0"/>
        <v>#VALUE!</v>
      </c>
      <c r="J133" s="40">
        <v>0.51041666666666663</v>
      </c>
      <c r="K133" s="7" t="s">
        <v>30</v>
      </c>
      <c r="L133" s="7" t="s">
        <v>1319</v>
      </c>
      <c r="M133" s="7" t="s">
        <v>14</v>
      </c>
      <c r="N133" s="7" t="s">
        <v>606</v>
      </c>
    </row>
    <row r="134" spans="1:14" ht="13.2">
      <c r="A134" s="7">
        <v>181</v>
      </c>
      <c r="B134" s="7">
        <v>13942</v>
      </c>
      <c r="C134" s="7" t="s">
        <v>1206</v>
      </c>
      <c r="D134" s="7" t="s">
        <v>284</v>
      </c>
      <c r="E134" s="39">
        <v>42868</v>
      </c>
      <c r="F134" s="7" t="s">
        <v>1207</v>
      </c>
      <c r="G134" s="7" t="s">
        <v>1200</v>
      </c>
      <c r="H134" s="7" t="s">
        <v>1476</v>
      </c>
      <c r="I134" s="7" t="e">
        <f t="shared" si="0"/>
        <v>#VALUE!</v>
      </c>
      <c r="J134" s="40">
        <v>0.63541666666666663</v>
      </c>
      <c r="K134" s="7" t="s">
        <v>30</v>
      </c>
      <c r="L134" s="7" t="s">
        <v>1319</v>
      </c>
      <c r="M134" s="7" t="s">
        <v>14</v>
      </c>
      <c r="N134" s="7" t="s">
        <v>288</v>
      </c>
    </row>
    <row r="135" spans="1:14" ht="13.2">
      <c r="A135" s="7">
        <v>194</v>
      </c>
      <c r="B135" s="7">
        <v>13557</v>
      </c>
      <c r="C135" s="7" t="s">
        <v>831</v>
      </c>
      <c r="D135" s="7" t="s">
        <v>284</v>
      </c>
      <c r="E135" s="39">
        <v>42868</v>
      </c>
      <c r="F135" s="7" t="s">
        <v>1212</v>
      </c>
      <c r="G135" s="7" t="s">
        <v>1200</v>
      </c>
      <c r="H135" s="7" t="s">
        <v>1477</v>
      </c>
      <c r="I135" s="7" t="e">
        <f t="shared" si="0"/>
        <v>#VALUE!</v>
      </c>
      <c r="J135" s="40">
        <v>0.375</v>
      </c>
      <c r="K135" s="7" t="s">
        <v>30</v>
      </c>
      <c r="L135" s="7" t="s">
        <v>1214</v>
      </c>
      <c r="M135" s="7" t="s">
        <v>14</v>
      </c>
      <c r="N135" s="7" t="s">
        <v>1363</v>
      </c>
    </row>
    <row r="136" spans="1:14" ht="13.2">
      <c r="A136" s="7">
        <v>204</v>
      </c>
      <c r="B136" s="7">
        <v>13154</v>
      </c>
      <c r="C136" s="7" t="s">
        <v>1273</v>
      </c>
      <c r="D136" s="7" t="s">
        <v>284</v>
      </c>
      <c r="E136" s="39">
        <v>42868</v>
      </c>
      <c r="F136" s="7" t="s">
        <v>1366</v>
      </c>
      <c r="G136" s="7" t="s">
        <v>1200</v>
      </c>
      <c r="H136" s="7" t="s">
        <v>1478</v>
      </c>
      <c r="I136" s="7" t="e">
        <f t="shared" si="0"/>
        <v>#VALUE!</v>
      </c>
      <c r="J136" s="40">
        <v>0.39583333333333331</v>
      </c>
      <c r="K136" s="7" t="s">
        <v>30</v>
      </c>
      <c r="L136" s="7" t="s">
        <v>1269</v>
      </c>
      <c r="M136" s="7" t="s">
        <v>14</v>
      </c>
      <c r="N136" s="7" t="s">
        <v>558</v>
      </c>
    </row>
    <row r="137" spans="1:14" ht="13.2">
      <c r="A137" s="7">
        <v>208</v>
      </c>
      <c r="B137" s="7">
        <v>12739</v>
      </c>
      <c r="C137" s="7" t="s">
        <v>935</v>
      </c>
      <c r="D137" s="7" t="s">
        <v>284</v>
      </c>
      <c r="E137" s="39">
        <v>42868</v>
      </c>
      <c r="F137" s="7" t="s">
        <v>1368</v>
      </c>
      <c r="G137" s="7" t="s">
        <v>1200</v>
      </c>
      <c r="H137" s="7" t="s">
        <v>1479</v>
      </c>
      <c r="I137" s="7" t="e">
        <f t="shared" si="0"/>
        <v>#VALUE!</v>
      </c>
      <c r="J137" s="40">
        <v>0.375</v>
      </c>
      <c r="K137" s="7" t="s">
        <v>30</v>
      </c>
      <c r="L137" s="7" t="s">
        <v>1329</v>
      </c>
      <c r="M137" s="7" t="s">
        <v>14</v>
      </c>
      <c r="N137" s="7" t="s">
        <v>1480</v>
      </c>
    </row>
    <row r="138" spans="1:14" ht="13.2">
      <c r="A138" s="7">
        <v>209</v>
      </c>
      <c r="B138" s="7">
        <v>12738</v>
      </c>
      <c r="C138" s="7" t="s">
        <v>1278</v>
      </c>
      <c r="D138" s="7" t="s">
        <v>284</v>
      </c>
      <c r="E138" s="39">
        <v>42868</v>
      </c>
      <c r="F138" s="7" t="s">
        <v>1370</v>
      </c>
      <c r="G138" s="7" t="s">
        <v>1200</v>
      </c>
      <c r="H138" s="7" t="s">
        <v>1481</v>
      </c>
      <c r="I138" s="7" t="e">
        <f t="shared" si="0"/>
        <v>#VALUE!</v>
      </c>
      <c r="J138" s="40">
        <v>0.41666666666666669</v>
      </c>
      <c r="K138" s="7" t="s">
        <v>30</v>
      </c>
      <c r="L138" s="7" t="s">
        <v>1329</v>
      </c>
      <c r="M138" s="7" t="s">
        <v>14</v>
      </c>
      <c r="N138" s="7" t="s">
        <v>550</v>
      </c>
    </row>
    <row r="139" spans="1:14" ht="13.2">
      <c r="A139" s="7">
        <v>219</v>
      </c>
      <c r="B139" s="7">
        <v>12620</v>
      </c>
      <c r="C139" s="7" t="s">
        <v>1222</v>
      </c>
      <c r="D139" s="7" t="s">
        <v>284</v>
      </c>
      <c r="E139" s="39">
        <v>42868</v>
      </c>
      <c r="F139" s="7" t="s">
        <v>1223</v>
      </c>
      <c r="G139" s="7" t="s">
        <v>1200</v>
      </c>
      <c r="H139" s="7" t="s">
        <v>1482</v>
      </c>
      <c r="I139" s="7" t="e">
        <f t="shared" si="0"/>
        <v>#VALUE!</v>
      </c>
      <c r="J139" s="40">
        <v>0.375</v>
      </c>
      <c r="K139" s="7" t="s">
        <v>30</v>
      </c>
      <c r="L139" s="7" t="s">
        <v>1214</v>
      </c>
      <c r="M139" s="7" t="s">
        <v>14</v>
      </c>
      <c r="N139" s="7" t="s">
        <v>800</v>
      </c>
    </row>
    <row r="140" spans="1:14" ht="13.2">
      <c r="A140" s="7">
        <v>224</v>
      </c>
      <c r="B140" s="7">
        <v>12060</v>
      </c>
      <c r="C140" s="7" t="s">
        <v>1296</v>
      </c>
      <c r="D140" s="7" t="s">
        <v>284</v>
      </c>
      <c r="E140" s="39">
        <v>42868</v>
      </c>
      <c r="F140" s="7" t="s">
        <v>1374</v>
      </c>
      <c r="G140" s="7" t="s">
        <v>1200</v>
      </c>
      <c r="H140" s="7" t="s">
        <v>1483</v>
      </c>
      <c r="I140" s="7" t="e">
        <f t="shared" si="0"/>
        <v>#VALUE!</v>
      </c>
      <c r="J140" s="40">
        <v>0.375</v>
      </c>
      <c r="K140" s="7" t="s">
        <v>30</v>
      </c>
      <c r="L140" s="7" t="s">
        <v>114</v>
      </c>
      <c r="M140" s="7" t="s">
        <v>14</v>
      </c>
      <c r="N140" s="7" t="s">
        <v>1227</v>
      </c>
    </row>
    <row r="141" spans="1:14" ht="13.2">
      <c r="A141" s="7">
        <v>229</v>
      </c>
      <c r="B141" s="7">
        <v>12055</v>
      </c>
      <c r="C141" s="7" t="s">
        <v>1292</v>
      </c>
      <c r="D141" s="7" t="s">
        <v>284</v>
      </c>
      <c r="E141" s="39">
        <v>42868</v>
      </c>
      <c r="F141" s="7" t="s">
        <v>1376</v>
      </c>
      <c r="G141" s="7" t="s">
        <v>1200</v>
      </c>
      <c r="H141" s="7" t="s">
        <v>1484</v>
      </c>
      <c r="I141" s="7" t="e">
        <f t="shared" si="0"/>
        <v>#VALUE!</v>
      </c>
      <c r="J141" s="40">
        <v>0.47916666666666669</v>
      </c>
      <c r="K141" s="7" t="s">
        <v>30</v>
      </c>
      <c r="L141" s="7" t="s">
        <v>1269</v>
      </c>
      <c r="M141" s="7" t="s">
        <v>14</v>
      </c>
      <c r="N141" s="7" t="s">
        <v>869</v>
      </c>
    </row>
    <row r="142" spans="1:14" ht="13.2">
      <c r="A142" s="7">
        <v>233</v>
      </c>
      <c r="B142" s="7">
        <v>12051</v>
      </c>
      <c r="C142" s="7" t="s">
        <v>718</v>
      </c>
      <c r="D142" s="7" t="s">
        <v>284</v>
      </c>
      <c r="E142" s="39">
        <v>42868</v>
      </c>
      <c r="F142" s="7" t="s">
        <v>1225</v>
      </c>
      <c r="G142" s="7" t="s">
        <v>1200</v>
      </c>
      <c r="H142" s="7" t="s">
        <v>1485</v>
      </c>
      <c r="I142" s="7" t="e">
        <f t="shared" si="0"/>
        <v>#VALUE!</v>
      </c>
      <c r="J142" s="40">
        <v>0.375</v>
      </c>
      <c r="K142" s="7" t="s">
        <v>30</v>
      </c>
      <c r="L142" s="7" t="s">
        <v>114</v>
      </c>
      <c r="M142" s="7" t="s">
        <v>14</v>
      </c>
      <c r="N142" s="7" t="s">
        <v>775</v>
      </c>
    </row>
    <row r="143" spans="1:14" ht="13.2">
      <c r="A143" s="7">
        <v>241</v>
      </c>
      <c r="B143" s="7">
        <v>11668</v>
      </c>
      <c r="C143" s="7" t="s">
        <v>1300</v>
      </c>
      <c r="D143" s="7" t="s">
        <v>284</v>
      </c>
      <c r="E143" s="39">
        <v>42868</v>
      </c>
      <c r="F143" s="7" t="s">
        <v>1380</v>
      </c>
      <c r="G143" s="7" t="s">
        <v>1200</v>
      </c>
      <c r="H143" s="7" t="s">
        <v>1486</v>
      </c>
      <c r="I143" s="7" t="e">
        <f t="shared" si="0"/>
        <v>#VALUE!</v>
      </c>
      <c r="J143" s="40">
        <v>0.45833333333333331</v>
      </c>
      <c r="K143" s="7" t="s">
        <v>30</v>
      </c>
      <c r="L143" s="7" t="s">
        <v>1329</v>
      </c>
      <c r="M143" s="7" t="s">
        <v>14</v>
      </c>
      <c r="N143" s="7" t="s">
        <v>423</v>
      </c>
    </row>
    <row r="144" spans="1:14" ht="13.2">
      <c r="A144" s="7">
        <v>243</v>
      </c>
      <c r="B144" s="7">
        <v>11666</v>
      </c>
      <c r="C144" s="7" t="s">
        <v>1303</v>
      </c>
      <c r="D144" s="7" t="s">
        <v>284</v>
      </c>
      <c r="E144" s="39">
        <v>42868</v>
      </c>
      <c r="F144" s="7" t="s">
        <v>1382</v>
      </c>
      <c r="G144" s="7" t="s">
        <v>1200</v>
      </c>
      <c r="H144" s="7" t="s">
        <v>1487</v>
      </c>
      <c r="I144" s="7" t="e">
        <f t="shared" si="0"/>
        <v>#VALUE!</v>
      </c>
      <c r="J144" s="40">
        <v>0.44791666666666669</v>
      </c>
      <c r="K144" s="7" t="s">
        <v>30</v>
      </c>
      <c r="L144" s="7" t="s">
        <v>1234</v>
      </c>
      <c r="M144" s="7" t="s">
        <v>14</v>
      </c>
      <c r="N144" s="7" t="s">
        <v>456</v>
      </c>
    </row>
    <row r="145" spans="1:14" ht="13.2">
      <c r="A145" s="7">
        <v>250</v>
      </c>
      <c r="B145" s="7">
        <v>11341</v>
      </c>
      <c r="C145" s="7" t="s">
        <v>463</v>
      </c>
      <c r="D145" s="7" t="s">
        <v>284</v>
      </c>
      <c r="E145" s="39">
        <v>42868</v>
      </c>
      <c r="F145" s="7" t="s">
        <v>1235</v>
      </c>
      <c r="G145" s="7" t="s">
        <v>1200</v>
      </c>
      <c r="H145" s="7" t="s">
        <v>1488</v>
      </c>
      <c r="I145" s="7" t="e">
        <f t="shared" si="0"/>
        <v>#VALUE!</v>
      </c>
      <c r="J145" s="40">
        <v>0.39583333333333331</v>
      </c>
      <c r="K145" s="7" t="s">
        <v>30</v>
      </c>
      <c r="L145" s="7" t="s">
        <v>1234</v>
      </c>
      <c r="M145" s="7" t="s">
        <v>14</v>
      </c>
      <c r="N145" s="7" t="s">
        <v>1489</v>
      </c>
    </row>
    <row r="146" spans="1:14" ht="13.2">
      <c r="A146" s="7">
        <v>253</v>
      </c>
      <c r="B146" s="7">
        <v>11338</v>
      </c>
      <c r="C146" s="7" t="s">
        <v>1306</v>
      </c>
      <c r="D146" s="7" t="s">
        <v>284</v>
      </c>
      <c r="E146" s="39">
        <v>42868</v>
      </c>
      <c r="F146" s="7" t="s">
        <v>1384</v>
      </c>
      <c r="G146" s="7" t="s">
        <v>1200</v>
      </c>
      <c r="H146" s="7" t="s">
        <v>1490</v>
      </c>
      <c r="I146" s="7" t="e">
        <f t="shared" si="0"/>
        <v>#VALUE!</v>
      </c>
      <c r="J146" s="40">
        <v>0.4375</v>
      </c>
      <c r="K146" s="7" t="s">
        <v>30</v>
      </c>
      <c r="L146" s="7" t="s">
        <v>101</v>
      </c>
      <c r="M146" s="7" t="s">
        <v>14</v>
      </c>
      <c r="N146" s="7" t="s">
        <v>445</v>
      </c>
    </row>
    <row r="147" spans="1:14" ht="13.2">
      <c r="A147" s="7">
        <v>254</v>
      </c>
      <c r="B147" s="7">
        <v>11337</v>
      </c>
      <c r="C147" s="7" t="s">
        <v>1309</v>
      </c>
      <c r="D147" s="7" t="s">
        <v>284</v>
      </c>
      <c r="E147" s="39">
        <v>42868</v>
      </c>
      <c r="F147" s="7" t="s">
        <v>1386</v>
      </c>
      <c r="G147" s="7" t="s">
        <v>1200</v>
      </c>
      <c r="H147" s="7" t="s">
        <v>1491</v>
      </c>
      <c r="I147" s="7" t="e">
        <f t="shared" si="0"/>
        <v>#VALUE!</v>
      </c>
      <c r="J147" s="40">
        <v>0.38541666666666669</v>
      </c>
      <c r="K147" s="7" t="s">
        <v>30</v>
      </c>
      <c r="L147" s="7" t="s">
        <v>101</v>
      </c>
      <c r="M147" s="7" t="s">
        <v>14</v>
      </c>
      <c r="N147" s="7" t="s">
        <v>1492</v>
      </c>
    </row>
    <row r="148" spans="1:14" ht="13.2">
      <c r="A148" s="7">
        <v>260</v>
      </c>
      <c r="B148" s="7">
        <v>11070</v>
      </c>
      <c r="C148" s="7" t="s">
        <v>1237</v>
      </c>
      <c r="D148" s="7" t="s">
        <v>284</v>
      </c>
      <c r="E148" s="39">
        <v>42868</v>
      </c>
      <c r="F148" s="7" t="s">
        <v>1238</v>
      </c>
      <c r="G148" s="7" t="s">
        <v>1200</v>
      </c>
      <c r="H148" s="7" t="s">
        <v>1493</v>
      </c>
      <c r="I148" s="7" t="e">
        <f t="shared" si="0"/>
        <v>#VALUE!</v>
      </c>
      <c r="J148" s="40">
        <v>0.5</v>
      </c>
      <c r="K148" s="7" t="s">
        <v>30</v>
      </c>
      <c r="L148" s="7" t="s">
        <v>1202</v>
      </c>
      <c r="M148" s="7" t="s">
        <v>14</v>
      </c>
      <c r="N148" s="7" t="s">
        <v>567</v>
      </c>
    </row>
    <row r="149" spans="1:14" ht="13.2">
      <c r="A149" s="7">
        <v>265</v>
      </c>
      <c r="B149" s="7">
        <v>6746</v>
      </c>
      <c r="C149" s="7" t="s">
        <v>1107</v>
      </c>
      <c r="D149" s="7" t="s">
        <v>284</v>
      </c>
      <c r="E149" s="39">
        <v>42868</v>
      </c>
      <c r="F149" s="7" t="s">
        <v>1240</v>
      </c>
      <c r="G149" s="7" t="s">
        <v>1200</v>
      </c>
      <c r="H149" s="7" t="s">
        <v>1494</v>
      </c>
      <c r="I149" s="7" t="e">
        <f t="shared" si="0"/>
        <v>#VALUE!</v>
      </c>
      <c r="J149" s="40">
        <v>0.54166666666666663</v>
      </c>
      <c r="K149" s="7" t="s">
        <v>30</v>
      </c>
      <c r="L149" s="7" t="s">
        <v>1214</v>
      </c>
      <c r="M149" s="7" t="s">
        <v>14</v>
      </c>
      <c r="N149" s="7" t="s">
        <v>289</v>
      </c>
    </row>
    <row r="150" spans="1:14" ht="13.2">
      <c r="A150" s="7">
        <v>266</v>
      </c>
      <c r="B150" s="7">
        <v>6745</v>
      </c>
      <c r="C150" s="7" t="s">
        <v>1113</v>
      </c>
      <c r="D150" s="7" t="s">
        <v>284</v>
      </c>
      <c r="E150" s="39">
        <v>42868</v>
      </c>
      <c r="F150" s="7" t="s">
        <v>1242</v>
      </c>
      <c r="G150" s="7" t="s">
        <v>1200</v>
      </c>
      <c r="H150" s="7" t="s">
        <v>1495</v>
      </c>
      <c r="I150" s="7" t="e">
        <f t="shared" si="0"/>
        <v>#VALUE!</v>
      </c>
      <c r="J150" s="40">
        <v>0.47916666666666669</v>
      </c>
      <c r="K150" s="7" t="s">
        <v>30</v>
      </c>
      <c r="L150" s="7" t="s">
        <v>1214</v>
      </c>
      <c r="M150" s="7" t="s">
        <v>14</v>
      </c>
      <c r="N150" s="7" t="s">
        <v>289</v>
      </c>
    </row>
    <row r="151" spans="1:14" ht="13.2">
      <c r="A151" s="7">
        <v>273</v>
      </c>
      <c r="B151" s="7">
        <v>5131</v>
      </c>
      <c r="C151" s="7" t="s">
        <v>1244</v>
      </c>
      <c r="D151" s="7" t="s">
        <v>284</v>
      </c>
      <c r="E151" s="39">
        <v>42868</v>
      </c>
      <c r="F151" s="7" t="s">
        <v>1245</v>
      </c>
      <c r="G151" s="7" t="s">
        <v>1200</v>
      </c>
      <c r="H151" s="7" t="s">
        <v>1496</v>
      </c>
      <c r="I151" s="7" t="e">
        <f t="shared" si="0"/>
        <v>#VALUE!</v>
      </c>
      <c r="J151" s="40">
        <v>0.60416666666666663</v>
      </c>
      <c r="K151" s="7" t="s">
        <v>30</v>
      </c>
      <c r="L151" s="7" t="s">
        <v>1214</v>
      </c>
      <c r="M151" s="7" t="s">
        <v>14</v>
      </c>
      <c r="N151" s="7" t="s">
        <v>289</v>
      </c>
    </row>
    <row r="152" spans="1:14" ht="13.2">
      <c r="A152" s="7">
        <v>280</v>
      </c>
      <c r="B152" s="7">
        <v>3034</v>
      </c>
      <c r="C152" s="7" t="s">
        <v>1247</v>
      </c>
      <c r="D152" s="7" t="s">
        <v>284</v>
      </c>
      <c r="E152" s="39">
        <v>42868</v>
      </c>
      <c r="F152" s="7" t="s">
        <v>1248</v>
      </c>
      <c r="G152" s="7" t="s">
        <v>1200</v>
      </c>
      <c r="H152" s="7" t="s">
        <v>1497</v>
      </c>
      <c r="I152" s="7" t="e">
        <f t="shared" si="0"/>
        <v>#VALUE!</v>
      </c>
      <c r="J152" s="40">
        <v>0.66666666666666663</v>
      </c>
      <c r="K152" s="7" t="s">
        <v>30</v>
      </c>
      <c r="L152" s="7" t="s">
        <v>1214</v>
      </c>
      <c r="M152" s="7" t="s">
        <v>14</v>
      </c>
      <c r="N152" s="7" t="s">
        <v>289</v>
      </c>
    </row>
    <row r="153" spans="1:14" ht="13.2">
      <c r="A153" s="7">
        <v>301</v>
      </c>
      <c r="B153" s="7">
        <v>23444</v>
      </c>
      <c r="C153" s="7" t="s">
        <v>1250</v>
      </c>
      <c r="D153" s="7" t="s">
        <v>284</v>
      </c>
      <c r="E153" s="39">
        <v>42868</v>
      </c>
      <c r="F153" s="7" t="s">
        <v>1498</v>
      </c>
      <c r="G153" s="7" t="s">
        <v>1200</v>
      </c>
      <c r="H153" s="7" t="s">
        <v>1252</v>
      </c>
      <c r="I153" s="7" t="e">
        <f t="shared" si="0"/>
        <v>#VALUE!</v>
      </c>
      <c r="J153" s="40">
        <v>0.39583333333333331</v>
      </c>
      <c r="K153" s="7" t="s">
        <v>16</v>
      </c>
      <c r="L153" s="7" t="s">
        <v>107</v>
      </c>
      <c r="M153" s="7" t="s">
        <v>14</v>
      </c>
      <c r="N153" s="7" t="s">
        <v>14</v>
      </c>
    </row>
    <row r="154" spans="1:14" ht="13.2">
      <c r="A154" s="7">
        <v>312</v>
      </c>
      <c r="B154" s="7">
        <v>23062</v>
      </c>
      <c r="C154" s="7" t="s">
        <v>1253</v>
      </c>
      <c r="D154" s="7" t="s">
        <v>284</v>
      </c>
      <c r="E154" s="39">
        <v>42868</v>
      </c>
      <c r="F154" s="7" t="s">
        <v>1499</v>
      </c>
      <c r="G154" s="7" t="s">
        <v>1200</v>
      </c>
      <c r="H154" s="7" t="s">
        <v>1255</v>
      </c>
      <c r="I154" s="7" t="e">
        <f t="shared" si="0"/>
        <v>#VALUE!</v>
      </c>
      <c r="J154" s="40">
        <v>0.41666666666666669</v>
      </c>
      <c r="K154" s="7" t="s">
        <v>1500</v>
      </c>
      <c r="L154" s="7" t="s">
        <v>114</v>
      </c>
      <c r="M154" s="7" t="s">
        <v>14</v>
      </c>
      <c r="N154" s="7" t="s">
        <v>14</v>
      </c>
    </row>
    <row r="155" spans="1:14" ht="13.2">
      <c r="A155" s="7">
        <v>331</v>
      </c>
      <c r="B155" s="7">
        <v>14236</v>
      </c>
      <c r="C155" s="7" t="s">
        <v>560</v>
      </c>
      <c r="D155" s="7" t="s">
        <v>284</v>
      </c>
      <c r="E155" s="39">
        <v>42868</v>
      </c>
      <c r="F155" s="7" t="s">
        <v>1501</v>
      </c>
      <c r="G155" s="7" t="s">
        <v>1200</v>
      </c>
      <c r="H155" s="7" t="s">
        <v>1263</v>
      </c>
      <c r="I155" s="7" t="e">
        <f t="shared" si="0"/>
        <v>#VALUE!</v>
      </c>
      <c r="J155" s="40">
        <v>0.55208333333333337</v>
      </c>
      <c r="K155" s="7" t="s">
        <v>16</v>
      </c>
      <c r="L155" s="7" t="s">
        <v>31</v>
      </c>
      <c r="M155" s="7" t="s">
        <v>14</v>
      </c>
      <c r="N155" s="7" t="s">
        <v>14</v>
      </c>
    </row>
    <row r="156" spans="1:14" ht="13.2">
      <c r="A156" s="7">
        <v>339</v>
      </c>
      <c r="B156" s="7">
        <v>14070</v>
      </c>
      <c r="C156" s="7" t="s">
        <v>600</v>
      </c>
      <c r="D156" s="7" t="s">
        <v>284</v>
      </c>
      <c r="E156" s="39">
        <v>42868</v>
      </c>
      <c r="F156" s="7" t="s">
        <v>1502</v>
      </c>
      <c r="G156" s="7" t="s">
        <v>1200</v>
      </c>
      <c r="H156" s="7" t="s">
        <v>1398</v>
      </c>
      <c r="I156" s="7" t="e">
        <f t="shared" si="0"/>
        <v>#VALUE!</v>
      </c>
      <c r="J156" s="40">
        <v>0.53819444444444442</v>
      </c>
      <c r="K156" s="7" t="s">
        <v>1503</v>
      </c>
      <c r="L156" s="7" t="s">
        <v>1214</v>
      </c>
      <c r="M156" s="7" t="s">
        <v>14</v>
      </c>
      <c r="N156" s="7" t="s">
        <v>14</v>
      </c>
    </row>
    <row r="157" spans="1:14" ht="13.2">
      <c r="A157" s="7">
        <v>359</v>
      </c>
      <c r="B157" s="7">
        <v>13676</v>
      </c>
      <c r="C157" s="7" t="s">
        <v>369</v>
      </c>
      <c r="D157" s="7" t="s">
        <v>284</v>
      </c>
      <c r="E157" s="39">
        <v>42868</v>
      </c>
      <c r="F157" s="7" t="s">
        <v>1504</v>
      </c>
      <c r="G157" s="7" t="s">
        <v>1200</v>
      </c>
      <c r="H157" s="7" t="s">
        <v>1271</v>
      </c>
      <c r="I157" s="7" t="e">
        <f t="shared" si="0"/>
        <v>#VALUE!</v>
      </c>
      <c r="J157" s="40">
        <v>0.41666666666666669</v>
      </c>
      <c r="K157" s="7" t="s">
        <v>1505</v>
      </c>
      <c r="L157" s="7" t="s">
        <v>1337</v>
      </c>
      <c r="M157" s="7" t="s">
        <v>14</v>
      </c>
      <c r="N157" s="7" t="s">
        <v>14</v>
      </c>
    </row>
    <row r="158" spans="1:14" ht="13.2">
      <c r="A158" s="7">
        <v>384</v>
      </c>
      <c r="B158" s="7">
        <v>13248</v>
      </c>
      <c r="C158" s="7" t="s">
        <v>1209</v>
      </c>
      <c r="D158" s="7" t="s">
        <v>284</v>
      </c>
      <c r="E158" s="39">
        <v>42868</v>
      </c>
      <c r="F158" s="7" t="s">
        <v>1506</v>
      </c>
      <c r="G158" s="7" t="s">
        <v>1200</v>
      </c>
      <c r="H158" s="7" t="s">
        <v>1402</v>
      </c>
      <c r="I158" s="7" t="e">
        <f t="shared" si="0"/>
        <v>#VALUE!</v>
      </c>
      <c r="J158" s="40">
        <v>0.375</v>
      </c>
      <c r="K158" s="7" t="s">
        <v>253</v>
      </c>
      <c r="L158" s="7" t="s">
        <v>1288</v>
      </c>
      <c r="M158" s="7" t="s">
        <v>14</v>
      </c>
      <c r="N158" s="7" t="s">
        <v>14</v>
      </c>
    </row>
    <row r="159" spans="1:14" ht="13.2">
      <c r="A159" s="7">
        <v>387</v>
      </c>
      <c r="B159" s="7">
        <v>13213</v>
      </c>
      <c r="C159" s="7" t="s">
        <v>1216</v>
      </c>
      <c r="D159" s="7" t="s">
        <v>284</v>
      </c>
      <c r="E159" s="39">
        <v>42868</v>
      </c>
      <c r="F159" s="7" t="s">
        <v>1507</v>
      </c>
      <c r="G159" s="7" t="s">
        <v>1200</v>
      </c>
      <c r="H159" s="7" t="s">
        <v>1404</v>
      </c>
      <c r="I159" s="7" t="e">
        <f t="shared" si="0"/>
        <v>#VALUE!</v>
      </c>
      <c r="J159" s="40">
        <v>0.375</v>
      </c>
      <c r="K159" s="7" t="s">
        <v>141</v>
      </c>
      <c r="L159" s="7" t="s">
        <v>165</v>
      </c>
      <c r="M159" s="7" t="s">
        <v>14</v>
      </c>
      <c r="N159" s="7" t="s">
        <v>14</v>
      </c>
    </row>
    <row r="160" spans="1:14" ht="13.2">
      <c r="A160" s="7">
        <v>388</v>
      </c>
      <c r="B160" s="7">
        <v>13169</v>
      </c>
      <c r="C160" s="7" t="s">
        <v>1266</v>
      </c>
      <c r="D160" s="7" t="s">
        <v>284</v>
      </c>
      <c r="E160" s="39">
        <v>42868</v>
      </c>
      <c r="F160" s="7" t="s">
        <v>1508</v>
      </c>
      <c r="G160" s="7" t="s">
        <v>1200</v>
      </c>
      <c r="H160" s="7" t="s">
        <v>1268</v>
      </c>
      <c r="I160" s="7" t="e">
        <f t="shared" si="0"/>
        <v>#VALUE!</v>
      </c>
      <c r="J160" s="40">
        <v>0.41666666666666669</v>
      </c>
      <c r="K160" s="7" t="s">
        <v>129</v>
      </c>
      <c r="L160" s="7" t="s">
        <v>101</v>
      </c>
      <c r="M160" s="7" t="s">
        <v>14</v>
      </c>
      <c r="N160" s="7" t="s">
        <v>14</v>
      </c>
    </row>
    <row r="161" spans="1:14" ht="13.2">
      <c r="A161" s="7">
        <v>401</v>
      </c>
      <c r="B161" s="7">
        <v>12753</v>
      </c>
      <c r="C161" s="7" t="s">
        <v>1281</v>
      </c>
      <c r="D161" s="7" t="s">
        <v>284</v>
      </c>
      <c r="E161" s="39">
        <v>42868</v>
      </c>
      <c r="F161" s="7" t="s">
        <v>1509</v>
      </c>
      <c r="G161" s="7" t="s">
        <v>1200</v>
      </c>
      <c r="H161" s="7" t="s">
        <v>1283</v>
      </c>
      <c r="I161" s="7" t="e">
        <f t="shared" si="0"/>
        <v>#VALUE!</v>
      </c>
      <c r="J161" s="40">
        <v>0.46875</v>
      </c>
      <c r="K161" s="7" t="s">
        <v>129</v>
      </c>
      <c r="L161" s="7" t="s">
        <v>114</v>
      </c>
      <c r="M161" s="7" t="s">
        <v>14</v>
      </c>
      <c r="N161" s="7" t="s">
        <v>14</v>
      </c>
    </row>
    <row r="162" spans="1:14" ht="13.2">
      <c r="A162" s="7">
        <v>426</v>
      </c>
      <c r="B162" s="7">
        <v>12488</v>
      </c>
      <c r="C162" s="7" t="s">
        <v>1285</v>
      </c>
      <c r="D162" s="7" t="s">
        <v>284</v>
      </c>
      <c r="E162" s="39">
        <v>42868</v>
      </c>
      <c r="F162" s="7" t="s">
        <v>1510</v>
      </c>
      <c r="G162" s="7" t="s">
        <v>1200</v>
      </c>
      <c r="H162" s="7" t="s">
        <v>1287</v>
      </c>
      <c r="I162" s="7" t="e">
        <f t="shared" si="0"/>
        <v>#VALUE!</v>
      </c>
      <c r="J162" s="40">
        <v>0.39583333333333331</v>
      </c>
      <c r="K162" s="7" t="s">
        <v>253</v>
      </c>
      <c r="L162" s="7" t="s">
        <v>1511</v>
      </c>
      <c r="M162" s="7" t="s">
        <v>14</v>
      </c>
      <c r="N162" s="7" t="s">
        <v>14</v>
      </c>
    </row>
    <row r="163" spans="1:14" ht="13.2">
      <c r="A163" s="7">
        <v>427</v>
      </c>
      <c r="B163" s="7">
        <v>12478</v>
      </c>
      <c r="C163" s="7" t="s">
        <v>1289</v>
      </c>
      <c r="D163" s="7" t="s">
        <v>284</v>
      </c>
      <c r="E163" s="39">
        <v>42868</v>
      </c>
      <c r="F163" s="7" t="s">
        <v>1512</v>
      </c>
      <c r="G163" s="7" t="s">
        <v>1200</v>
      </c>
      <c r="H163" s="7" t="s">
        <v>1291</v>
      </c>
      <c r="I163" s="7" t="e">
        <f t="shared" si="0"/>
        <v>#VALUE!</v>
      </c>
      <c r="J163" s="40">
        <v>0.45833333333333331</v>
      </c>
      <c r="K163" s="7" t="s">
        <v>180</v>
      </c>
      <c r="L163" s="7" t="s">
        <v>1214</v>
      </c>
      <c r="M163" s="7" t="s">
        <v>14</v>
      </c>
      <c r="N163" s="7" t="s">
        <v>14</v>
      </c>
    </row>
    <row r="164" spans="1:14" ht="13.2">
      <c r="A164" s="7">
        <v>434</v>
      </c>
      <c r="B164" s="7">
        <v>12244</v>
      </c>
      <c r="C164" s="7" t="s">
        <v>1228</v>
      </c>
      <c r="D164" s="7" t="s">
        <v>284</v>
      </c>
      <c r="E164" s="39">
        <v>42868</v>
      </c>
      <c r="F164" s="7" t="s">
        <v>1513</v>
      </c>
      <c r="G164" s="7" t="s">
        <v>1200</v>
      </c>
      <c r="H164" s="7" t="s">
        <v>1416</v>
      </c>
      <c r="I164" s="7" t="e">
        <f t="shared" si="0"/>
        <v>#VALUE!</v>
      </c>
      <c r="J164" s="40">
        <v>0.375</v>
      </c>
      <c r="K164" s="7" t="s">
        <v>16</v>
      </c>
      <c r="L164" s="7" t="s">
        <v>1514</v>
      </c>
      <c r="M164" s="7" t="s">
        <v>14</v>
      </c>
      <c r="N164" s="7" t="s">
        <v>14</v>
      </c>
    </row>
    <row r="165" spans="1:14" ht="13.2">
      <c r="A165" s="7">
        <v>442</v>
      </c>
      <c r="B165" s="7">
        <v>12110</v>
      </c>
      <c r="C165" s="7" t="s">
        <v>1219</v>
      </c>
      <c r="D165" s="7" t="s">
        <v>284</v>
      </c>
      <c r="E165" s="39">
        <v>42868</v>
      </c>
      <c r="F165" s="7" t="s">
        <v>1515</v>
      </c>
      <c r="G165" s="7" t="s">
        <v>1200</v>
      </c>
      <c r="H165" s="7" t="s">
        <v>1409</v>
      </c>
      <c r="I165" s="7" t="e">
        <f t="shared" si="0"/>
        <v>#VALUE!</v>
      </c>
      <c r="J165" s="40">
        <v>0.42708333333333331</v>
      </c>
      <c r="K165" s="7" t="s">
        <v>188</v>
      </c>
      <c r="L165" s="7" t="s">
        <v>1319</v>
      </c>
      <c r="M165" s="7" t="s">
        <v>14</v>
      </c>
      <c r="N165" s="7" t="s">
        <v>14</v>
      </c>
    </row>
    <row r="166" spans="1:14" ht="13.2">
      <c r="A166" s="7">
        <v>480</v>
      </c>
      <c r="B166" s="7">
        <v>11452</v>
      </c>
      <c r="C166" s="7" t="s">
        <v>1231</v>
      </c>
      <c r="D166" s="7" t="s">
        <v>284</v>
      </c>
      <c r="E166" s="39">
        <v>42868</v>
      </c>
      <c r="F166" s="7" t="s">
        <v>1516</v>
      </c>
      <c r="G166" s="7" t="s">
        <v>1200</v>
      </c>
      <c r="H166" s="7" t="s">
        <v>1335</v>
      </c>
      <c r="I166" s="7" t="e">
        <f t="shared" si="0"/>
        <v>#VALUE!</v>
      </c>
      <c r="J166" s="40">
        <v>0.5625</v>
      </c>
      <c r="K166" s="7" t="s">
        <v>253</v>
      </c>
      <c r="L166" s="7" t="s">
        <v>1517</v>
      </c>
      <c r="M166" s="7" t="s">
        <v>14</v>
      </c>
      <c r="N166" s="7" t="s">
        <v>14</v>
      </c>
    </row>
    <row r="167" spans="1:14" ht="13.2">
      <c r="A167" s="7">
        <v>499</v>
      </c>
      <c r="B167" s="7">
        <v>11238</v>
      </c>
      <c r="C167" s="7" t="s">
        <v>1312</v>
      </c>
      <c r="D167" s="7" t="s">
        <v>284</v>
      </c>
      <c r="E167" s="39">
        <v>42868</v>
      </c>
      <c r="F167" s="7" t="s">
        <v>1518</v>
      </c>
      <c r="G167" s="7" t="s">
        <v>1200</v>
      </c>
      <c r="H167" s="7" t="s">
        <v>1314</v>
      </c>
      <c r="I167" s="7" t="e">
        <f t="shared" si="0"/>
        <v>#VALUE!</v>
      </c>
      <c r="J167" s="40">
        <v>0.5625</v>
      </c>
      <c r="K167" s="7" t="s">
        <v>1503</v>
      </c>
      <c r="L167" s="7" t="s">
        <v>1319</v>
      </c>
      <c r="M167" s="7" t="s">
        <v>14</v>
      </c>
      <c r="N167" s="7" t="s">
        <v>14</v>
      </c>
    </row>
    <row r="168" spans="1:14" ht="13.2">
      <c r="A168" s="7">
        <v>513</v>
      </c>
      <c r="B168" s="7">
        <v>7584</v>
      </c>
      <c r="C168" s="7" t="s">
        <v>1315</v>
      </c>
      <c r="D168" s="7" t="s">
        <v>284</v>
      </c>
      <c r="E168" s="39">
        <v>42868</v>
      </c>
      <c r="F168" s="7" t="s">
        <v>1519</v>
      </c>
      <c r="G168" s="7" t="s">
        <v>1200</v>
      </c>
      <c r="H168" s="7" t="s">
        <v>1317</v>
      </c>
      <c r="I168" s="7" t="e">
        <f t="shared" si="0"/>
        <v>#VALUE!</v>
      </c>
      <c r="J168" s="40">
        <v>0.61458333333333337</v>
      </c>
      <c r="K168" s="7" t="s">
        <v>16</v>
      </c>
      <c r="L168" s="7" t="s">
        <v>31</v>
      </c>
      <c r="M168" s="7" t="s">
        <v>14</v>
      </c>
      <c r="N168" s="7" t="s">
        <v>14</v>
      </c>
    </row>
    <row r="169" spans="1:14" ht="13.2">
      <c r="A169" s="7">
        <v>539</v>
      </c>
      <c r="B169" s="7">
        <v>4124</v>
      </c>
      <c r="C169" s="7" t="s">
        <v>1320</v>
      </c>
      <c r="D169" s="7" t="s">
        <v>284</v>
      </c>
      <c r="E169" s="39">
        <v>42868</v>
      </c>
      <c r="F169" s="7" t="s">
        <v>1520</v>
      </c>
      <c r="G169" s="7" t="s">
        <v>1200</v>
      </c>
      <c r="H169" s="7" t="s">
        <v>1322</v>
      </c>
      <c r="I169" s="7" t="e">
        <f t="shared" si="0"/>
        <v>#VALUE!</v>
      </c>
      <c r="J169" s="40">
        <v>0.59722222222222221</v>
      </c>
      <c r="K169" s="7" t="s">
        <v>174</v>
      </c>
      <c r="L169" s="7" t="s">
        <v>31</v>
      </c>
      <c r="M169" s="7" t="s">
        <v>14</v>
      </c>
      <c r="N169" s="7" t="s">
        <v>14</v>
      </c>
    </row>
    <row r="170" spans="1:14" ht="13.2">
      <c r="A170" s="7">
        <v>185</v>
      </c>
      <c r="B170" s="7">
        <v>13771</v>
      </c>
      <c r="C170" s="7" t="s">
        <v>1323</v>
      </c>
      <c r="D170" s="7" t="s">
        <v>1324</v>
      </c>
      <c r="E170" s="39">
        <v>42872</v>
      </c>
      <c r="F170" s="7" t="s">
        <v>1325</v>
      </c>
      <c r="G170" s="7" t="s">
        <v>1200</v>
      </c>
      <c r="H170" s="7" t="s">
        <v>1521</v>
      </c>
      <c r="I170" s="7" t="e">
        <f t="shared" si="0"/>
        <v>#VALUE!</v>
      </c>
      <c r="J170" s="40">
        <v>0.85416666666666663</v>
      </c>
      <c r="K170" s="7" t="s">
        <v>30</v>
      </c>
      <c r="L170" s="7" t="s">
        <v>1202</v>
      </c>
      <c r="M170" s="7" t="s">
        <v>14</v>
      </c>
      <c r="N170" s="7" t="s">
        <v>584</v>
      </c>
    </row>
    <row r="171" spans="1:14" ht="13.2">
      <c r="A171" s="7">
        <v>174</v>
      </c>
      <c r="B171" s="7">
        <v>14345</v>
      </c>
      <c r="C171" s="7" t="s">
        <v>1198</v>
      </c>
      <c r="D171" s="7" t="s">
        <v>284</v>
      </c>
      <c r="E171" s="39">
        <v>42875</v>
      </c>
      <c r="F171" s="7" t="s">
        <v>1199</v>
      </c>
      <c r="G171" s="7" t="s">
        <v>1200</v>
      </c>
      <c r="H171" s="7" t="s">
        <v>1522</v>
      </c>
      <c r="I171" s="7" t="e">
        <f t="shared" si="0"/>
        <v>#VALUE!</v>
      </c>
      <c r="J171" s="40">
        <v>0.58333333333333337</v>
      </c>
      <c r="K171" s="7" t="s">
        <v>30</v>
      </c>
      <c r="L171" s="7" t="s">
        <v>1202</v>
      </c>
      <c r="M171" s="7" t="s">
        <v>14</v>
      </c>
      <c r="N171" s="7" t="s">
        <v>338</v>
      </c>
    </row>
    <row r="172" spans="1:14" ht="13.2">
      <c r="A172" s="7">
        <v>176</v>
      </c>
      <c r="B172" s="7">
        <v>14337</v>
      </c>
      <c r="C172" s="7" t="s">
        <v>600</v>
      </c>
      <c r="D172" s="7" t="s">
        <v>284</v>
      </c>
      <c r="E172" s="39">
        <v>42875</v>
      </c>
      <c r="F172" s="7" t="s">
        <v>1204</v>
      </c>
      <c r="G172" s="7" t="s">
        <v>1200</v>
      </c>
      <c r="H172" s="7" t="s">
        <v>1523</v>
      </c>
      <c r="I172" s="7" t="e">
        <f t="shared" si="0"/>
        <v>#VALUE!</v>
      </c>
      <c r="J172" s="40">
        <v>0.60416666666666663</v>
      </c>
      <c r="K172" s="7" t="s">
        <v>30</v>
      </c>
      <c r="L172" s="7" t="s">
        <v>1214</v>
      </c>
      <c r="M172" s="7" t="s">
        <v>14</v>
      </c>
      <c r="N172" s="7" t="s">
        <v>298</v>
      </c>
    </row>
    <row r="173" spans="1:14" ht="13.2">
      <c r="A173" s="7">
        <v>180</v>
      </c>
      <c r="B173" s="7">
        <v>13943</v>
      </c>
      <c r="C173" s="7" t="s">
        <v>1206</v>
      </c>
      <c r="D173" s="7" t="s">
        <v>284</v>
      </c>
      <c r="E173" s="39">
        <v>42875</v>
      </c>
      <c r="F173" s="7" t="s">
        <v>1207</v>
      </c>
      <c r="G173" s="7" t="s">
        <v>1200</v>
      </c>
      <c r="H173" s="7" t="s">
        <v>1524</v>
      </c>
      <c r="I173" s="7" t="e">
        <f t="shared" si="0"/>
        <v>#VALUE!</v>
      </c>
      <c r="J173" s="40">
        <v>0.52083333333333337</v>
      </c>
      <c r="K173" s="7" t="s">
        <v>30</v>
      </c>
      <c r="L173" s="7" t="s">
        <v>1202</v>
      </c>
      <c r="M173" s="7" t="s">
        <v>14</v>
      </c>
      <c r="N173" s="7" t="s">
        <v>328</v>
      </c>
    </row>
    <row r="174" spans="1:14" ht="13.2">
      <c r="A174" s="7">
        <v>188</v>
      </c>
      <c r="B174" s="7">
        <v>13620</v>
      </c>
      <c r="C174" s="7" t="s">
        <v>1209</v>
      </c>
      <c r="D174" s="7" t="s">
        <v>284</v>
      </c>
      <c r="E174" s="39">
        <v>42875</v>
      </c>
      <c r="F174" s="7" t="s">
        <v>1210</v>
      </c>
      <c r="G174" s="7" t="s">
        <v>1200</v>
      </c>
      <c r="H174" s="7" t="s">
        <v>1525</v>
      </c>
      <c r="I174" s="7" t="e">
        <f t="shared" si="0"/>
        <v>#VALUE!</v>
      </c>
      <c r="J174" s="40">
        <v>0.39583333333333331</v>
      </c>
      <c r="K174" s="7" t="s">
        <v>30</v>
      </c>
      <c r="L174" s="7" t="s">
        <v>1214</v>
      </c>
      <c r="M174" s="7" t="s">
        <v>14</v>
      </c>
      <c r="N174" s="7" t="s">
        <v>1363</v>
      </c>
    </row>
    <row r="175" spans="1:14" ht="13.2">
      <c r="A175" s="7">
        <v>195</v>
      </c>
      <c r="B175" s="7">
        <v>13556</v>
      </c>
      <c r="C175" s="7" t="s">
        <v>831</v>
      </c>
      <c r="D175" s="7" t="s">
        <v>284</v>
      </c>
      <c r="E175" s="39">
        <v>42875</v>
      </c>
      <c r="F175" s="7" t="s">
        <v>1212</v>
      </c>
      <c r="G175" s="7" t="s">
        <v>1200</v>
      </c>
      <c r="H175" s="7" t="s">
        <v>1526</v>
      </c>
      <c r="I175" s="7" t="e">
        <f t="shared" si="0"/>
        <v>#VALUE!</v>
      </c>
      <c r="J175" s="40">
        <v>0.39583333333333331</v>
      </c>
      <c r="K175" s="7" t="s">
        <v>30</v>
      </c>
      <c r="L175" s="7" t="s">
        <v>1214</v>
      </c>
      <c r="M175" s="7" t="s">
        <v>14</v>
      </c>
      <c r="N175" s="7" t="s">
        <v>399</v>
      </c>
    </row>
    <row r="176" spans="1:14" ht="13.2">
      <c r="A176" s="7">
        <v>201</v>
      </c>
      <c r="B176" s="7">
        <v>13157</v>
      </c>
      <c r="C176" s="7" t="s">
        <v>1216</v>
      </c>
      <c r="D176" s="7" t="s">
        <v>284</v>
      </c>
      <c r="E176" s="39">
        <v>42875</v>
      </c>
      <c r="F176" s="7" t="s">
        <v>1217</v>
      </c>
      <c r="G176" s="7" t="s">
        <v>1200</v>
      </c>
      <c r="H176" s="7" t="s">
        <v>1527</v>
      </c>
      <c r="I176" s="7" t="e">
        <f t="shared" si="0"/>
        <v>#VALUE!</v>
      </c>
      <c r="J176" s="40">
        <v>0.4375</v>
      </c>
      <c r="K176" s="7" t="s">
        <v>30</v>
      </c>
      <c r="L176" s="7" t="s">
        <v>1214</v>
      </c>
      <c r="M176" s="7" t="s">
        <v>14</v>
      </c>
      <c r="N176" s="7" t="s">
        <v>788</v>
      </c>
    </row>
    <row r="177" spans="1:14" ht="13.2">
      <c r="A177" s="7">
        <v>215</v>
      </c>
      <c r="B177" s="7">
        <v>12636</v>
      </c>
      <c r="C177" s="7" t="s">
        <v>1219</v>
      </c>
      <c r="D177" s="7" t="s">
        <v>284</v>
      </c>
      <c r="E177" s="39">
        <v>42875</v>
      </c>
      <c r="F177" s="7" t="s">
        <v>1220</v>
      </c>
      <c r="G177" s="7" t="s">
        <v>1200</v>
      </c>
      <c r="H177" s="7" t="s">
        <v>1528</v>
      </c>
      <c r="I177" s="7" t="e">
        <f t="shared" si="0"/>
        <v>#VALUE!</v>
      </c>
      <c r="J177" s="40">
        <v>0.4375</v>
      </c>
      <c r="K177" s="7" t="s">
        <v>30</v>
      </c>
      <c r="L177" s="7" t="s">
        <v>114</v>
      </c>
      <c r="M177" s="7" t="s">
        <v>14</v>
      </c>
      <c r="N177" s="7" t="s">
        <v>567</v>
      </c>
    </row>
    <row r="178" spans="1:14" ht="13.2">
      <c r="A178" s="7">
        <v>220</v>
      </c>
      <c r="B178" s="7">
        <v>12619</v>
      </c>
      <c r="C178" s="7" t="s">
        <v>1222</v>
      </c>
      <c r="D178" s="7" t="s">
        <v>284</v>
      </c>
      <c r="E178" s="39">
        <v>42875</v>
      </c>
      <c r="F178" s="7" t="s">
        <v>1223</v>
      </c>
      <c r="G178" s="7" t="s">
        <v>1200</v>
      </c>
      <c r="H178" s="7" t="s">
        <v>1529</v>
      </c>
      <c r="I178" s="7" t="e">
        <f t="shared" si="0"/>
        <v>#VALUE!</v>
      </c>
      <c r="J178" s="40">
        <v>0.39583333333333331</v>
      </c>
      <c r="K178" s="7" t="s">
        <v>30</v>
      </c>
      <c r="L178" s="7" t="s">
        <v>114</v>
      </c>
      <c r="M178" s="7" t="s">
        <v>14</v>
      </c>
      <c r="N178" s="7" t="s">
        <v>558</v>
      </c>
    </row>
    <row r="179" spans="1:14" ht="13.2">
      <c r="A179" s="7">
        <v>234</v>
      </c>
      <c r="B179" s="7">
        <v>12050</v>
      </c>
      <c r="C179" s="7" t="s">
        <v>718</v>
      </c>
      <c r="D179" s="7" t="s">
        <v>284</v>
      </c>
      <c r="E179" s="39">
        <v>42875</v>
      </c>
      <c r="F179" s="7" t="s">
        <v>1225</v>
      </c>
      <c r="G179" s="7" t="s">
        <v>1200</v>
      </c>
      <c r="H179" s="7" t="s">
        <v>1530</v>
      </c>
      <c r="I179" s="7" t="e">
        <f t="shared" si="0"/>
        <v>#VALUE!</v>
      </c>
      <c r="J179" s="40">
        <v>0.4375</v>
      </c>
      <c r="K179" s="7" t="s">
        <v>30</v>
      </c>
      <c r="L179" s="7" t="s">
        <v>1214</v>
      </c>
      <c r="M179" s="7" t="s">
        <v>14</v>
      </c>
      <c r="N179" s="7" t="s">
        <v>1432</v>
      </c>
    </row>
    <row r="180" spans="1:14" ht="13.2">
      <c r="A180" s="7">
        <v>238</v>
      </c>
      <c r="B180" s="7">
        <v>12046</v>
      </c>
      <c r="C180" s="7" t="s">
        <v>1228</v>
      </c>
      <c r="D180" s="7" t="s">
        <v>284</v>
      </c>
      <c r="E180" s="39">
        <v>42875</v>
      </c>
      <c r="F180" s="7" t="s">
        <v>1229</v>
      </c>
      <c r="G180" s="7" t="s">
        <v>1200</v>
      </c>
      <c r="H180" s="7" t="s">
        <v>1531</v>
      </c>
      <c r="I180" s="7" t="e">
        <f t="shared" si="0"/>
        <v>#VALUE!</v>
      </c>
      <c r="J180" s="40">
        <v>0.39583333333333331</v>
      </c>
      <c r="K180" s="7" t="s">
        <v>30</v>
      </c>
      <c r="L180" s="7" t="s">
        <v>114</v>
      </c>
      <c r="M180" s="7" t="s">
        <v>14</v>
      </c>
      <c r="N180" s="7" t="s">
        <v>423</v>
      </c>
    </row>
    <row r="181" spans="1:14" ht="13.2">
      <c r="A181" s="7">
        <v>245</v>
      </c>
      <c r="B181" s="7">
        <v>11346</v>
      </c>
      <c r="C181" s="7" t="s">
        <v>1231</v>
      </c>
      <c r="D181" s="7" t="s">
        <v>284</v>
      </c>
      <c r="E181" s="39">
        <v>42875</v>
      </c>
      <c r="F181" s="7" t="s">
        <v>1232</v>
      </c>
      <c r="G181" s="7" t="s">
        <v>1200</v>
      </c>
      <c r="H181" s="7" t="s">
        <v>1532</v>
      </c>
      <c r="I181" s="7" t="e">
        <f t="shared" si="0"/>
        <v>#VALUE!</v>
      </c>
      <c r="J181" s="40">
        <v>0.41666666666666669</v>
      </c>
      <c r="K181" s="7" t="s">
        <v>30</v>
      </c>
      <c r="L181" s="7" t="s">
        <v>1329</v>
      </c>
      <c r="M181" s="7" t="s">
        <v>14</v>
      </c>
      <c r="N181" s="7" t="s">
        <v>425</v>
      </c>
    </row>
    <row r="182" spans="1:14" ht="13.2">
      <c r="A182" s="7">
        <v>249</v>
      </c>
      <c r="B182" s="7">
        <v>11342</v>
      </c>
      <c r="C182" s="7" t="s">
        <v>463</v>
      </c>
      <c r="D182" s="7" t="s">
        <v>284</v>
      </c>
      <c r="E182" s="39">
        <v>42875</v>
      </c>
      <c r="F182" s="7" t="s">
        <v>1235</v>
      </c>
      <c r="G182" s="7" t="s">
        <v>1200</v>
      </c>
      <c r="H182" s="7" t="s">
        <v>1533</v>
      </c>
      <c r="I182" s="7" t="e">
        <f t="shared" si="0"/>
        <v>#VALUE!</v>
      </c>
      <c r="J182" s="40">
        <v>0.48958333333333331</v>
      </c>
      <c r="K182" s="7" t="s">
        <v>30</v>
      </c>
      <c r="L182" s="7" t="s">
        <v>114</v>
      </c>
      <c r="M182" s="7" t="s">
        <v>14</v>
      </c>
      <c r="N182" s="7" t="s">
        <v>456</v>
      </c>
    </row>
    <row r="183" spans="1:14" ht="13.2">
      <c r="A183" s="7">
        <v>262</v>
      </c>
      <c r="B183" s="7">
        <v>11068</v>
      </c>
      <c r="C183" s="7" t="s">
        <v>1237</v>
      </c>
      <c r="D183" s="7" t="s">
        <v>284</v>
      </c>
      <c r="E183" s="39">
        <v>42875</v>
      </c>
      <c r="F183" s="7" t="s">
        <v>1238</v>
      </c>
      <c r="G183" s="7" t="s">
        <v>1200</v>
      </c>
      <c r="H183" s="7" t="s">
        <v>1534</v>
      </c>
      <c r="I183" s="7" t="e">
        <f t="shared" si="0"/>
        <v>#VALUE!</v>
      </c>
      <c r="J183" s="40">
        <v>0.54166666666666663</v>
      </c>
      <c r="K183" s="7" t="s">
        <v>30</v>
      </c>
      <c r="L183" s="7" t="s">
        <v>1214</v>
      </c>
      <c r="M183" s="7" t="s">
        <v>14</v>
      </c>
      <c r="N183" s="7" t="s">
        <v>301</v>
      </c>
    </row>
    <row r="184" spans="1:14" ht="13.2">
      <c r="A184" s="7">
        <v>277</v>
      </c>
      <c r="B184" s="7">
        <v>4239</v>
      </c>
      <c r="C184" s="7" t="s">
        <v>1320</v>
      </c>
      <c r="D184" s="7" t="s">
        <v>284</v>
      </c>
      <c r="E184" s="39">
        <v>42875</v>
      </c>
      <c r="F184" s="7" t="s">
        <v>1332</v>
      </c>
      <c r="G184" s="7" t="s">
        <v>1200</v>
      </c>
      <c r="H184" s="7" t="s">
        <v>1535</v>
      </c>
      <c r="I184" s="7" t="e">
        <f t="shared" si="0"/>
        <v>#VALUE!</v>
      </c>
      <c r="J184" s="40">
        <v>0.66666666666666663</v>
      </c>
      <c r="K184" s="7" t="s">
        <v>30</v>
      </c>
      <c r="L184" s="7" t="s">
        <v>1214</v>
      </c>
      <c r="M184" s="7" t="s">
        <v>14</v>
      </c>
      <c r="N184" s="7" t="s">
        <v>289</v>
      </c>
    </row>
    <row r="185" spans="1:14" ht="13.2">
      <c r="A185" s="7">
        <v>306</v>
      </c>
      <c r="B185" s="7">
        <v>23320</v>
      </c>
      <c r="C185" s="7" t="s">
        <v>1250</v>
      </c>
      <c r="D185" s="7" t="s">
        <v>284</v>
      </c>
      <c r="E185" s="39">
        <v>42875</v>
      </c>
      <c r="F185" s="7" t="s">
        <v>1536</v>
      </c>
      <c r="G185" s="7" t="s">
        <v>1200</v>
      </c>
      <c r="H185" s="7" t="s">
        <v>1252</v>
      </c>
      <c r="I185" s="7" t="e">
        <f t="shared" si="0"/>
        <v>#VALUE!</v>
      </c>
      <c r="J185" s="40">
        <v>0.54166666666666663</v>
      </c>
      <c r="K185" s="7" t="s">
        <v>1537</v>
      </c>
      <c r="L185" s="7" t="s">
        <v>1538</v>
      </c>
      <c r="M185" s="7" t="s">
        <v>14</v>
      </c>
      <c r="N185" s="7" t="s">
        <v>14</v>
      </c>
    </row>
    <row r="186" spans="1:14" ht="13.2">
      <c r="A186" s="7">
        <v>308</v>
      </c>
      <c r="B186" s="7">
        <v>23117</v>
      </c>
      <c r="C186" s="7" t="s">
        <v>1253</v>
      </c>
      <c r="D186" s="7" t="s">
        <v>284</v>
      </c>
      <c r="E186" s="39">
        <v>42875</v>
      </c>
      <c r="F186" s="7" t="s">
        <v>1539</v>
      </c>
      <c r="G186" s="7" t="s">
        <v>1200</v>
      </c>
      <c r="H186" s="7" t="s">
        <v>1255</v>
      </c>
      <c r="I186" s="7" t="e">
        <f t="shared" si="0"/>
        <v>#VALUE!</v>
      </c>
      <c r="J186" s="40">
        <v>0.41666666666666669</v>
      </c>
      <c r="K186" s="7" t="s">
        <v>1540</v>
      </c>
      <c r="L186" s="7" t="s">
        <v>31</v>
      </c>
      <c r="M186" s="7" t="s">
        <v>14</v>
      </c>
      <c r="N186" s="7" t="s">
        <v>14</v>
      </c>
    </row>
    <row r="187" spans="1:14" ht="13.2">
      <c r="A187" s="7">
        <v>317</v>
      </c>
      <c r="B187" s="7">
        <v>22943</v>
      </c>
      <c r="C187" s="7" t="s">
        <v>1256</v>
      </c>
      <c r="D187" s="7" t="s">
        <v>284</v>
      </c>
      <c r="E187" s="39">
        <v>42875</v>
      </c>
      <c r="F187" s="7" t="s">
        <v>1541</v>
      </c>
      <c r="G187" s="7" t="s">
        <v>1200</v>
      </c>
      <c r="H187" s="7" t="s">
        <v>1258</v>
      </c>
      <c r="I187" s="7" t="e">
        <f t="shared" si="0"/>
        <v>#VALUE!</v>
      </c>
      <c r="J187" s="40">
        <v>0.41666666666666669</v>
      </c>
      <c r="K187" s="7" t="s">
        <v>41</v>
      </c>
      <c r="L187" s="7" t="s">
        <v>114</v>
      </c>
      <c r="M187" s="7" t="s">
        <v>14</v>
      </c>
      <c r="N187" s="7" t="s">
        <v>14</v>
      </c>
    </row>
    <row r="188" spans="1:14" ht="13.2">
      <c r="A188" s="7">
        <v>330</v>
      </c>
      <c r="B188" s="7">
        <v>14290</v>
      </c>
      <c r="C188" s="7" t="s">
        <v>560</v>
      </c>
      <c r="D188" s="7" t="s">
        <v>284</v>
      </c>
      <c r="E188" s="39">
        <v>42875</v>
      </c>
      <c r="F188" s="7" t="s">
        <v>1542</v>
      </c>
      <c r="G188" s="7" t="s">
        <v>1200</v>
      </c>
      <c r="H188" s="7" t="s">
        <v>1263</v>
      </c>
      <c r="I188" s="7" t="e">
        <f t="shared" si="0"/>
        <v>#VALUE!</v>
      </c>
      <c r="J188" s="40">
        <v>0.45833333333333331</v>
      </c>
      <c r="K188" s="7" t="s">
        <v>203</v>
      </c>
      <c r="L188" s="7" t="s">
        <v>114</v>
      </c>
      <c r="M188" s="7" t="s">
        <v>14</v>
      </c>
      <c r="N188" s="7" t="s">
        <v>14</v>
      </c>
    </row>
    <row r="189" spans="1:14" ht="13.2">
      <c r="A189" s="7">
        <v>341</v>
      </c>
      <c r="B189" s="7">
        <v>13992</v>
      </c>
      <c r="C189" s="7" t="s">
        <v>1259</v>
      </c>
      <c r="D189" s="7" t="s">
        <v>284</v>
      </c>
      <c r="E189" s="39">
        <v>42875</v>
      </c>
      <c r="F189" s="7" t="s">
        <v>1543</v>
      </c>
      <c r="G189" s="7" t="s">
        <v>1200</v>
      </c>
      <c r="H189" s="7" t="s">
        <v>1261</v>
      </c>
      <c r="I189" s="7" t="e">
        <f t="shared" si="0"/>
        <v>#VALUE!</v>
      </c>
      <c r="J189" s="40">
        <v>0.52083333333333337</v>
      </c>
      <c r="K189" s="7" t="s">
        <v>1544</v>
      </c>
      <c r="L189" s="7" t="s">
        <v>1337</v>
      </c>
      <c r="M189" s="7" t="s">
        <v>14</v>
      </c>
      <c r="N189" s="7" t="s">
        <v>14</v>
      </c>
    </row>
    <row r="190" spans="1:14" ht="13.2">
      <c r="A190" s="7">
        <v>374</v>
      </c>
      <c r="B190" s="7">
        <v>13453</v>
      </c>
      <c r="C190" s="7" t="s">
        <v>369</v>
      </c>
      <c r="D190" s="7" t="s">
        <v>284</v>
      </c>
      <c r="E190" s="39">
        <v>42875</v>
      </c>
      <c r="F190" s="7" t="s">
        <v>1545</v>
      </c>
      <c r="G190" s="7" t="s">
        <v>1200</v>
      </c>
      <c r="H190" s="7" t="s">
        <v>1271</v>
      </c>
      <c r="I190" s="7" t="e">
        <f t="shared" si="0"/>
        <v>#VALUE!</v>
      </c>
      <c r="J190" s="40">
        <v>0.375</v>
      </c>
      <c r="K190" s="7" t="s">
        <v>41</v>
      </c>
      <c r="L190" s="7" t="s">
        <v>1295</v>
      </c>
      <c r="M190" s="7" t="s">
        <v>14</v>
      </c>
      <c r="N190" s="7" t="s">
        <v>14</v>
      </c>
    </row>
    <row r="191" spans="1:14" ht="13.2">
      <c r="A191" s="7">
        <v>376</v>
      </c>
      <c r="B191" s="7">
        <v>13402</v>
      </c>
      <c r="C191" s="7" t="s">
        <v>1273</v>
      </c>
      <c r="D191" s="7" t="s">
        <v>284</v>
      </c>
      <c r="E191" s="39">
        <v>42875</v>
      </c>
      <c r="F191" s="7" t="s">
        <v>1546</v>
      </c>
      <c r="G191" s="7" t="s">
        <v>1200</v>
      </c>
      <c r="H191" s="7" t="s">
        <v>1275</v>
      </c>
      <c r="I191" s="7" t="e">
        <f t="shared" si="0"/>
        <v>#VALUE!</v>
      </c>
      <c r="J191" s="40">
        <v>0.40625</v>
      </c>
      <c r="K191" s="7" t="s">
        <v>174</v>
      </c>
      <c r="L191" s="7" t="s">
        <v>1319</v>
      </c>
      <c r="M191" s="7" t="s">
        <v>14</v>
      </c>
      <c r="N191" s="7" t="s">
        <v>14</v>
      </c>
    </row>
    <row r="192" spans="1:14" ht="13.2">
      <c r="A192" s="7">
        <v>380</v>
      </c>
      <c r="B192" s="7">
        <v>13337</v>
      </c>
      <c r="C192" s="7" t="s">
        <v>1266</v>
      </c>
      <c r="D192" s="7" t="s">
        <v>284</v>
      </c>
      <c r="E192" s="39">
        <v>42875</v>
      </c>
      <c r="F192" s="7" t="s">
        <v>1547</v>
      </c>
      <c r="G192" s="7" t="s">
        <v>1200</v>
      </c>
      <c r="H192" s="7" t="s">
        <v>1268</v>
      </c>
      <c r="I192" s="7" t="e">
        <f t="shared" si="0"/>
        <v>#VALUE!</v>
      </c>
      <c r="J192" s="40">
        <v>0.41666666666666669</v>
      </c>
      <c r="K192" s="7" t="s">
        <v>1548</v>
      </c>
      <c r="L192" s="7" t="s">
        <v>1337</v>
      </c>
      <c r="M192" s="7" t="s">
        <v>14</v>
      </c>
      <c r="N192" s="7" t="s">
        <v>14</v>
      </c>
    </row>
    <row r="193" spans="1:14" ht="13.2">
      <c r="A193" s="7">
        <v>397</v>
      </c>
      <c r="B193" s="7">
        <v>13009</v>
      </c>
      <c r="C193" s="7" t="s">
        <v>935</v>
      </c>
      <c r="D193" s="7" t="s">
        <v>284</v>
      </c>
      <c r="E193" s="39">
        <v>42875</v>
      </c>
      <c r="F193" s="7" t="s">
        <v>1549</v>
      </c>
      <c r="G193" s="7" t="s">
        <v>1200</v>
      </c>
      <c r="H193" s="7" t="s">
        <v>1277</v>
      </c>
      <c r="I193" s="7" t="e">
        <f t="shared" si="0"/>
        <v>#VALUE!</v>
      </c>
      <c r="J193" s="40">
        <v>0.41666666666666669</v>
      </c>
      <c r="K193" s="7" t="s">
        <v>30</v>
      </c>
      <c r="L193" s="7" t="s">
        <v>101</v>
      </c>
      <c r="M193" s="7" t="s">
        <v>14</v>
      </c>
      <c r="N193" s="7" t="s">
        <v>14</v>
      </c>
    </row>
    <row r="194" spans="1:14" ht="13.2">
      <c r="A194" s="7">
        <v>399</v>
      </c>
      <c r="B194" s="7">
        <v>12850</v>
      </c>
      <c r="C194" s="7" t="s">
        <v>1278</v>
      </c>
      <c r="D194" s="7" t="s">
        <v>284</v>
      </c>
      <c r="E194" s="39">
        <v>42875</v>
      </c>
      <c r="F194" s="7" t="s">
        <v>1550</v>
      </c>
      <c r="G194" s="7" t="s">
        <v>1200</v>
      </c>
      <c r="H194" s="7" t="s">
        <v>1280</v>
      </c>
      <c r="I194" s="7" t="e">
        <f t="shared" si="0"/>
        <v>#VALUE!</v>
      </c>
      <c r="J194" s="40">
        <v>0.58333333333333337</v>
      </c>
      <c r="K194" s="7" t="s">
        <v>41</v>
      </c>
      <c r="L194" s="7" t="s">
        <v>1295</v>
      </c>
      <c r="M194" s="7" t="s">
        <v>14</v>
      </c>
      <c r="N194" s="7" t="s">
        <v>14</v>
      </c>
    </row>
    <row r="195" spans="1:14" ht="13.2">
      <c r="A195" s="7">
        <v>412</v>
      </c>
      <c r="B195" s="7">
        <v>12677</v>
      </c>
      <c r="C195" s="7" t="s">
        <v>1281</v>
      </c>
      <c r="D195" s="7" t="s">
        <v>284</v>
      </c>
      <c r="E195" s="39">
        <v>42875</v>
      </c>
      <c r="F195" s="7" t="s">
        <v>1551</v>
      </c>
      <c r="G195" s="7" t="s">
        <v>1200</v>
      </c>
      <c r="H195" s="7" t="s">
        <v>1283</v>
      </c>
      <c r="I195" s="7" t="e">
        <f t="shared" si="0"/>
        <v>#VALUE!</v>
      </c>
      <c r="J195" s="40">
        <v>0.51041666666666663</v>
      </c>
      <c r="K195" s="7" t="s">
        <v>1552</v>
      </c>
      <c r="L195" s="7" t="s">
        <v>165</v>
      </c>
      <c r="M195" s="7" t="s">
        <v>14</v>
      </c>
      <c r="N195" s="7" t="s">
        <v>14</v>
      </c>
    </row>
    <row r="196" spans="1:14" ht="13.2">
      <c r="A196" s="7">
        <v>432</v>
      </c>
      <c r="B196" s="7">
        <v>12260</v>
      </c>
      <c r="C196" s="7" t="s">
        <v>1285</v>
      </c>
      <c r="D196" s="7" t="s">
        <v>284</v>
      </c>
      <c r="E196" s="39">
        <v>42875</v>
      </c>
      <c r="F196" s="7" t="s">
        <v>1553</v>
      </c>
      <c r="G196" s="7" t="s">
        <v>1200</v>
      </c>
      <c r="H196" s="7" t="s">
        <v>1287</v>
      </c>
      <c r="I196" s="7" t="e">
        <f t="shared" si="0"/>
        <v>#VALUE!</v>
      </c>
      <c r="J196" s="40">
        <v>0.45833333333333331</v>
      </c>
      <c r="K196" s="7" t="s">
        <v>16</v>
      </c>
      <c r="L196" s="7" t="s">
        <v>1410</v>
      </c>
      <c r="M196" s="7" t="s">
        <v>14</v>
      </c>
      <c r="N196" s="7" t="s">
        <v>14</v>
      </c>
    </row>
    <row r="197" spans="1:14" ht="13.2">
      <c r="A197" s="7">
        <v>433</v>
      </c>
      <c r="B197" s="7">
        <v>12250</v>
      </c>
      <c r="C197" s="7" t="s">
        <v>1296</v>
      </c>
      <c r="D197" s="7" t="s">
        <v>284</v>
      </c>
      <c r="E197" s="39">
        <v>42875</v>
      </c>
      <c r="F197" s="7" t="s">
        <v>1554</v>
      </c>
      <c r="G197" s="7" t="s">
        <v>1200</v>
      </c>
      <c r="H197" s="7" t="s">
        <v>1298</v>
      </c>
      <c r="I197" s="7" t="e">
        <f t="shared" si="0"/>
        <v>#VALUE!</v>
      </c>
      <c r="J197" s="40">
        <v>0.375</v>
      </c>
      <c r="K197" s="7" t="s">
        <v>16</v>
      </c>
      <c r="L197" s="7" t="s">
        <v>1410</v>
      </c>
      <c r="M197" s="7" t="s">
        <v>14</v>
      </c>
      <c r="N197" s="7" t="s">
        <v>14</v>
      </c>
    </row>
    <row r="198" spans="1:14" ht="13.2">
      <c r="A198" s="7">
        <v>439</v>
      </c>
      <c r="B198" s="7">
        <v>12121</v>
      </c>
      <c r="C198" s="7" t="s">
        <v>1292</v>
      </c>
      <c r="D198" s="7" t="s">
        <v>284</v>
      </c>
      <c r="E198" s="39">
        <v>42875</v>
      </c>
      <c r="F198" s="7" t="s">
        <v>1555</v>
      </c>
      <c r="G198" s="7" t="s">
        <v>1200</v>
      </c>
      <c r="H198" s="7" t="s">
        <v>1294</v>
      </c>
      <c r="I198" s="7" t="e">
        <f t="shared" si="0"/>
        <v>#VALUE!</v>
      </c>
      <c r="J198" s="40">
        <v>0.375</v>
      </c>
      <c r="K198" s="7" t="s">
        <v>21</v>
      </c>
      <c r="L198" s="7" t="s">
        <v>1214</v>
      </c>
      <c r="M198" s="7" t="s">
        <v>14</v>
      </c>
      <c r="N198" s="7" t="s">
        <v>14</v>
      </c>
    </row>
    <row r="199" spans="1:14" ht="13.2">
      <c r="A199" s="7">
        <v>440</v>
      </c>
      <c r="B199" s="7">
        <v>12118</v>
      </c>
      <c r="C199" s="7" t="s">
        <v>1289</v>
      </c>
      <c r="D199" s="7" t="s">
        <v>284</v>
      </c>
      <c r="E199" s="39">
        <v>42875</v>
      </c>
      <c r="F199" s="7" t="s">
        <v>1556</v>
      </c>
      <c r="G199" s="7" t="s">
        <v>1200</v>
      </c>
      <c r="H199" s="7" t="s">
        <v>1291</v>
      </c>
      <c r="I199" s="7" t="e">
        <f t="shared" si="0"/>
        <v>#VALUE!</v>
      </c>
      <c r="J199" s="40">
        <v>0.41666666666666669</v>
      </c>
      <c r="K199" s="7" t="s">
        <v>21</v>
      </c>
      <c r="L199" s="7" t="s">
        <v>1214</v>
      </c>
      <c r="M199" s="7" t="s">
        <v>14</v>
      </c>
      <c r="N199" s="7" t="s">
        <v>14</v>
      </c>
    </row>
    <row r="200" spans="1:14" ht="13.2">
      <c r="A200" s="7">
        <v>461</v>
      </c>
      <c r="B200" s="7">
        <v>11917</v>
      </c>
      <c r="C200" s="7" t="s">
        <v>1303</v>
      </c>
      <c r="D200" s="7" t="s">
        <v>284</v>
      </c>
      <c r="E200" s="39">
        <v>42875</v>
      </c>
      <c r="F200" s="7" t="s">
        <v>1557</v>
      </c>
      <c r="G200" s="7" t="s">
        <v>1200</v>
      </c>
      <c r="H200" s="7" t="s">
        <v>1305</v>
      </c>
      <c r="I200" s="7" t="e">
        <f t="shared" si="0"/>
        <v>#VALUE!</v>
      </c>
      <c r="J200" s="40">
        <v>0.45833333333333331</v>
      </c>
      <c r="K200" s="7" t="s">
        <v>230</v>
      </c>
      <c r="L200" s="7" t="s">
        <v>165</v>
      </c>
      <c r="M200" s="7" t="s">
        <v>14</v>
      </c>
      <c r="N200" s="7" t="s">
        <v>14</v>
      </c>
    </row>
    <row r="201" spans="1:14" ht="13.2">
      <c r="A201" s="7">
        <v>462</v>
      </c>
      <c r="B201" s="7">
        <v>11863</v>
      </c>
      <c r="C201" s="7" t="s">
        <v>1300</v>
      </c>
      <c r="D201" s="7" t="s">
        <v>284</v>
      </c>
      <c r="E201" s="39">
        <v>42875</v>
      </c>
      <c r="F201" s="7" t="s">
        <v>1558</v>
      </c>
      <c r="G201" s="7" t="s">
        <v>1200</v>
      </c>
      <c r="H201" s="7" t="s">
        <v>1302</v>
      </c>
      <c r="I201" s="7" t="e">
        <f t="shared" si="0"/>
        <v>#VALUE!</v>
      </c>
      <c r="J201" s="40">
        <v>0.53125</v>
      </c>
      <c r="K201" s="7" t="s">
        <v>37</v>
      </c>
      <c r="L201" s="7" t="s">
        <v>59</v>
      </c>
      <c r="M201" s="7" t="s">
        <v>14</v>
      </c>
      <c r="N201" s="7" t="s">
        <v>14</v>
      </c>
    </row>
    <row r="202" spans="1:14" ht="13.2">
      <c r="A202" s="7">
        <v>476</v>
      </c>
      <c r="B202" s="7">
        <v>11491</v>
      </c>
      <c r="C202" s="7" t="s">
        <v>1306</v>
      </c>
      <c r="D202" s="7" t="s">
        <v>284</v>
      </c>
      <c r="E202" s="39">
        <v>42875</v>
      </c>
      <c r="F202" s="7" t="s">
        <v>1559</v>
      </c>
      <c r="G202" s="7" t="s">
        <v>1200</v>
      </c>
      <c r="H202" s="7" t="s">
        <v>1308</v>
      </c>
      <c r="I202" s="7" t="e">
        <f t="shared" si="0"/>
        <v>#VALUE!</v>
      </c>
      <c r="J202" s="40">
        <v>0.39583333333333331</v>
      </c>
      <c r="K202" s="7" t="s">
        <v>89</v>
      </c>
      <c r="L202" s="7" t="s">
        <v>114</v>
      </c>
      <c r="M202" s="7" t="s">
        <v>14</v>
      </c>
      <c r="N202" s="7" t="s">
        <v>14</v>
      </c>
    </row>
    <row r="203" spans="1:14" ht="13.2">
      <c r="A203" s="7">
        <v>484</v>
      </c>
      <c r="B203" s="7">
        <v>11362</v>
      </c>
      <c r="C203" s="7" t="s">
        <v>1309</v>
      </c>
      <c r="D203" s="7" t="s">
        <v>284</v>
      </c>
      <c r="E203" s="39">
        <v>42875</v>
      </c>
      <c r="F203" s="7" t="s">
        <v>1560</v>
      </c>
      <c r="G203" s="7" t="s">
        <v>1200</v>
      </c>
      <c r="H203" s="7" t="s">
        <v>1311</v>
      </c>
      <c r="I203" s="7" t="e">
        <f t="shared" si="0"/>
        <v>#VALUE!</v>
      </c>
      <c r="J203" s="40">
        <v>0.48958333333333331</v>
      </c>
      <c r="K203" s="7" t="s">
        <v>188</v>
      </c>
      <c r="L203" s="7" t="s">
        <v>101</v>
      </c>
      <c r="M203" s="7" t="s">
        <v>14</v>
      </c>
      <c r="N203" s="7" t="s">
        <v>14</v>
      </c>
    </row>
    <row r="204" spans="1:14" ht="13.2">
      <c r="A204" s="7">
        <v>498</v>
      </c>
      <c r="B204" s="7">
        <v>11244</v>
      </c>
      <c r="C204" s="7" t="s">
        <v>1312</v>
      </c>
      <c r="D204" s="7" t="s">
        <v>284</v>
      </c>
      <c r="E204" s="39">
        <v>42875</v>
      </c>
      <c r="F204" s="7" t="s">
        <v>1561</v>
      </c>
      <c r="G204" s="7" t="s">
        <v>1200</v>
      </c>
      <c r="H204" s="7" t="s">
        <v>1314</v>
      </c>
      <c r="I204" s="7" t="e">
        <f t="shared" si="0"/>
        <v>#VALUE!</v>
      </c>
      <c r="J204" s="40">
        <v>0.59722222222222221</v>
      </c>
      <c r="K204" s="7" t="s">
        <v>1562</v>
      </c>
      <c r="L204" s="7" t="s">
        <v>1337</v>
      </c>
      <c r="M204" s="7" t="s">
        <v>14</v>
      </c>
      <c r="N204" s="7" t="s">
        <v>14</v>
      </c>
    </row>
    <row r="205" spans="1:14" ht="13.2">
      <c r="A205" s="7">
        <v>515</v>
      </c>
      <c r="B205" s="7">
        <v>6769</v>
      </c>
      <c r="C205" s="7" t="s">
        <v>1113</v>
      </c>
      <c r="D205" s="7" t="s">
        <v>284</v>
      </c>
      <c r="E205" s="39">
        <v>42875</v>
      </c>
      <c r="F205" s="7" t="s">
        <v>1563</v>
      </c>
      <c r="G205" s="7" t="s">
        <v>1200</v>
      </c>
      <c r="H205" s="7" t="s">
        <v>1341</v>
      </c>
      <c r="I205" s="7" t="e">
        <f t="shared" si="0"/>
        <v>#VALUE!</v>
      </c>
      <c r="J205" s="40">
        <v>0.45833333333333331</v>
      </c>
      <c r="K205" s="7" t="s">
        <v>164</v>
      </c>
      <c r="L205" s="7" t="s">
        <v>1214</v>
      </c>
      <c r="M205" s="7" t="s">
        <v>14</v>
      </c>
      <c r="N205" s="7" t="s">
        <v>14</v>
      </c>
    </row>
    <row r="206" spans="1:14" ht="13.2">
      <c r="A206" s="7">
        <v>516</v>
      </c>
      <c r="B206" s="7">
        <v>6768</v>
      </c>
      <c r="C206" s="7" t="s">
        <v>1107</v>
      </c>
      <c r="D206" s="7" t="s">
        <v>284</v>
      </c>
      <c r="E206" s="39">
        <v>42875</v>
      </c>
      <c r="F206" s="7" t="s">
        <v>1564</v>
      </c>
      <c r="G206" s="7" t="s">
        <v>1200</v>
      </c>
      <c r="H206" s="7" t="s">
        <v>1339</v>
      </c>
      <c r="I206" s="7" t="e">
        <f t="shared" si="0"/>
        <v>#VALUE!</v>
      </c>
      <c r="J206" s="40">
        <v>0.52083333333333337</v>
      </c>
      <c r="K206" s="7" t="s">
        <v>1284</v>
      </c>
      <c r="L206" s="7" t="s">
        <v>1214</v>
      </c>
      <c r="M206" s="7" t="s">
        <v>14</v>
      </c>
      <c r="N206" s="7" t="s">
        <v>14</v>
      </c>
    </row>
    <row r="207" spans="1:14" ht="13.2">
      <c r="A207" s="7">
        <v>530</v>
      </c>
      <c r="B207" s="7">
        <v>5180</v>
      </c>
      <c r="C207" s="7" t="s">
        <v>1244</v>
      </c>
      <c r="D207" s="7" t="s">
        <v>284</v>
      </c>
      <c r="E207" s="39">
        <v>42875</v>
      </c>
      <c r="F207" s="7" t="s">
        <v>1565</v>
      </c>
      <c r="G207" s="7" t="s">
        <v>1200</v>
      </c>
      <c r="H207" s="7" t="s">
        <v>1344</v>
      </c>
      <c r="I207" s="7" t="e">
        <f t="shared" si="0"/>
        <v>#VALUE!</v>
      </c>
      <c r="J207" s="40">
        <v>0.58333333333333337</v>
      </c>
      <c r="K207" s="7" t="s">
        <v>1284</v>
      </c>
      <c r="L207" s="7" t="s">
        <v>1214</v>
      </c>
      <c r="M207" s="7" t="s">
        <v>14</v>
      </c>
      <c r="N207" s="7" t="s">
        <v>14</v>
      </c>
    </row>
    <row r="208" spans="1:14" ht="13.2">
      <c r="A208" s="7">
        <v>543</v>
      </c>
      <c r="B208" s="7">
        <v>3077</v>
      </c>
      <c r="C208" s="7" t="s">
        <v>1247</v>
      </c>
      <c r="D208" s="7" t="s">
        <v>284</v>
      </c>
      <c r="E208" s="39">
        <v>42875</v>
      </c>
      <c r="F208" s="7" t="s">
        <v>1566</v>
      </c>
      <c r="G208" s="7" t="s">
        <v>1200</v>
      </c>
      <c r="H208" s="7" t="s">
        <v>1348</v>
      </c>
      <c r="I208" s="7" t="e">
        <f t="shared" si="0"/>
        <v>#VALUE!</v>
      </c>
      <c r="J208" s="40">
        <v>0.64583333333333337</v>
      </c>
      <c r="K208" s="7" t="s">
        <v>1284</v>
      </c>
      <c r="L208" s="7" t="s">
        <v>1214</v>
      </c>
      <c r="M208" s="7" t="s">
        <v>14</v>
      </c>
      <c r="N208" s="7" t="s">
        <v>14</v>
      </c>
    </row>
    <row r="209" spans="1:14" ht="13.2">
      <c r="A209" s="7">
        <v>162</v>
      </c>
      <c r="B209" s="7">
        <v>23384</v>
      </c>
      <c r="C209" s="7" t="s">
        <v>1250</v>
      </c>
      <c r="D209" s="7" t="s">
        <v>284</v>
      </c>
      <c r="E209" s="39">
        <v>42882</v>
      </c>
      <c r="F209" s="7" t="s">
        <v>1351</v>
      </c>
      <c r="G209" s="7" t="s">
        <v>1200</v>
      </c>
      <c r="H209" s="7" t="s">
        <v>1567</v>
      </c>
      <c r="I209" s="7" t="e">
        <f t="shared" si="0"/>
        <v>#VALUE!</v>
      </c>
      <c r="J209" s="40">
        <v>0.48958333333333331</v>
      </c>
      <c r="K209" s="7" t="s">
        <v>30</v>
      </c>
      <c r="L209" s="7" t="s">
        <v>114</v>
      </c>
      <c r="M209" s="7" t="s">
        <v>14</v>
      </c>
      <c r="N209" s="7" t="s">
        <v>289</v>
      </c>
    </row>
    <row r="210" spans="1:14" ht="13.2">
      <c r="A210" s="7">
        <v>164</v>
      </c>
      <c r="B210" s="7">
        <v>23100</v>
      </c>
      <c r="C210" s="7" t="s">
        <v>1253</v>
      </c>
      <c r="D210" s="7" t="s">
        <v>284</v>
      </c>
      <c r="E210" s="39">
        <v>42882</v>
      </c>
      <c r="F210" s="7" t="s">
        <v>1353</v>
      </c>
      <c r="G210" s="7" t="s">
        <v>1200</v>
      </c>
      <c r="H210" s="7" t="s">
        <v>1568</v>
      </c>
      <c r="I210" s="7" t="e">
        <f t="shared" si="0"/>
        <v>#VALUE!</v>
      </c>
      <c r="J210" s="40">
        <v>0.39583333333333331</v>
      </c>
      <c r="K210" s="7" t="s">
        <v>30</v>
      </c>
      <c r="L210" s="7" t="s">
        <v>114</v>
      </c>
      <c r="M210" s="7" t="s">
        <v>14</v>
      </c>
      <c r="N210" s="7" t="s">
        <v>289</v>
      </c>
    </row>
    <row r="211" spans="1:14" ht="13.2">
      <c r="A211" s="7">
        <v>167</v>
      </c>
      <c r="B211" s="7">
        <v>22947</v>
      </c>
      <c r="C211" s="7" t="s">
        <v>1256</v>
      </c>
      <c r="D211" s="7" t="s">
        <v>284</v>
      </c>
      <c r="E211" s="39">
        <v>42882</v>
      </c>
      <c r="F211" s="7" t="s">
        <v>1355</v>
      </c>
      <c r="G211" s="7" t="s">
        <v>1200</v>
      </c>
      <c r="H211" s="7" t="s">
        <v>1569</v>
      </c>
      <c r="I211" s="7" t="e">
        <f t="shared" si="0"/>
        <v>#VALUE!</v>
      </c>
      <c r="J211" s="40">
        <v>0.4375</v>
      </c>
      <c r="K211" s="7" t="s">
        <v>30</v>
      </c>
      <c r="L211" s="7" t="s">
        <v>114</v>
      </c>
      <c r="M211" s="7" t="s">
        <v>14</v>
      </c>
      <c r="N211" s="7" t="s">
        <v>289</v>
      </c>
    </row>
    <row r="212" spans="1:14" ht="13.2">
      <c r="A212" s="7">
        <v>170</v>
      </c>
      <c r="B212" s="7">
        <v>14355</v>
      </c>
      <c r="C212" s="7" t="s">
        <v>1259</v>
      </c>
      <c r="D212" s="7" t="s">
        <v>284</v>
      </c>
      <c r="E212" s="39">
        <v>42882</v>
      </c>
      <c r="F212" s="7" t="s">
        <v>1357</v>
      </c>
      <c r="G212" s="7" t="s">
        <v>1200</v>
      </c>
      <c r="H212" s="7" t="s">
        <v>1570</v>
      </c>
      <c r="I212" s="7" t="e">
        <f t="shared" si="0"/>
        <v>#VALUE!</v>
      </c>
      <c r="J212" s="40">
        <v>0.58333333333333337</v>
      </c>
      <c r="K212" s="7" t="s">
        <v>30</v>
      </c>
      <c r="L212" s="7" t="s">
        <v>1319</v>
      </c>
      <c r="M212" s="7" t="s">
        <v>14</v>
      </c>
      <c r="N212" s="7" t="s">
        <v>606</v>
      </c>
    </row>
    <row r="213" spans="1:14" ht="13.2">
      <c r="A213" s="7">
        <v>184</v>
      </c>
      <c r="B213" s="7">
        <v>13939</v>
      </c>
      <c r="C213" s="7" t="s">
        <v>560</v>
      </c>
      <c r="D213" s="7" t="s">
        <v>284</v>
      </c>
      <c r="E213" s="39">
        <v>42882</v>
      </c>
      <c r="F213" s="7" t="s">
        <v>1359</v>
      </c>
      <c r="G213" s="7" t="s">
        <v>1200</v>
      </c>
      <c r="H213" s="7" t="s">
        <v>1571</v>
      </c>
      <c r="I213" s="7" t="e">
        <f t="shared" si="0"/>
        <v>#VALUE!</v>
      </c>
      <c r="J213" s="40">
        <v>0.64583333333333337</v>
      </c>
      <c r="K213" s="7" t="s">
        <v>30</v>
      </c>
      <c r="L213" s="7" t="s">
        <v>1319</v>
      </c>
      <c r="M213" s="7" t="s">
        <v>14</v>
      </c>
      <c r="N213" s="7" t="s">
        <v>1203</v>
      </c>
    </row>
    <row r="214" spans="1:14" ht="13.2">
      <c r="A214" s="7">
        <v>192</v>
      </c>
      <c r="B214" s="7">
        <v>13568</v>
      </c>
      <c r="C214" s="7" t="s">
        <v>369</v>
      </c>
      <c r="D214" s="7" t="s">
        <v>284</v>
      </c>
      <c r="E214" s="39">
        <v>42882</v>
      </c>
      <c r="F214" s="7" t="s">
        <v>1361</v>
      </c>
      <c r="G214" s="7" t="s">
        <v>1200</v>
      </c>
      <c r="H214" s="7" t="s">
        <v>1572</v>
      </c>
      <c r="I214" s="7" t="e">
        <f t="shared" si="0"/>
        <v>#VALUE!</v>
      </c>
      <c r="J214" s="40">
        <v>0.4375</v>
      </c>
      <c r="K214" s="7" t="s">
        <v>30</v>
      </c>
      <c r="L214" s="7" t="s">
        <v>1269</v>
      </c>
      <c r="M214" s="7" t="s">
        <v>14</v>
      </c>
      <c r="N214" s="7" t="s">
        <v>1363</v>
      </c>
    </row>
    <row r="215" spans="1:14" ht="13.2">
      <c r="A215" s="7">
        <v>197</v>
      </c>
      <c r="B215" s="7">
        <v>13350</v>
      </c>
      <c r="C215" s="7" t="s">
        <v>1266</v>
      </c>
      <c r="D215" s="7" t="s">
        <v>284</v>
      </c>
      <c r="E215" s="39">
        <v>42882</v>
      </c>
      <c r="F215" s="7" t="s">
        <v>1364</v>
      </c>
      <c r="G215" s="7" t="s">
        <v>1200</v>
      </c>
      <c r="H215" s="7" t="s">
        <v>1573</v>
      </c>
      <c r="I215" s="7" t="e">
        <f t="shared" si="0"/>
        <v>#VALUE!</v>
      </c>
      <c r="J215" s="40">
        <v>0.47916666666666669</v>
      </c>
      <c r="K215" s="7" t="s">
        <v>30</v>
      </c>
      <c r="L215" s="7" t="s">
        <v>1269</v>
      </c>
      <c r="M215" s="7" t="s">
        <v>14</v>
      </c>
      <c r="N215" s="7" t="s">
        <v>566</v>
      </c>
    </row>
    <row r="216" spans="1:14" ht="13.2">
      <c r="A216" s="7">
        <v>205</v>
      </c>
      <c r="B216" s="7">
        <v>13153</v>
      </c>
      <c r="C216" s="7" t="s">
        <v>1273</v>
      </c>
      <c r="D216" s="7" t="s">
        <v>284</v>
      </c>
      <c r="E216" s="39">
        <v>42882</v>
      </c>
      <c r="F216" s="7" t="s">
        <v>1366</v>
      </c>
      <c r="G216" s="7" t="s">
        <v>1200</v>
      </c>
      <c r="H216" s="7" t="s">
        <v>1574</v>
      </c>
      <c r="I216" s="7" t="e">
        <f t="shared" si="0"/>
        <v>#VALUE!</v>
      </c>
      <c r="J216" s="40">
        <v>0.39583333333333331</v>
      </c>
      <c r="K216" s="7" t="s">
        <v>30</v>
      </c>
      <c r="L216" s="7" t="s">
        <v>1269</v>
      </c>
      <c r="M216" s="7" t="s">
        <v>14</v>
      </c>
      <c r="N216" s="7" t="s">
        <v>1432</v>
      </c>
    </row>
    <row r="217" spans="1:14" ht="13.2">
      <c r="A217" s="7">
        <v>206</v>
      </c>
      <c r="B217" s="7">
        <v>12741</v>
      </c>
      <c r="C217" s="7" t="s">
        <v>935</v>
      </c>
      <c r="D217" s="7" t="s">
        <v>284</v>
      </c>
      <c r="E217" s="39">
        <v>42882</v>
      </c>
      <c r="F217" s="7" t="s">
        <v>1368</v>
      </c>
      <c r="G217" s="7" t="s">
        <v>1200</v>
      </c>
      <c r="H217" s="7" t="s">
        <v>1575</v>
      </c>
      <c r="I217" s="7" t="e">
        <f t="shared" si="0"/>
        <v>#VALUE!</v>
      </c>
      <c r="J217" s="40">
        <v>0.375</v>
      </c>
      <c r="K217" s="7" t="s">
        <v>30</v>
      </c>
      <c r="L217" s="7" t="s">
        <v>1329</v>
      </c>
      <c r="M217" s="7" t="s">
        <v>14</v>
      </c>
      <c r="N217" s="7" t="s">
        <v>1227</v>
      </c>
    </row>
    <row r="218" spans="1:14" ht="13.2">
      <c r="A218" s="7">
        <v>210</v>
      </c>
      <c r="B218" s="7">
        <v>12737</v>
      </c>
      <c r="C218" s="7" t="s">
        <v>1278</v>
      </c>
      <c r="D218" s="7" t="s">
        <v>284</v>
      </c>
      <c r="E218" s="39">
        <v>42882</v>
      </c>
      <c r="F218" s="7" t="s">
        <v>1370</v>
      </c>
      <c r="G218" s="7" t="s">
        <v>1200</v>
      </c>
      <c r="H218" s="7" t="s">
        <v>1576</v>
      </c>
      <c r="I218" s="7" t="e">
        <f t="shared" si="0"/>
        <v>#VALUE!</v>
      </c>
      <c r="J218" s="40">
        <v>0.41666666666666669</v>
      </c>
      <c r="K218" s="7" t="s">
        <v>30</v>
      </c>
      <c r="L218" s="7" t="s">
        <v>1329</v>
      </c>
      <c r="M218" s="7" t="s">
        <v>14</v>
      </c>
      <c r="N218" s="7" t="s">
        <v>506</v>
      </c>
    </row>
    <row r="219" spans="1:14" ht="13.2">
      <c r="A219" s="7">
        <v>214</v>
      </c>
      <c r="B219" s="7">
        <v>12733</v>
      </c>
      <c r="C219" s="7" t="s">
        <v>1281</v>
      </c>
      <c r="D219" s="7" t="s">
        <v>284</v>
      </c>
      <c r="E219" s="39">
        <v>42882</v>
      </c>
      <c r="F219" s="7" t="s">
        <v>1327</v>
      </c>
      <c r="G219" s="7" t="s">
        <v>1200</v>
      </c>
      <c r="H219" s="7" t="s">
        <v>1577</v>
      </c>
      <c r="I219" s="7" t="e">
        <f t="shared" si="0"/>
        <v>#VALUE!</v>
      </c>
      <c r="J219" s="40">
        <v>0.55208333333333337</v>
      </c>
      <c r="K219" s="7" t="s">
        <v>30</v>
      </c>
      <c r="L219" s="7" t="s">
        <v>1329</v>
      </c>
      <c r="M219" s="7" t="s">
        <v>14</v>
      </c>
      <c r="N219" s="7" t="s">
        <v>456</v>
      </c>
    </row>
    <row r="220" spans="1:14" ht="13.2">
      <c r="A220" s="7">
        <v>221</v>
      </c>
      <c r="B220" s="7">
        <v>12543</v>
      </c>
      <c r="C220" s="7" t="s">
        <v>1285</v>
      </c>
      <c r="D220" s="7" t="s">
        <v>284</v>
      </c>
      <c r="E220" s="39">
        <v>42882</v>
      </c>
      <c r="F220" s="7" t="s">
        <v>1372</v>
      </c>
      <c r="G220" s="7" t="s">
        <v>1200</v>
      </c>
      <c r="H220" s="7" t="s">
        <v>1578</v>
      </c>
      <c r="I220" s="7" t="e">
        <f t="shared" si="0"/>
        <v>#VALUE!</v>
      </c>
      <c r="J220" s="40">
        <v>0.39583333333333331</v>
      </c>
      <c r="K220" s="7" t="s">
        <v>30</v>
      </c>
      <c r="L220" s="7" t="s">
        <v>101</v>
      </c>
      <c r="M220" s="7" t="s">
        <v>14</v>
      </c>
      <c r="N220" s="7" t="s">
        <v>558</v>
      </c>
    </row>
    <row r="221" spans="1:14" ht="13.2">
      <c r="A221" s="7">
        <v>226</v>
      </c>
      <c r="B221" s="7">
        <v>12058</v>
      </c>
      <c r="C221" s="7" t="s">
        <v>1296</v>
      </c>
      <c r="D221" s="7" t="s">
        <v>284</v>
      </c>
      <c r="E221" s="39">
        <v>42882</v>
      </c>
      <c r="F221" s="7" t="s">
        <v>1374</v>
      </c>
      <c r="G221" s="7" t="s">
        <v>1200</v>
      </c>
      <c r="H221" s="7" t="s">
        <v>1579</v>
      </c>
      <c r="I221" s="7" t="e">
        <f t="shared" si="0"/>
        <v>#VALUE!</v>
      </c>
      <c r="J221" s="40">
        <v>0.39583333333333331</v>
      </c>
      <c r="K221" s="7" t="s">
        <v>30</v>
      </c>
      <c r="L221" s="7" t="s">
        <v>1319</v>
      </c>
      <c r="M221" s="7" t="s">
        <v>14</v>
      </c>
      <c r="N221" s="7" t="s">
        <v>785</v>
      </c>
    </row>
    <row r="222" spans="1:14" ht="13.2">
      <c r="A222" s="7">
        <v>227</v>
      </c>
      <c r="B222" s="7">
        <v>12057</v>
      </c>
      <c r="C222" s="7" t="s">
        <v>1292</v>
      </c>
      <c r="D222" s="7" t="s">
        <v>284</v>
      </c>
      <c r="E222" s="39">
        <v>42882</v>
      </c>
      <c r="F222" s="7" t="s">
        <v>1376</v>
      </c>
      <c r="G222" s="7" t="s">
        <v>1200</v>
      </c>
      <c r="H222" s="7" t="s">
        <v>1580</v>
      </c>
      <c r="I222" s="7" t="e">
        <f t="shared" si="0"/>
        <v>#VALUE!</v>
      </c>
      <c r="J222" s="40">
        <v>0.39583333333333331</v>
      </c>
      <c r="K222" s="7" t="s">
        <v>30</v>
      </c>
      <c r="L222" s="7" t="s">
        <v>1319</v>
      </c>
      <c r="M222" s="7" t="s">
        <v>14</v>
      </c>
      <c r="N222" s="7" t="s">
        <v>775</v>
      </c>
    </row>
    <row r="223" spans="1:14" ht="13.2">
      <c r="A223" s="7">
        <v>231</v>
      </c>
      <c r="B223" s="7">
        <v>12053</v>
      </c>
      <c r="C223" s="7" t="s">
        <v>1289</v>
      </c>
      <c r="D223" s="7" t="s">
        <v>284</v>
      </c>
      <c r="E223" s="39">
        <v>42882</v>
      </c>
      <c r="F223" s="7" t="s">
        <v>1378</v>
      </c>
      <c r="G223" s="7" t="s">
        <v>1200</v>
      </c>
      <c r="H223" s="7" t="s">
        <v>1581</v>
      </c>
      <c r="I223" s="7" t="e">
        <f t="shared" si="0"/>
        <v>#VALUE!</v>
      </c>
      <c r="J223" s="40">
        <v>0.39583333333333331</v>
      </c>
      <c r="K223" s="7" t="s">
        <v>30</v>
      </c>
      <c r="L223" s="7" t="s">
        <v>101</v>
      </c>
      <c r="M223" s="7" t="s">
        <v>14</v>
      </c>
      <c r="N223" s="7" t="s">
        <v>1215</v>
      </c>
    </row>
    <row r="224" spans="1:14" ht="13.2">
      <c r="A224" s="7">
        <v>240</v>
      </c>
      <c r="B224" s="7">
        <v>11669</v>
      </c>
      <c r="C224" s="7" t="s">
        <v>1300</v>
      </c>
      <c r="D224" s="7" t="s">
        <v>284</v>
      </c>
      <c r="E224" s="39">
        <v>42882</v>
      </c>
      <c r="F224" s="7" t="s">
        <v>1380</v>
      </c>
      <c r="G224" s="7" t="s">
        <v>1200</v>
      </c>
      <c r="H224" s="7" t="s">
        <v>1582</v>
      </c>
      <c r="I224" s="7" t="e">
        <f t="shared" si="0"/>
        <v>#VALUE!</v>
      </c>
      <c r="J224" s="40">
        <v>0.5</v>
      </c>
      <c r="K224" s="7" t="s">
        <v>30</v>
      </c>
      <c r="L224" s="7" t="s">
        <v>1329</v>
      </c>
      <c r="M224" s="7" t="s">
        <v>14</v>
      </c>
      <c r="N224" s="7" t="s">
        <v>493</v>
      </c>
    </row>
    <row r="225" spans="1:14" ht="13.2">
      <c r="A225" s="7">
        <v>244</v>
      </c>
      <c r="B225" s="7">
        <v>11665</v>
      </c>
      <c r="C225" s="7" t="s">
        <v>1303</v>
      </c>
      <c r="D225" s="7" t="s">
        <v>284</v>
      </c>
      <c r="E225" s="39">
        <v>42882</v>
      </c>
      <c r="F225" s="7" t="s">
        <v>1382</v>
      </c>
      <c r="G225" s="7" t="s">
        <v>1200</v>
      </c>
      <c r="H225" s="7" t="s">
        <v>1583</v>
      </c>
      <c r="I225" s="7" t="e">
        <f t="shared" si="0"/>
        <v>#VALUE!</v>
      </c>
      <c r="J225" s="40">
        <v>0.39583333333333331</v>
      </c>
      <c r="K225" s="7" t="s">
        <v>30</v>
      </c>
      <c r="L225" s="7" t="s">
        <v>1234</v>
      </c>
      <c r="M225" s="7" t="s">
        <v>14</v>
      </c>
      <c r="N225" s="7" t="s">
        <v>1489</v>
      </c>
    </row>
    <row r="226" spans="1:14" ht="13.2">
      <c r="A226" s="7">
        <v>252</v>
      </c>
      <c r="B226" s="7">
        <v>11339</v>
      </c>
      <c r="C226" s="7" t="s">
        <v>1306</v>
      </c>
      <c r="D226" s="7" t="s">
        <v>284</v>
      </c>
      <c r="E226" s="39">
        <v>42882</v>
      </c>
      <c r="F226" s="7" t="s">
        <v>1384</v>
      </c>
      <c r="G226" s="7" t="s">
        <v>1200</v>
      </c>
      <c r="H226" s="7" t="s">
        <v>1584</v>
      </c>
      <c r="I226" s="7" t="e">
        <f t="shared" si="0"/>
        <v>#VALUE!</v>
      </c>
      <c r="J226" s="40">
        <v>0.44791666666666669</v>
      </c>
      <c r="K226" s="7" t="s">
        <v>30</v>
      </c>
      <c r="L226" s="7" t="s">
        <v>1234</v>
      </c>
      <c r="M226" s="7" t="s">
        <v>14</v>
      </c>
      <c r="N226" s="7" t="s">
        <v>584</v>
      </c>
    </row>
    <row r="227" spans="1:14" ht="13.2">
      <c r="A227" s="7">
        <v>255</v>
      </c>
      <c r="B227" s="7">
        <v>11336</v>
      </c>
      <c r="C227" s="7" t="s">
        <v>1309</v>
      </c>
      <c r="D227" s="7" t="s">
        <v>284</v>
      </c>
      <c r="E227" s="39">
        <v>42882</v>
      </c>
      <c r="F227" s="7" t="s">
        <v>1386</v>
      </c>
      <c r="G227" s="7" t="s">
        <v>1200</v>
      </c>
      <c r="H227" s="7" t="s">
        <v>1585</v>
      </c>
      <c r="I227" s="7" t="e">
        <f t="shared" si="0"/>
        <v>#VALUE!</v>
      </c>
      <c r="J227" s="40">
        <v>0.51041666666666663</v>
      </c>
      <c r="K227" s="7" t="s">
        <v>30</v>
      </c>
      <c r="L227" s="7" t="s">
        <v>1234</v>
      </c>
      <c r="M227" s="7" t="s">
        <v>14</v>
      </c>
      <c r="N227" s="7" t="s">
        <v>418</v>
      </c>
    </row>
    <row r="228" spans="1:14" ht="13.2">
      <c r="A228" s="7">
        <v>259</v>
      </c>
      <c r="B228" s="7">
        <v>11071</v>
      </c>
      <c r="C228" s="7" t="s">
        <v>1312</v>
      </c>
      <c r="D228" s="7" t="s">
        <v>284</v>
      </c>
      <c r="E228" s="39">
        <v>42882</v>
      </c>
      <c r="F228" s="7" t="s">
        <v>1388</v>
      </c>
      <c r="G228" s="7" t="s">
        <v>1200</v>
      </c>
      <c r="H228" s="7" t="s">
        <v>1586</v>
      </c>
      <c r="I228" s="7" t="e">
        <f t="shared" si="0"/>
        <v>#VALUE!</v>
      </c>
      <c r="J228" s="40">
        <v>0.52083333333333337</v>
      </c>
      <c r="K228" s="7" t="s">
        <v>30</v>
      </c>
      <c r="L228" s="7" t="s">
        <v>1319</v>
      </c>
      <c r="M228" s="7" t="s">
        <v>14</v>
      </c>
      <c r="N228" s="7" t="s">
        <v>338</v>
      </c>
    </row>
    <row r="229" spans="1:14" ht="13.2">
      <c r="A229" s="7">
        <v>269</v>
      </c>
      <c r="B229" s="7">
        <v>6125</v>
      </c>
      <c r="C229" s="7" t="s">
        <v>1107</v>
      </c>
      <c r="D229" s="7" t="s">
        <v>284</v>
      </c>
      <c r="E229" s="39">
        <v>42882</v>
      </c>
      <c r="F229" s="7" t="s">
        <v>1240</v>
      </c>
      <c r="G229" s="7" t="s">
        <v>1200</v>
      </c>
      <c r="H229" s="7" t="s">
        <v>1587</v>
      </c>
      <c r="I229" s="7" t="e">
        <f t="shared" si="0"/>
        <v>#VALUE!</v>
      </c>
      <c r="J229" s="40">
        <v>0.54166666666666663</v>
      </c>
      <c r="K229" s="7" t="s">
        <v>30</v>
      </c>
      <c r="L229" s="7" t="s">
        <v>1214</v>
      </c>
      <c r="M229" s="7" t="s">
        <v>14</v>
      </c>
      <c r="N229" s="7" t="s">
        <v>289</v>
      </c>
    </row>
    <row r="230" spans="1:14" ht="13.2">
      <c r="A230" s="7">
        <v>270</v>
      </c>
      <c r="B230" s="7">
        <v>6124</v>
      </c>
      <c r="C230" s="7" t="s">
        <v>1113</v>
      </c>
      <c r="D230" s="7" t="s">
        <v>284</v>
      </c>
      <c r="E230" s="39">
        <v>42882</v>
      </c>
      <c r="F230" s="7" t="s">
        <v>1242</v>
      </c>
      <c r="G230" s="7" t="s">
        <v>1200</v>
      </c>
      <c r="H230" s="7" t="s">
        <v>1588</v>
      </c>
      <c r="I230" s="7" t="e">
        <f t="shared" si="0"/>
        <v>#VALUE!</v>
      </c>
      <c r="J230" s="40">
        <v>0.45833333333333331</v>
      </c>
      <c r="K230" s="7" t="s">
        <v>30</v>
      </c>
      <c r="L230" s="7" t="s">
        <v>1319</v>
      </c>
      <c r="M230" s="7" t="s">
        <v>14</v>
      </c>
      <c r="N230" s="7" t="s">
        <v>289</v>
      </c>
    </row>
    <row r="231" spans="1:14" ht="13.2">
      <c r="A231" s="7">
        <v>276</v>
      </c>
      <c r="B231" s="7">
        <v>4303</v>
      </c>
      <c r="C231" s="7" t="s">
        <v>1244</v>
      </c>
      <c r="D231" s="7" t="s">
        <v>284</v>
      </c>
      <c r="E231" s="39">
        <v>42882</v>
      </c>
      <c r="F231" s="7" t="s">
        <v>1245</v>
      </c>
      <c r="G231" s="7" t="s">
        <v>1200</v>
      </c>
      <c r="H231" s="7" t="s">
        <v>1589</v>
      </c>
      <c r="I231" s="7" t="e">
        <f t="shared" si="0"/>
        <v>#VALUE!</v>
      </c>
      <c r="J231" s="40">
        <v>0.60416666666666663</v>
      </c>
      <c r="K231" s="7" t="s">
        <v>30</v>
      </c>
      <c r="L231" s="7" t="s">
        <v>1214</v>
      </c>
      <c r="M231" s="7" t="s">
        <v>14</v>
      </c>
      <c r="N231" s="7" t="s">
        <v>289</v>
      </c>
    </row>
    <row r="232" spans="1:14" ht="13.2">
      <c r="A232" s="7">
        <v>282</v>
      </c>
      <c r="B232" s="7">
        <v>2110</v>
      </c>
      <c r="C232" s="7" t="s">
        <v>1247</v>
      </c>
      <c r="D232" s="7" t="s">
        <v>284</v>
      </c>
      <c r="E232" s="39">
        <v>42882</v>
      </c>
      <c r="F232" s="7" t="s">
        <v>1248</v>
      </c>
      <c r="G232" s="7" t="s">
        <v>1200</v>
      </c>
      <c r="H232" s="7" t="s">
        <v>1590</v>
      </c>
      <c r="I232" s="7" t="e">
        <f t="shared" si="0"/>
        <v>#VALUE!</v>
      </c>
      <c r="J232" s="40">
        <v>0.66666666666666663</v>
      </c>
      <c r="K232" s="7" t="s">
        <v>30</v>
      </c>
      <c r="L232" s="7" t="s">
        <v>1214</v>
      </c>
      <c r="M232" s="7" t="s">
        <v>14</v>
      </c>
      <c r="N232" s="7" t="s">
        <v>289</v>
      </c>
    </row>
    <row r="233" spans="1:14" ht="13.2">
      <c r="A233" s="7">
        <v>328</v>
      </c>
      <c r="B233" s="7">
        <v>14314</v>
      </c>
      <c r="C233" s="7" t="s">
        <v>1206</v>
      </c>
      <c r="D233" s="7" t="s">
        <v>284</v>
      </c>
      <c r="E233" s="39">
        <v>42882</v>
      </c>
      <c r="F233" s="7" t="s">
        <v>1591</v>
      </c>
      <c r="G233" s="7" t="s">
        <v>1200</v>
      </c>
      <c r="H233" s="7" t="s">
        <v>1395</v>
      </c>
      <c r="I233" s="7" t="e">
        <f t="shared" si="0"/>
        <v>#VALUE!</v>
      </c>
      <c r="J233" s="40">
        <v>0.52083333333333337</v>
      </c>
      <c r="K233" s="7" t="s">
        <v>89</v>
      </c>
      <c r="L233" s="7" t="s">
        <v>1214</v>
      </c>
      <c r="M233" s="7" t="s">
        <v>14</v>
      </c>
      <c r="N233" s="7" t="s">
        <v>14</v>
      </c>
    </row>
    <row r="234" spans="1:14" ht="13.2">
      <c r="A234" s="7">
        <v>336</v>
      </c>
      <c r="B234" s="7">
        <v>14142</v>
      </c>
      <c r="C234" s="7" t="s">
        <v>600</v>
      </c>
      <c r="D234" s="7" t="s">
        <v>284</v>
      </c>
      <c r="E234" s="39">
        <v>42882</v>
      </c>
      <c r="F234" s="7" t="s">
        <v>1592</v>
      </c>
      <c r="G234" s="7" t="s">
        <v>1200</v>
      </c>
      <c r="H234" s="7" t="s">
        <v>1398</v>
      </c>
      <c r="I234" s="7" t="e">
        <f t="shared" si="0"/>
        <v>#VALUE!</v>
      </c>
      <c r="J234" s="40">
        <v>0.58333333333333337</v>
      </c>
      <c r="K234" s="7" t="s">
        <v>1593</v>
      </c>
      <c r="L234" s="7" t="s">
        <v>1214</v>
      </c>
      <c r="M234" s="7" t="s">
        <v>14</v>
      </c>
      <c r="N234" s="7" t="s">
        <v>14</v>
      </c>
    </row>
    <row r="235" spans="1:14" ht="13.2">
      <c r="A235" s="7">
        <v>340</v>
      </c>
      <c r="B235" s="7">
        <v>14010</v>
      </c>
      <c r="C235" s="7" t="s">
        <v>1198</v>
      </c>
      <c r="D235" s="7" t="s">
        <v>284</v>
      </c>
      <c r="E235" s="39">
        <v>42882</v>
      </c>
      <c r="F235" s="7" t="s">
        <v>1594</v>
      </c>
      <c r="G235" s="7" t="s">
        <v>1200</v>
      </c>
      <c r="H235" s="7" t="s">
        <v>1400</v>
      </c>
      <c r="I235" s="7" t="e">
        <f t="shared" si="0"/>
        <v>#VALUE!</v>
      </c>
      <c r="J235" s="40">
        <v>0.58333333333333337</v>
      </c>
      <c r="K235" s="7" t="s">
        <v>188</v>
      </c>
      <c r="L235" s="7" t="s">
        <v>1319</v>
      </c>
      <c r="M235" s="7" t="s">
        <v>14</v>
      </c>
      <c r="N235" s="7" t="s">
        <v>14</v>
      </c>
    </row>
    <row r="236" spans="1:14" ht="13.2">
      <c r="A236" s="7">
        <v>349</v>
      </c>
      <c r="B236" s="7">
        <v>13810</v>
      </c>
      <c r="C236" s="7" t="s">
        <v>1446</v>
      </c>
      <c r="D236" s="7" t="s">
        <v>284</v>
      </c>
      <c r="E236" s="39">
        <v>42882</v>
      </c>
      <c r="F236" s="7" t="s">
        <v>1447</v>
      </c>
      <c r="G236" s="7" t="s">
        <v>1200</v>
      </c>
      <c r="H236" s="7" t="s">
        <v>1595</v>
      </c>
      <c r="I236" s="7" t="e">
        <f t="shared" si="0"/>
        <v>#VALUE!</v>
      </c>
      <c r="J236" s="40">
        <v>0.47916666666666669</v>
      </c>
      <c r="K236" s="7" t="s">
        <v>1596</v>
      </c>
      <c r="L236" s="7" t="s">
        <v>114</v>
      </c>
      <c r="M236" s="7" t="s">
        <v>14</v>
      </c>
      <c r="N236" s="7" t="s">
        <v>14</v>
      </c>
    </row>
    <row r="237" spans="1:14" ht="13.2">
      <c r="A237" s="7">
        <v>351</v>
      </c>
      <c r="B237" s="7">
        <v>13799</v>
      </c>
      <c r="C237" s="7" t="s">
        <v>1446</v>
      </c>
      <c r="D237" s="7" t="s">
        <v>284</v>
      </c>
      <c r="E237" s="39">
        <v>42882</v>
      </c>
      <c r="F237" s="7" t="s">
        <v>1597</v>
      </c>
      <c r="G237" s="7" t="s">
        <v>1200</v>
      </c>
      <c r="H237" s="7" t="s">
        <v>1451</v>
      </c>
      <c r="I237" s="7" t="e">
        <f t="shared" si="0"/>
        <v>#VALUE!</v>
      </c>
      <c r="J237" s="40">
        <v>0.54166666666666663</v>
      </c>
      <c r="K237" s="7" t="s">
        <v>1596</v>
      </c>
      <c r="L237" s="7" t="s">
        <v>114</v>
      </c>
      <c r="M237" s="7" t="s">
        <v>14</v>
      </c>
      <c r="N237" s="7" t="s">
        <v>14</v>
      </c>
    </row>
    <row r="238" spans="1:14" ht="13.2">
      <c r="A238" s="7">
        <v>372</v>
      </c>
      <c r="B238" s="7">
        <v>13540</v>
      </c>
      <c r="C238" s="7" t="s">
        <v>1216</v>
      </c>
      <c r="D238" s="7" t="s">
        <v>284</v>
      </c>
      <c r="E238" s="39">
        <v>42882</v>
      </c>
      <c r="F238" s="7" t="s">
        <v>1598</v>
      </c>
      <c r="G238" s="7" t="s">
        <v>1200</v>
      </c>
      <c r="H238" s="7" t="s">
        <v>1404</v>
      </c>
      <c r="I238" s="7" t="e">
        <f t="shared" si="0"/>
        <v>#VALUE!</v>
      </c>
      <c r="J238" s="40">
        <v>0.45833333333333331</v>
      </c>
      <c r="K238" s="7" t="s">
        <v>80</v>
      </c>
      <c r="L238" s="7" t="s">
        <v>1599</v>
      </c>
      <c r="M238" s="7" t="s">
        <v>14</v>
      </c>
      <c r="N238" s="7" t="s">
        <v>14</v>
      </c>
    </row>
    <row r="239" spans="1:14" ht="13.2">
      <c r="A239" s="7">
        <v>373</v>
      </c>
      <c r="B239" s="7">
        <v>13521</v>
      </c>
      <c r="C239" s="7" t="s">
        <v>1209</v>
      </c>
      <c r="D239" s="7" t="s">
        <v>284</v>
      </c>
      <c r="E239" s="39">
        <v>42882</v>
      </c>
      <c r="F239" s="7" t="s">
        <v>1600</v>
      </c>
      <c r="G239" s="7" t="s">
        <v>1200</v>
      </c>
      <c r="H239" s="7" t="s">
        <v>1402</v>
      </c>
      <c r="I239" s="7" t="e">
        <f t="shared" si="0"/>
        <v>#VALUE!</v>
      </c>
      <c r="J239" s="40">
        <v>0.41666666666666669</v>
      </c>
      <c r="K239" s="7" t="s">
        <v>37</v>
      </c>
      <c r="L239" s="7" t="s">
        <v>1288</v>
      </c>
      <c r="M239" s="7" t="s">
        <v>14</v>
      </c>
      <c r="N239" s="7" t="s">
        <v>14</v>
      </c>
    </row>
    <row r="240" spans="1:14" ht="13.2">
      <c r="A240" s="7">
        <v>386</v>
      </c>
      <c r="B240" s="7">
        <v>13218</v>
      </c>
      <c r="C240" s="7" t="s">
        <v>831</v>
      </c>
      <c r="D240" s="7" t="s">
        <v>284</v>
      </c>
      <c r="E240" s="39">
        <v>42882</v>
      </c>
      <c r="F240" s="7" t="s">
        <v>1601</v>
      </c>
      <c r="G240" s="7" t="s">
        <v>1200</v>
      </c>
      <c r="H240" s="7" t="s">
        <v>1406</v>
      </c>
      <c r="I240" s="7" t="e">
        <f t="shared" si="0"/>
        <v>#VALUE!</v>
      </c>
      <c r="J240" s="40">
        <v>0.375</v>
      </c>
      <c r="K240" s="7" t="s">
        <v>141</v>
      </c>
      <c r="L240" s="7" t="s">
        <v>1299</v>
      </c>
      <c r="M240" s="7" t="s">
        <v>14</v>
      </c>
      <c r="N240" s="7" t="s">
        <v>14</v>
      </c>
    </row>
    <row r="241" spans="1:14" ht="13.2">
      <c r="A241" s="7">
        <v>421</v>
      </c>
      <c r="B241" s="7">
        <v>12552</v>
      </c>
      <c r="C241" s="7" t="s">
        <v>1222</v>
      </c>
      <c r="D241" s="7" t="s">
        <v>284</v>
      </c>
      <c r="E241" s="39">
        <v>42882</v>
      </c>
      <c r="F241" s="7" t="s">
        <v>1602</v>
      </c>
      <c r="G241" s="7" t="s">
        <v>1200</v>
      </c>
      <c r="H241" s="7" t="s">
        <v>1414</v>
      </c>
      <c r="I241" s="7" t="e">
        <f t="shared" si="0"/>
        <v>#VALUE!</v>
      </c>
      <c r="J241" s="40">
        <v>0.375</v>
      </c>
      <c r="K241" s="7" t="s">
        <v>16</v>
      </c>
      <c r="L241" s="7" t="s">
        <v>1410</v>
      </c>
      <c r="M241" s="7" t="s">
        <v>14</v>
      </c>
      <c r="N241" s="7" t="s">
        <v>14</v>
      </c>
    </row>
    <row r="242" spans="1:14" ht="13.2">
      <c r="A242" s="7">
        <v>425</v>
      </c>
      <c r="B242" s="7">
        <v>12524</v>
      </c>
      <c r="C242" s="7" t="s">
        <v>1219</v>
      </c>
      <c r="D242" s="7" t="s">
        <v>284</v>
      </c>
      <c r="E242" s="39">
        <v>42882</v>
      </c>
      <c r="F242" s="7" t="s">
        <v>1603</v>
      </c>
      <c r="G242" s="7" t="s">
        <v>1200</v>
      </c>
      <c r="H242" s="7" t="s">
        <v>1409</v>
      </c>
      <c r="I242" s="7" t="e">
        <f t="shared" si="0"/>
        <v>#VALUE!</v>
      </c>
      <c r="J242" s="40">
        <v>0.41666666666666669</v>
      </c>
      <c r="K242" s="7" t="s">
        <v>89</v>
      </c>
      <c r="L242" s="7" t="s">
        <v>114</v>
      </c>
      <c r="M242" s="7" t="s">
        <v>14</v>
      </c>
      <c r="N242" s="7" t="s">
        <v>14</v>
      </c>
    </row>
    <row r="243" spans="1:14" ht="13.2">
      <c r="A243" s="7">
        <v>438</v>
      </c>
      <c r="B243" s="7">
        <v>12148</v>
      </c>
      <c r="C243" s="7" t="s">
        <v>1228</v>
      </c>
      <c r="D243" s="7" t="s">
        <v>284</v>
      </c>
      <c r="E243" s="39">
        <v>42882</v>
      </c>
      <c r="F243" s="7" t="s">
        <v>1604</v>
      </c>
      <c r="G243" s="7" t="s">
        <v>1200</v>
      </c>
      <c r="H243" s="7" t="s">
        <v>1416</v>
      </c>
      <c r="I243" s="7" t="e">
        <f t="shared" si="0"/>
        <v>#VALUE!</v>
      </c>
      <c r="J243" s="40">
        <v>0.375</v>
      </c>
      <c r="K243" s="7" t="s">
        <v>134</v>
      </c>
      <c r="L243" s="7" t="s">
        <v>1605</v>
      </c>
      <c r="M243" s="7" t="s">
        <v>14</v>
      </c>
      <c r="N243" s="7" t="s">
        <v>14</v>
      </c>
    </row>
    <row r="244" spans="1:14" ht="13.2">
      <c r="A244" s="7">
        <v>445</v>
      </c>
      <c r="B244" s="7">
        <v>12070</v>
      </c>
      <c r="C244" s="7" t="s">
        <v>718</v>
      </c>
      <c r="D244" s="7" t="s">
        <v>284</v>
      </c>
      <c r="E244" s="39">
        <v>42882</v>
      </c>
      <c r="F244" s="7" t="s">
        <v>1606</v>
      </c>
      <c r="G244" s="7" t="s">
        <v>1200</v>
      </c>
      <c r="H244" s="7" t="s">
        <v>1412</v>
      </c>
      <c r="I244" s="7" t="e">
        <f t="shared" si="0"/>
        <v>#VALUE!</v>
      </c>
      <c r="J244" s="40">
        <v>0.375</v>
      </c>
      <c r="K244" s="7" t="s">
        <v>129</v>
      </c>
      <c r="L244" s="7" t="s">
        <v>101</v>
      </c>
      <c r="M244" s="7" t="s">
        <v>14</v>
      </c>
      <c r="N244" s="7" t="s">
        <v>14</v>
      </c>
    </row>
    <row r="245" spans="1:14" ht="13.2">
      <c r="A245" s="7">
        <v>473</v>
      </c>
      <c r="B245" s="7">
        <v>11602</v>
      </c>
      <c r="C245" s="7" t="s">
        <v>463</v>
      </c>
      <c r="D245" s="7" t="s">
        <v>284</v>
      </c>
      <c r="E245" s="39">
        <v>42882</v>
      </c>
      <c r="F245" s="7" t="s">
        <v>1607</v>
      </c>
      <c r="G245" s="7" t="s">
        <v>1200</v>
      </c>
      <c r="H245" s="7" t="s">
        <v>1418</v>
      </c>
      <c r="I245" s="7" t="e">
        <f t="shared" si="0"/>
        <v>#VALUE!</v>
      </c>
      <c r="J245" s="40">
        <v>0.54513888888888884</v>
      </c>
      <c r="K245" s="7" t="s">
        <v>180</v>
      </c>
      <c r="L245" s="7" t="s">
        <v>107</v>
      </c>
      <c r="M245" s="7" t="s">
        <v>14</v>
      </c>
      <c r="N245" s="7" t="s">
        <v>14</v>
      </c>
    </row>
    <row r="246" spans="1:14" ht="13.2">
      <c r="A246" s="7">
        <v>477</v>
      </c>
      <c r="B246" s="7">
        <v>11476</v>
      </c>
      <c r="C246" s="7" t="s">
        <v>1231</v>
      </c>
      <c r="D246" s="7" t="s">
        <v>284</v>
      </c>
      <c r="E246" s="39">
        <v>42882</v>
      </c>
      <c r="F246" s="7" t="s">
        <v>1608</v>
      </c>
      <c r="G246" s="7" t="s">
        <v>1200</v>
      </c>
      <c r="H246" s="7" t="s">
        <v>1335</v>
      </c>
      <c r="I246" s="7" t="e">
        <f t="shared" si="0"/>
        <v>#VALUE!</v>
      </c>
      <c r="J246" s="40">
        <v>0.38541666666666669</v>
      </c>
      <c r="K246" s="7" t="s">
        <v>16</v>
      </c>
      <c r="L246" s="7" t="s">
        <v>96</v>
      </c>
      <c r="M246" s="7" t="s">
        <v>14</v>
      </c>
      <c r="N246" s="7" t="s">
        <v>14</v>
      </c>
    </row>
    <row r="247" spans="1:14" ht="13.2">
      <c r="A247" s="7">
        <v>501</v>
      </c>
      <c r="B247" s="7">
        <v>11170</v>
      </c>
      <c r="C247" s="7" t="s">
        <v>1237</v>
      </c>
      <c r="D247" s="7" t="s">
        <v>284</v>
      </c>
      <c r="E247" s="39">
        <v>42882</v>
      </c>
      <c r="F247" s="7" t="s">
        <v>1609</v>
      </c>
      <c r="G247" s="7" t="s">
        <v>1200</v>
      </c>
      <c r="H247" s="7" t="s">
        <v>1420</v>
      </c>
      <c r="I247" s="7" t="e">
        <f t="shared" si="0"/>
        <v>#VALUE!</v>
      </c>
      <c r="J247" s="40">
        <v>0.59375</v>
      </c>
      <c r="K247" s="7" t="s">
        <v>89</v>
      </c>
      <c r="L247" s="7" t="s">
        <v>101</v>
      </c>
      <c r="M247" s="7" t="s">
        <v>14</v>
      </c>
      <c r="N247" s="7" t="s">
        <v>14</v>
      </c>
    </row>
    <row r="248" spans="1:14" ht="13.2">
      <c r="A248" s="7">
        <v>510</v>
      </c>
      <c r="B248" s="7">
        <v>7872</v>
      </c>
      <c r="C248" s="7" t="s">
        <v>1315</v>
      </c>
      <c r="D248" s="7" t="s">
        <v>284</v>
      </c>
      <c r="E248" s="39">
        <v>42882</v>
      </c>
      <c r="F248" s="7" t="s">
        <v>1610</v>
      </c>
      <c r="G248" s="7" t="s">
        <v>1200</v>
      </c>
      <c r="H248" s="7" t="s">
        <v>1317</v>
      </c>
      <c r="I248" s="7" t="e">
        <f t="shared" si="0"/>
        <v>#VALUE!</v>
      </c>
      <c r="J248" s="40">
        <v>0.71875</v>
      </c>
      <c r="K248" s="7" t="s">
        <v>180</v>
      </c>
      <c r="L248" s="7" t="s">
        <v>1214</v>
      </c>
      <c r="M248" s="7" t="s">
        <v>14</v>
      </c>
      <c r="N248" s="7" t="s">
        <v>14</v>
      </c>
    </row>
    <row r="249" spans="1:14" ht="13.2">
      <c r="A249" s="7">
        <v>529</v>
      </c>
      <c r="B249" s="7">
        <v>5281</v>
      </c>
      <c r="C249" s="7" t="s">
        <v>1320</v>
      </c>
      <c r="D249" s="7" t="s">
        <v>284</v>
      </c>
      <c r="E249" s="39">
        <v>42882</v>
      </c>
      <c r="F249" s="7" t="s">
        <v>1611</v>
      </c>
      <c r="G249" s="7" t="s">
        <v>1200</v>
      </c>
      <c r="H249" s="7" t="s">
        <v>1322</v>
      </c>
      <c r="I249" s="7" t="e">
        <f t="shared" si="0"/>
        <v>#VALUE!</v>
      </c>
      <c r="J249" s="40">
        <v>0.45833333333333331</v>
      </c>
      <c r="K249" s="7" t="s">
        <v>1345</v>
      </c>
      <c r="L249" s="7" t="s">
        <v>1612</v>
      </c>
      <c r="M249" s="7" t="s">
        <v>14</v>
      </c>
      <c r="N249" s="7" t="s">
        <v>14</v>
      </c>
    </row>
    <row r="250" spans="1:14" ht="13.2">
      <c r="A250" s="7">
        <v>353</v>
      </c>
      <c r="B250" s="7">
        <v>13781</v>
      </c>
      <c r="C250" s="7" t="s">
        <v>1323</v>
      </c>
      <c r="D250" s="7" t="s">
        <v>1324</v>
      </c>
      <c r="E250" s="39">
        <v>42886</v>
      </c>
      <c r="F250" s="7" t="s">
        <v>1613</v>
      </c>
      <c r="G250" s="7" t="s">
        <v>1200</v>
      </c>
      <c r="H250" s="7" t="s">
        <v>1350</v>
      </c>
      <c r="I250" s="7" t="e">
        <f t="shared" si="0"/>
        <v>#VALUE!</v>
      </c>
      <c r="J250" s="40">
        <v>0.84375</v>
      </c>
      <c r="K250" s="7" t="s">
        <v>180</v>
      </c>
      <c r="L250" s="7" t="s">
        <v>1319</v>
      </c>
      <c r="M250" s="7" t="s">
        <v>14</v>
      </c>
      <c r="N250" s="7" t="s">
        <v>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M483"/>
  <sheetViews>
    <sheetView workbookViewId="0"/>
  </sheetViews>
  <sheetFormatPr defaultColWidth="12.6640625" defaultRowHeight="15.75" customHeight="1"/>
  <cols>
    <col min="5" max="5" width="17.77734375" customWidth="1"/>
    <col min="8" max="8" width="24" customWidth="1"/>
  </cols>
  <sheetData>
    <row r="1" spans="1:13" ht="15.75" customHeight="1">
      <c r="A1" s="10" t="s">
        <v>0</v>
      </c>
      <c r="B1" s="10" t="s">
        <v>1</v>
      </c>
      <c r="C1" s="41" t="s">
        <v>2</v>
      </c>
      <c r="D1" s="42" t="s">
        <v>3</v>
      </c>
      <c r="E1" s="13" t="s">
        <v>4</v>
      </c>
      <c r="F1" s="43"/>
      <c r="G1" s="15" t="s">
        <v>5</v>
      </c>
      <c r="H1" s="15" t="s">
        <v>6</v>
      </c>
      <c r="I1" s="16" t="s">
        <v>7</v>
      </c>
      <c r="J1" s="13" t="s">
        <v>8</v>
      </c>
      <c r="K1" s="17" t="s">
        <v>9</v>
      </c>
      <c r="L1" s="17" t="s">
        <v>10</v>
      </c>
      <c r="M1" s="44" t="s">
        <v>11</v>
      </c>
    </row>
    <row r="2" spans="1:13" ht="15.75" customHeight="1">
      <c r="A2" s="7">
        <v>19051</v>
      </c>
      <c r="B2" s="7" t="s">
        <v>1614</v>
      </c>
      <c r="C2" s="7" t="s">
        <v>284</v>
      </c>
      <c r="D2" s="45">
        <v>43057</v>
      </c>
      <c r="E2" s="7" t="s">
        <v>1334</v>
      </c>
      <c r="F2" s="7" t="s">
        <v>1200</v>
      </c>
      <c r="G2" s="7" t="s">
        <v>1418</v>
      </c>
      <c r="H2" s="46" t="str">
        <f t="shared" ref="H2:H256" si="0">CONCATENATE(E2,F2,G2)</f>
        <v>ZKV (Zu) B1  -  Albatros B4</v>
      </c>
      <c r="I2" s="40">
        <v>0.45833333333333331</v>
      </c>
      <c r="J2" s="7" t="s">
        <v>501</v>
      </c>
      <c r="K2" s="7" t="s">
        <v>1615</v>
      </c>
      <c r="L2" s="7" t="s">
        <v>14</v>
      </c>
      <c r="M2" s="7" t="s">
        <v>14</v>
      </c>
    </row>
    <row r="3" spans="1:13" ht="15.75" customHeight="1">
      <c r="A3" s="7">
        <v>36732</v>
      </c>
      <c r="B3" s="7" t="s">
        <v>1616</v>
      </c>
      <c r="C3" s="7" t="s">
        <v>284</v>
      </c>
      <c r="D3" s="45">
        <v>43050</v>
      </c>
      <c r="E3" s="7" t="s">
        <v>1617</v>
      </c>
      <c r="F3" s="7" t="s">
        <v>1200</v>
      </c>
      <c r="G3" s="7" t="s">
        <v>1291</v>
      </c>
      <c r="H3" s="46" t="str">
        <f t="shared" si="0"/>
        <v>WION E1  -  Albatros E3</v>
      </c>
      <c r="I3" s="40">
        <v>0.41666666666666669</v>
      </c>
      <c r="J3" s="7" t="s">
        <v>1030</v>
      </c>
      <c r="K3" s="7" t="s">
        <v>1618</v>
      </c>
      <c r="L3" s="7" t="s">
        <v>14</v>
      </c>
      <c r="M3" s="7" t="s">
        <v>14</v>
      </c>
    </row>
    <row r="4" spans="1:13" ht="15.75" customHeight="1">
      <c r="A4" s="7">
        <v>16632</v>
      </c>
      <c r="B4" s="7" t="s">
        <v>1619</v>
      </c>
      <c r="C4" s="7" t="s">
        <v>284</v>
      </c>
      <c r="D4" s="47">
        <v>43169</v>
      </c>
      <c r="E4" s="7" t="s">
        <v>1620</v>
      </c>
      <c r="F4" s="7" t="s">
        <v>1200</v>
      </c>
      <c r="G4" s="7" t="s">
        <v>1317</v>
      </c>
      <c r="H4" s="46" t="str">
        <f t="shared" si="0"/>
        <v>Vriendenschaar (H) 3  -  Albatros 4</v>
      </c>
      <c r="I4" s="40">
        <v>0.77083333333333337</v>
      </c>
      <c r="J4" s="7" t="s">
        <v>678</v>
      </c>
      <c r="K4" s="7" t="s">
        <v>1615</v>
      </c>
      <c r="L4" s="7" t="s">
        <v>14</v>
      </c>
      <c r="M4" s="7" t="s">
        <v>14</v>
      </c>
    </row>
    <row r="5" spans="1:13" ht="15.75" customHeight="1">
      <c r="A5" s="7">
        <v>14476</v>
      </c>
      <c r="B5" s="7" t="s">
        <v>1621</v>
      </c>
      <c r="C5" s="7" t="s">
        <v>284</v>
      </c>
      <c r="D5" s="45">
        <v>43064</v>
      </c>
      <c r="E5" s="7" t="s">
        <v>1622</v>
      </c>
      <c r="F5" s="7" t="s">
        <v>1200</v>
      </c>
      <c r="G5" s="7" t="s">
        <v>1344</v>
      </c>
      <c r="H5" s="46" t="str">
        <f t="shared" si="0"/>
        <v>Vriendenschaar (H) 2  -  Albatros 2</v>
      </c>
      <c r="I5" s="40">
        <v>0.70138888888888884</v>
      </c>
      <c r="J5" s="7" t="s">
        <v>678</v>
      </c>
      <c r="K5" s="7" t="s">
        <v>1615</v>
      </c>
      <c r="L5" s="7" t="s">
        <v>14</v>
      </c>
      <c r="M5" s="7" t="s">
        <v>14</v>
      </c>
    </row>
    <row r="6" spans="1:13" ht="15.75" customHeight="1">
      <c r="A6" s="7">
        <v>12131</v>
      </c>
      <c r="B6" s="7" t="s">
        <v>1247</v>
      </c>
      <c r="C6" s="7" t="s">
        <v>284</v>
      </c>
      <c r="D6" s="45">
        <v>43064</v>
      </c>
      <c r="E6" s="7" t="s">
        <v>1623</v>
      </c>
      <c r="F6" s="7" t="s">
        <v>1200</v>
      </c>
      <c r="G6" s="7" t="s">
        <v>1348</v>
      </c>
      <c r="H6" s="46" t="str">
        <f t="shared" si="0"/>
        <v>Vriendenschaar (H) 1  -  Albatros 1</v>
      </c>
      <c r="I6" s="40">
        <v>0.64583333333333337</v>
      </c>
      <c r="J6" s="7" t="s">
        <v>678</v>
      </c>
      <c r="K6" s="7" t="s">
        <v>1615</v>
      </c>
      <c r="L6" s="7" t="s">
        <v>14</v>
      </c>
      <c r="M6" s="7" t="s">
        <v>14</v>
      </c>
    </row>
    <row r="7" spans="1:13" ht="15.75" customHeight="1">
      <c r="A7" s="7">
        <v>30746</v>
      </c>
      <c r="B7" s="7" t="s">
        <v>1624</v>
      </c>
      <c r="C7" s="7" t="s">
        <v>284</v>
      </c>
      <c r="D7" s="45">
        <v>43085</v>
      </c>
      <c r="E7" s="7" t="s">
        <v>1625</v>
      </c>
      <c r="F7" s="7" t="s">
        <v>1200</v>
      </c>
      <c r="G7" s="7" t="s">
        <v>1402</v>
      </c>
      <c r="H7" s="46" t="str">
        <f t="shared" si="0"/>
        <v>Vriendenschaar (H) F3  -  Albatros F5</v>
      </c>
      <c r="I7" s="40">
        <v>0.375</v>
      </c>
      <c r="J7" s="7" t="s">
        <v>678</v>
      </c>
      <c r="K7" s="7" t="s">
        <v>1615</v>
      </c>
      <c r="L7" s="7" t="s">
        <v>14</v>
      </c>
      <c r="M7" s="7" t="s">
        <v>14</v>
      </c>
    </row>
    <row r="8" spans="1:13" ht="15.75" customHeight="1">
      <c r="A8" s="7">
        <v>31453</v>
      </c>
      <c r="B8" s="7" t="s">
        <v>1626</v>
      </c>
      <c r="C8" s="7" t="s">
        <v>284</v>
      </c>
      <c r="D8" s="47">
        <v>43120</v>
      </c>
      <c r="E8" s="7" t="s">
        <v>1627</v>
      </c>
      <c r="F8" s="7" t="s">
        <v>1200</v>
      </c>
      <c r="G8" s="7" t="s">
        <v>1275</v>
      </c>
      <c r="H8" s="46" t="str">
        <f t="shared" si="0"/>
        <v>Vriendenschaar (H) F1  -  Albatros F1</v>
      </c>
      <c r="I8" s="40">
        <v>0.375</v>
      </c>
      <c r="J8" s="7" t="s">
        <v>678</v>
      </c>
      <c r="K8" s="7" t="s">
        <v>1615</v>
      </c>
      <c r="L8" s="7" t="s">
        <v>14</v>
      </c>
      <c r="M8" s="7" t="s">
        <v>14</v>
      </c>
    </row>
    <row r="9" spans="1:13" ht="15.75" customHeight="1">
      <c r="A9" s="7">
        <v>36699</v>
      </c>
      <c r="B9" s="7" t="s">
        <v>1628</v>
      </c>
      <c r="C9" s="7" t="s">
        <v>284</v>
      </c>
      <c r="D9" s="45">
        <v>43050</v>
      </c>
      <c r="E9" s="7" t="s">
        <v>1629</v>
      </c>
      <c r="F9" s="7" t="s">
        <v>1200</v>
      </c>
      <c r="G9" s="7" t="s">
        <v>1287</v>
      </c>
      <c r="H9" s="46" t="str">
        <f t="shared" si="0"/>
        <v>Vriendenschaar (H) E5  -  Albatros E6</v>
      </c>
      <c r="I9" s="40">
        <v>0.41666666666666669</v>
      </c>
      <c r="J9" s="7" t="s">
        <v>678</v>
      </c>
      <c r="K9" s="7" t="s">
        <v>1615</v>
      </c>
      <c r="L9" s="7" t="s">
        <v>14</v>
      </c>
      <c r="M9" s="7" t="s">
        <v>14</v>
      </c>
    </row>
    <row r="10" spans="1:13" ht="15.75" customHeight="1">
      <c r="A10" s="7">
        <v>35552</v>
      </c>
      <c r="B10" s="7" t="s">
        <v>1630</v>
      </c>
      <c r="C10" s="7" t="s">
        <v>284</v>
      </c>
      <c r="D10" s="47">
        <v>43113</v>
      </c>
      <c r="E10" s="7" t="s">
        <v>1458</v>
      </c>
      <c r="F10" s="7" t="s">
        <v>1200</v>
      </c>
      <c r="G10" s="7" t="s">
        <v>1412</v>
      </c>
      <c r="H10" s="46" t="str">
        <f t="shared" si="0"/>
        <v>Vriendenschaar (H) E3  -  Albatros E2</v>
      </c>
      <c r="I10" s="40">
        <v>0.375</v>
      </c>
      <c r="J10" s="7" t="s">
        <v>1631</v>
      </c>
      <c r="K10" s="7" t="s">
        <v>1615</v>
      </c>
      <c r="L10" s="7" t="s">
        <v>14</v>
      </c>
      <c r="M10" s="7" t="s">
        <v>14</v>
      </c>
    </row>
    <row r="11" spans="1:13" ht="15.75" customHeight="1">
      <c r="A11" s="7">
        <v>35542</v>
      </c>
      <c r="B11" s="7" t="s">
        <v>1632</v>
      </c>
      <c r="C11" s="7" t="s">
        <v>284</v>
      </c>
      <c r="D11" s="47">
        <v>43113</v>
      </c>
      <c r="E11" s="7" t="s">
        <v>1459</v>
      </c>
      <c r="F11" s="7" t="s">
        <v>1200</v>
      </c>
      <c r="G11" s="7" t="s">
        <v>1294</v>
      </c>
      <c r="H11" s="46" t="str">
        <f t="shared" si="0"/>
        <v>Vriendenschaar (H) E2  -  Albatros E4</v>
      </c>
      <c r="I11" s="40">
        <v>0.375</v>
      </c>
      <c r="J11" s="7" t="s">
        <v>678</v>
      </c>
      <c r="K11" s="7" t="s">
        <v>1618</v>
      </c>
      <c r="L11" s="7" t="s">
        <v>14</v>
      </c>
      <c r="M11" s="7" t="s">
        <v>14</v>
      </c>
    </row>
    <row r="12" spans="1:13" ht="15.75" customHeight="1">
      <c r="A12" s="7">
        <v>27561</v>
      </c>
      <c r="B12" s="7" t="s">
        <v>1633</v>
      </c>
      <c r="C12" s="7" t="s">
        <v>284</v>
      </c>
      <c r="D12" s="45">
        <v>43085</v>
      </c>
      <c r="E12" s="7" t="s">
        <v>1634</v>
      </c>
      <c r="F12" s="7" t="s">
        <v>1200</v>
      </c>
      <c r="G12" s="7" t="s">
        <v>1280</v>
      </c>
      <c r="H12" s="46" t="str">
        <f t="shared" si="0"/>
        <v>Vriendenschaar (H) D3  -  Albatros D3</v>
      </c>
      <c r="I12" s="40">
        <v>0.375</v>
      </c>
      <c r="J12" s="7" t="s">
        <v>1631</v>
      </c>
      <c r="K12" s="7" t="s">
        <v>1615</v>
      </c>
      <c r="L12" s="7" t="s">
        <v>14</v>
      </c>
      <c r="M12" s="7" t="s">
        <v>14</v>
      </c>
    </row>
    <row r="13" spans="1:13" ht="15.75" customHeight="1">
      <c r="A13" s="7">
        <v>21723</v>
      </c>
      <c r="B13" s="7" t="s">
        <v>1635</v>
      </c>
      <c r="C13" s="7" t="s">
        <v>284</v>
      </c>
      <c r="D13" s="45">
        <v>43085</v>
      </c>
      <c r="E13" s="7" t="s">
        <v>1636</v>
      </c>
      <c r="F13" s="7" t="s">
        <v>1200</v>
      </c>
      <c r="G13" s="7" t="s">
        <v>1255</v>
      </c>
      <c r="H13" s="46" t="str">
        <f t="shared" si="0"/>
        <v>Vriendenschaar (H) D1  -  Albatros D1</v>
      </c>
      <c r="I13" s="40">
        <v>0.625</v>
      </c>
      <c r="J13" s="7" t="s">
        <v>678</v>
      </c>
      <c r="K13" s="7" t="s">
        <v>1615</v>
      </c>
      <c r="L13" s="7" t="s">
        <v>14</v>
      </c>
      <c r="M13" s="7" t="s">
        <v>14</v>
      </c>
    </row>
    <row r="14" spans="1:13" ht="15.75" customHeight="1">
      <c r="A14" s="7">
        <v>26405</v>
      </c>
      <c r="B14" s="7" t="s">
        <v>1637</v>
      </c>
      <c r="C14" s="7" t="s">
        <v>284</v>
      </c>
      <c r="D14" s="47">
        <v>43169</v>
      </c>
      <c r="E14" s="7" t="s">
        <v>1638</v>
      </c>
      <c r="F14" s="7" t="s">
        <v>1200</v>
      </c>
      <c r="G14" s="7" t="s">
        <v>1277</v>
      </c>
      <c r="H14" s="46" t="str">
        <f t="shared" si="0"/>
        <v>Vriendenschaar (B) D2  -  Albatros D4</v>
      </c>
      <c r="I14" s="40">
        <v>0.39583333333333331</v>
      </c>
      <c r="J14" s="7" t="s">
        <v>352</v>
      </c>
      <c r="K14" s="7" t="s">
        <v>1615</v>
      </c>
      <c r="L14" s="7" t="s">
        <v>14</v>
      </c>
      <c r="M14" s="7" t="s">
        <v>14</v>
      </c>
    </row>
    <row r="15" spans="1:13" ht="15.75" customHeight="1">
      <c r="A15" s="7">
        <v>30707</v>
      </c>
      <c r="B15" s="7" t="s">
        <v>1626</v>
      </c>
      <c r="C15" s="7" t="s">
        <v>284</v>
      </c>
      <c r="D15" s="47">
        <v>43078</v>
      </c>
      <c r="E15" s="7" t="s">
        <v>1639</v>
      </c>
      <c r="F15" s="7" t="s">
        <v>1200</v>
      </c>
      <c r="G15" s="7" t="s">
        <v>1275</v>
      </c>
      <c r="H15" s="46" t="str">
        <f t="shared" si="0"/>
        <v>Voltreffers F1  -  Albatros F1</v>
      </c>
      <c r="I15" s="40">
        <v>0.46527777777777779</v>
      </c>
      <c r="J15" s="7" t="s">
        <v>651</v>
      </c>
      <c r="K15" s="7" t="s">
        <v>1618</v>
      </c>
      <c r="L15" s="7" t="s">
        <v>14</v>
      </c>
      <c r="M15" s="7" t="s">
        <v>14</v>
      </c>
    </row>
    <row r="16" spans="1:13" ht="15.75" customHeight="1">
      <c r="A16" s="7">
        <v>16831</v>
      </c>
      <c r="B16" s="7" t="s">
        <v>1619</v>
      </c>
      <c r="C16" s="7" t="s">
        <v>284</v>
      </c>
      <c r="D16" s="45">
        <v>43085</v>
      </c>
      <c r="E16" s="7" t="s">
        <v>1640</v>
      </c>
      <c r="F16" s="7" t="s">
        <v>1200</v>
      </c>
      <c r="G16" s="7" t="s">
        <v>1317</v>
      </c>
      <c r="H16" s="46" t="str">
        <f t="shared" si="0"/>
        <v>Vitesse (Ba) 3  -  Albatros 4</v>
      </c>
      <c r="I16" s="40">
        <v>0.85416666666666663</v>
      </c>
      <c r="J16" s="7" t="s">
        <v>459</v>
      </c>
      <c r="K16" s="7" t="s">
        <v>1615</v>
      </c>
      <c r="L16" s="7" t="s">
        <v>14</v>
      </c>
      <c r="M16" s="7" t="s">
        <v>14</v>
      </c>
    </row>
    <row r="17" spans="1:13" ht="15.75" customHeight="1">
      <c r="A17" s="7">
        <v>38091</v>
      </c>
      <c r="B17" s="7" t="s">
        <v>1641</v>
      </c>
      <c r="C17" s="7" t="s">
        <v>284</v>
      </c>
      <c r="D17" s="45">
        <v>43057</v>
      </c>
      <c r="E17" s="7" t="s">
        <v>1642</v>
      </c>
      <c r="F17" s="7" t="s">
        <v>1200</v>
      </c>
      <c r="G17" s="7" t="s">
        <v>1451</v>
      </c>
      <c r="H17" s="46" t="str">
        <f t="shared" si="0"/>
        <v>Vitesse (Ba) G1  -  Albatros G1</v>
      </c>
      <c r="I17" s="40">
        <v>0.60416666666666663</v>
      </c>
      <c r="J17" s="7" t="s">
        <v>530</v>
      </c>
      <c r="K17" s="7" t="s">
        <v>1615</v>
      </c>
      <c r="L17" s="7" t="s">
        <v>14</v>
      </c>
      <c r="M17" s="7" t="s">
        <v>14</v>
      </c>
    </row>
    <row r="18" spans="1:13" ht="15.75" customHeight="1">
      <c r="A18" s="7">
        <v>35901</v>
      </c>
      <c r="B18" s="7" t="s">
        <v>1643</v>
      </c>
      <c r="C18" s="7" t="s">
        <v>284</v>
      </c>
      <c r="D18" s="47">
        <v>43148</v>
      </c>
      <c r="E18" s="7" t="s">
        <v>1644</v>
      </c>
      <c r="F18" s="7" t="s">
        <v>1200</v>
      </c>
      <c r="G18" s="7" t="s">
        <v>1416</v>
      </c>
      <c r="H18" s="46" t="str">
        <f t="shared" si="0"/>
        <v>Vitesse (Ba) E3  -  Albatros E1</v>
      </c>
      <c r="I18" s="40">
        <v>0.375</v>
      </c>
      <c r="J18" s="7" t="s">
        <v>459</v>
      </c>
      <c r="K18" s="7" t="s">
        <v>1615</v>
      </c>
      <c r="L18" s="7" t="s">
        <v>14</v>
      </c>
      <c r="M18" s="7" t="s">
        <v>14</v>
      </c>
    </row>
    <row r="19" spans="1:13" ht="15.75" customHeight="1">
      <c r="A19" s="7">
        <v>21749</v>
      </c>
      <c r="B19" s="7" t="s">
        <v>1635</v>
      </c>
      <c r="C19" s="7" t="s">
        <v>284</v>
      </c>
      <c r="D19" s="45">
        <v>43057</v>
      </c>
      <c r="E19" s="7" t="s">
        <v>1254</v>
      </c>
      <c r="F19" s="7" t="s">
        <v>1200</v>
      </c>
      <c r="G19" s="7" t="s">
        <v>1255</v>
      </c>
      <c r="H19" s="46" t="str">
        <f t="shared" si="0"/>
        <v>Vitesse (Ba) D1  -  Albatros D1</v>
      </c>
      <c r="I19" s="40">
        <v>0.45833333333333331</v>
      </c>
      <c r="J19" s="7" t="s">
        <v>459</v>
      </c>
      <c r="K19" s="7" t="s">
        <v>1615</v>
      </c>
      <c r="L19" s="7" t="s">
        <v>14</v>
      </c>
      <c r="M19" s="7" t="s">
        <v>14</v>
      </c>
    </row>
    <row r="20" spans="1:13" ht="15.75" customHeight="1">
      <c r="A20" s="7">
        <v>24474</v>
      </c>
      <c r="B20" s="7" t="s">
        <v>1645</v>
      </c>
      <c r="C20" s="7" t="s">
        <v>284</v>
      </c>
      <c r="D20" s="47">
        <v>43071</v>
      </c>
      <c r="E20" s="7" t="s">
        <v>1646</v>
      </c>
      <c r="F20" s="7" t="s">
        <v>1200</v>
      </c>
      <c r="G20" s="7" t="s">
        <v>1302</v>
      </c>
      <c r="H20" s="46" t="str">
        <f t="shared" si="0"/>
        <v>Vitesse (Ba) C3  -  Albatros C3</v>
      </c>
      <c r="I20" s="40">
        <v>0.54166666666666663</v>
      </c>
      <c r="J20" s="7" t="s">
        <v>459</v>
      </c>
      <c r="K20" s="7" t="s">
        <v>1615</v>
      </c>
      <c r="L20" s="7" t="s">
        <v>14</v>
      </c>
      <c r="M20" s="7" t="s">
        <v>14</v>
      </c>
    </row>
    <row r="21" spans="1:13" ht="15.75" customHeight="1">
      <c r="A21" s="7">
        <v>25232</v>
      </c>
      <c r="B21" s="7" t="s">
        <v>1647</v>
      </c>
      <c r="C21" s="7" t="s">
        <v>284</v>
      </c>
      <c r="D21" s="47">
        <v>43134</v>
      </c>
      <c r="E21" s="7" t="s">
        <v>1648</v>
      </c>
      <c r="F21" s="7" t="s">
        <v>1200</v>
      </c>
      <c r="G21" s="7" t="s">
        <v>1305</v>
      </c>
      <c r="H21" s="46" t="str">
        <f t="shared" si="0"/>
        <v>Vitesse (Ba) C2  -  Albatros C2</v>
      </c>
      <c r="I21" s="40">
        <v>0.45833333333333331</v>
      </c>
      <c r="J21" s="7" t="s">
        <v>459</v>
      </c>
      <c r="K21" s="7" t="s">
        <v>1615</v>
      </c>
      <c r="L21" s="7" t="s">
        <v>14</v>
      </c>
      <c r="M21" s="7" t="s">
        <v>14</v>
      </c>
    </row>
    <row r="22" spans="1:13" ht="15.75" customHeight="1">
      <c r="A22" s="7">
        <v>21059</v>
      </c>
      <c r="B22" s="7" t="s">
        <v>1649</v>
      </c>
      <c r="C22" s="7" t="s">
        <v>284</v>
      </c>
      <c r="D22" s="47">
        <v>43148</v>
      </c>
      <c r="E22" s="7" t="s">
        <v>1650</v>
      </c>
      <c r="F22" s="7" t="s">
        <v>1200</v>
      </c>
      <c r="G22" s="7" t="s">
        <v>1252</v>
      </c>
      <c r="H22" s="46" t="str">
        <f t="shared" si="0"/>
        <v>Vitesse (Ba) C1  -  Albatros C1</v>
      </c>
      <c r="I22" s="40">
        <v>0.5</v>
      </c>
      <c r="J22" s="7" t="s">
        <v>459</v>
      </c>
      <c r="K22" s="7" t="s">
        <v>1615</v>
      </c>
      <c r="L22" s="7" t="s">
        <v>14</v>
      </c>
      <c r="M22" s="7" t="s">
        <v>14</v>
      </c>
    </row>
    <row r="23" spans="1:13" ht="15.75" customHeight="1">
      <c r="A23" s="7">
        <v>20080</v>
      </c>
      <c r="B23" s="7" t="s">
        <v>1651</v>
      </c>
      <c r="C23" s="7" t="s">
        <v>284</v>
      </c>
      <c r="D23" s="45">
        <v>43064</v>
      </c>
      <c r="E23" s="7" t="s">
        <v>1652</v>
      </c>
      <c r="F23" s="7" t="s">
        <v>1200</v>
      </c>
      <c r="G23" s="7" t="s">
        <v>1258</v>
      </c>
      <c r="H23" s="46" t="str">
        <f t="shared" si="0"/>
        <v>Vitesse (Ba) B1  -  Albatros B1</v>
      </c>
      <c r="I23" s="40">
        <v>0.54166666666666663</v>
      </c>
      <c r="J23" s="7" t="s">
        <v>459</v>
      </c>
      <c r="K23" s="7" t="s">
        <v>1615</v>
      </c>
      <c r="L23" s="7" t="s">
        <v>14</v>
      </c>
      <c r="M23" s="7" t="s">
        <v>14</v>
      </c>
    </row>
    <row r="24" spans="1:13" ht="15.75" customHeight="1">
      <c r="A24" s="7">
        <v>21340</v>
      </c>
      <c r="B24" s="7" t="s">
        <v>1653</v>
      </c>
      <c r="C24" s="7" t="s">
        <v>284</v>
      </c>
      <c r="D24" s="45">
        <v>43085</v>
      </c>
      <c r="E24" s="7" t="s">
        <v>1654</v>
      </c>
      <c r="F24" s="7" t="s">
        <v>1200</v>
      </c>
      <c r="G24" s="7" t="s">
        <v>1261</v>
      </c>
      <c r="H24" s="46" t="str">
        <f t="shared" si="0"/>
        <v>VIOS (W) 3  -  Albatros 8</v>
      </c>
      <c r="I24" s="40">
        <v>0.6875</v>
      </c>
      <c r="J24" s="7" t="s">
        <v>451</v>
      </c>
      <c r="K24" s="7" t="s">
        <v>1615</v>
      </c>
      <c r="L24" s="7" t="s">
        <v>14</v>
      </c>
      <c r="M24" s="7" t="s">
        <v>14</v>
      </c>
    </row>
    <row r="25" spans="1:13" ht="15.75" customHeight="1">
      <c r="A25" s="7">
        <v>37509</v>
      </c>
      <c r="B25" s="7" t="s">
        <v>1655</v>
      </c>
      <c r="C25" s="7" t="s">
        <v>284</v>
      </c>
      <c r="D25" s="47">
        <v>43120</v>
      </c>
      <c r="E25" s="7" t="s">
        <v>1656</v>
      </c>
      <c r="F25" s="7" t="s">
        <v>1200</v>
      </c>
      <c r="G25" s="7" t="s">
        <v>1308</v>
      </c>
      <c r="H25" s="46" t="str">
        <f t="shared" si="0"/>
        <v>VIOS (W) B1  -  Albatros B3</v>
      </c>
      <c r="I25" s="40">
        <v>0.6875</v>
      </c>
      <c r="J25" s="7" t="s">
        <v>451</v>
      </c>
      <c r="K25" s="7" t="s">
        <v>1615</v>
      </c>
      <c r="L25" s="7" t="s">
        <v>14</v>
      </c>
      <c r="M25" s="7" t="s">
        <v>14</v>
      </c>
    </row>
    <row r="26" spans="1:13" ht="15.75" customHeight="1">
      <c r="A26" s="7">
        <v>38520</v>
      </c>
      <c r="B26" s="7" t="s">
        <v>1653</v>
      </c>
      <c r="C26" s="7" t="s">
        <v>284</v>
      </c>
      <c r="D26" s="47">
        <v>43106</v>
      </c>
      <c r="E26" s="7" t="s">
        <v>1657</v>
      </c>
      <c r="F26" s="7" t="s">
        <v>1200</v>
      </c>
      <c r="G26" s="7" t="s">
        <v>1261</v>
      </c>
      <c r="H26" s="46" t="str">
        <f t="shared" si="0"/>
        <v>VEO 6  -  Albatros 8</v>
      </c>
      <c r="I26" s="40">
        <v>0.77083333333333337</v>
      </c>
      <c r="J26" s="7" t="s">
        <v>1658</v>
      </c>
      <c r="K26" s="7" t="s">
        <v>1615</v>
      </c>
      <c r="L26" s="7" t="s">
        <v>14</v>
      </c>
      <c r="M26" s="7" t="s">
        <v>14</v>
      </c>
    </row>
    <row r="27" spans="1:13" ht="15.75" customHeight="1">
      <c r="A27" s="7">
        <v>14805</v>
      </c>
      <c r="B27" s="7" t="s">
        <v>1621</v>
      </c>
      <c r="C27" s="7" t="s">
        <v>284</v>
      </c>
      <c r="D27" s="47">
        <v>43113</v>
      </c>
      <c r="E27" s="7" t="s">
        <v>1659</v>
      </c>
      <c r="F27" s="7" t="s">
        <v>1200</v>
      </c>
      <c r="G27" s="7" t="s">
        <v>1344</v>
      </c>
      <c r="H27" s="46" t="str">
        <f t="shared" si="0"/>
        <v>VEO 2  -  Albatros 2</v>
      </c>
      <c r="I27" s="40">
        <v>0.69444444444444442</v>
      </c>
      <c r="J27" s="7" t="s">
        <v>1658</v>
      </c>
      <c r="K27" s="7" t="s">
        <v>1615</v>
      </c>
      <c r="L27" s="7" t="s">
        <v>14</v>
      </c>
      <c r="M27" s="7" t="s">
        <v>14</v>
      </c>
    </row>
    <row r="28" spans="1:13" ht="16.2">
      <c r="A28" s="7">
        <v>12382</v>
      </c>
      <c r="B28" s="7" t="s">
        <v>1247</v>
      </c>
      <c r="C28" s="7" t="s">
        <v>284</v>
      </c>
      <c r="D28" s="47">
        <v>43113</v>
      </c>
      <c r="E28" s="7" t="s">
        <v>1660</v>
      </c>
      <c r="F28" s="7" t="s">
        <v>1200</v>
      </c>
      <c r="G28" s="7" t="s">
        <v>1348</v>
      </c>
      <c r="H28" s="46" t="str">
        <f t="shared" si="0"/>
        <v>VEO 1  -  Albatros 1</v>
      </c>
      <c r="I28" s="40">
        <v>0.75</v>
      </c>
      <c r="J28" s="7" t="s">
        <v>1658</v>
      </c>
      <c r="K28" s="7" t="s">
        <v>1615</v>
      </c>
      <c r="L28" s="7" t="s">
        <v>14</v>
      </c>
      <c r="M28" s="7" t="s">
        <v>14</v>
      </c>
    </row>
    <row r="29" spans="1:13" ht="16.2">
      <c r="A29" s="7">
        <v>20548</v>
      </c>
      <c r="B29" s="7" t="s">
        <v>1661</v>
      </c>
      <c r="C29" s="7" t="s">
        <v>284</v>
      </c>
      <c r="D29" s="45">
        <v>43057</v>
      </c>
      <c r="E29" s="7" t="s">
        <v>1662</v>
      </c>
      <c r="F29" s="7" t="s">
        <v>1200</v>
      </c>
      <c r="G29" s="7" t="s">
        <v>1263</v>
      </c>
      <c r="H29" s="46" t="str">
        <f t="shared" si="0"/>
        <v>Ventura Sport 3  -  Albatros 5</v>
      </c>
      <c r="I29" s="40">
        <v>0.63541666666666663</v>
      </c>
      <c r="J29" s="7" t="s">
        <v>381</v>
      </c>
      <c r="K29" s="7" t="s">
        <v>1615</v>
      </c>
      <c r="L29" s="7" t="s">
        <v>14</v>
      </c>
      <c r="M29" s="7" t="s">
        <v>14</v>
      </c>
    </row>
    <row r="30" spans="1:13" ht="16.2">
      <c r="A30" s="7">
        <v>31002</v>
      </c>
      <c r="B30" s="7" t="s">
        <v>1624</v>
      </c>
      <c r="C30" s="7" t="s">
        <v>284</v>
      </c>
      <c r="D30" s="47">
        <v>43071</v>
      </c>
      <c r="E30" s="7" t="s">
        <v>1663</v>
      </c>
      <c r="F30" s="7" t="s">
        <v>1200</v>
      </c>
      <c r="G30" s="7" t="s">
        <v>1402</v>
      </c>
      <c r="H30" s="46" t="str">
        <f t="shared" si="0"/>
        <v>Ventura Sport F2  -  Albatros F5</v>
      </c>
      <c r="I30" s="40">
        <v>0.45833333333333331</v>
      </c>
      <c r="J30" s="7" t="s">
        <v>381</v>
      </c>
      <c r="K30" s="7" t="s">
        <v>1615</v>
      </c>
      <c r="L30" s="7" t="s">
        <v>14</v>
      </c>
      <c r="M30" s="7" t="s">
        <v>14</v>
      </c>
    </row>
    <row r="31" spans="1:13" ht="16.2">
      <c r="A31" s="7">
        <v>17284</v>
      </c>
      <c r="B31" s="7" t="s">
        <v>1664</v>
      </c>
      <c r="C31" s="7" t="s">
        <v>284</v>
      </c>
      <c r="D31" s="47">
        <v>43155</v>
      </c>
      <c r="E31" s="7" t="s">
        <v>1665</v>
      </c>
      <c r="F31" s="7" t="s">
        <v>1200</v>
      </c>
      <c r="G31" s="7" t="s">
        <v>1314</v>
      </c>
      <c r="H31" s="46" t="str">
        <f t="shared" si="0"/>
        <v>Ventura Sport A3  -  Albatros A4</v>
      </c>
      <c r="I31" s="40">
        <v>0.57638888888888884</v>
      </c>
      <c r="J31" s="7" t="s">
        <v>381</v>
      </c>
      <c r="K31" s="7" t="s">
        <v>1615</v>
      </c>
      <c r="L31" s="7" t="s">
        <v>14</v>
      </c>
      <c r="M31" s="7" t="s">
        <v>14</v>
      </c>
    </row>
    <row r="32" spans="1:13" ht="16.2">
      <c r="A32" s="7">
        <v>38084</v>
      </c>
      <c r="B32" s="7" t="s">
        <v>1641</v>
      </c>
      <c r="C32" s="7" t="s">
        <v>284</v>
      </c>
      <c r="D32" s="47">
        <v>43141</v>
      </c>
      <c r="E32" s="7" t="s">
        <v>1597</v>
      </c>
      <c r="F32" s="7" t="s">
        <v>1200</v>
      </c>
      <c r="G32" s="7" t="s">
        <v>1451</v>
      </c>
      <c r="H32" s="46" t="str">
        <f t="shared" si="0"/>
        <v>Velocitas G1  -  Albatros G1</v>
      </c>
      <c r="I32" s="40">
        <v>0.52083333333333337</v>
      </c>
      <c r="J32" s="7" t="s">
        <v>1666</v>
      </c>
      <c r="K32" s="7" t="s">
        <v>1667</v>
      </c>
      <c r="L32" s="7" t="s">
        <v>14</v>
      </c>
      <c r="M32" s="7" t="s">
        <v>14</v>
      </c>
    </row>
    <row r="33" spans="1:13" ht="16.2">
      <c r="A33" s="7">
        <v>14649</v>
      </c>
      <c r="B33" s="7" t="s">
        <v>1621</v>
      </c>
      <c r="C33" s="7" t="s">
        <v>284</v>
      </c>
      <c r="D33" s="47">
        <v>43106</v>
      </c>
      <c r="E33" s="7" t="s">
        <v>1469</v>
      </c>
      <c r="F33" s="7" t="s">
        <v>1200</v>
      </c>
      <c r="G33" s="7" t="s">
        <v>1344</v>
      </c>
      <c r="H33" s="46" t="str">
        <f t="shared" si="0"/>
        <v>Valto 2  -  Albatros 2</v>
      </c>
      <c r="I33" s="40">
        <v>0.63541666666666663</v>
      </c>
      <c r="J33" s="7" t="s">
        <v>1668</v>
      </c>
      <c r="K33" s="7" t="s">
        <v>1669</v>
      </c>
      <c r="L33" s="7" t="s">
        <v>14</v>
      </c>
      <c r="M33" s="7" t="s">
        <v>14</v>
      </c>
    </row>
    <row r="34" spans="1:13" ht="16.2">
      <c r="A34" s="7">
        <v>12260</v>
      </c>
      <c r="B34" s="7" t="s">
        <v>1247</v>
      </c>
      <c r="C34" s="7" t="s">
        <v>284</v>
      </c>
      <c r="D34" s="47">
        <v>43106</v>
      </c>
      <c r="E34" s="7" t="s">
        <v>1471</v>
      </c>
      <c r="F34" s="7" t="s">
        <v>1200</v>
      </c>
      <c r="G34" s="7" t="s">
        <v>1348</v>
      </c>
      <c r="H34" s="46" t="str">
        <f t="shared" si="0"/>
        <v>Valto 1  -  Albatros 1</v>
      </c>
      <c r="I34" s="40">
        <v>0.69444444444444442</v>
      </c>
      <c r="J34" s="7" t="s">
        <v>1668</v>
      </c>
      <c r="K34" s="7" t="s">
        <v>1669</v>
      </c>
      <c r="L34" s="7" t="s">
        <v>14</v>
      </c>
      <c r="M34" s="7" t="s">
        <v>14</v>
      </c>
    </row>
    <row r="35" spans="1:13" ht="16.2">
      <c r="A35" s="7">
        <v>18305</v>
      </c>
      <c r="B35" s="7" t="s">
        <v>1670</v>
      </c>
      <c r="C35" s="7" t="s">
        <v>284</v>
      </c>
      <c r="D35" s="47">
        <v>43106</v>
      </c>
      <c r="E35" s="7" t="s">
        <v>1671</v>
      </c>
      <c r="F35" s="7" t="s">
        <v>1200</v>
      </c>
      <c r="G35" s="7" t="s">
        <v>1339</v>
      </c>
      <c r="H35" s="46" t="str">
        <f t="shared" si="0"/>
        <v>Valto A1  -  Albatros A1</v>
      </c>
      <c r="I35" s="40">
        <v>0.54861111111111116</v>
      </c>
      <c r="J35" s="7" t="s">
        <v>1668</v>
      </c>
      <c r="K35" s="7" t="s">
        <v>1669</v>
      </c>
      <c r="L35" s="7" t="s">
        <v>14</v>
      </c>
      <c r="M35" s="7" t="s">
        <v>14</v>
      </c>
    </row>
    <row r="36" spans="1:13" ht="16.2">
      <c r="A36" s="7">
        <v>15818</v>
      </c>
      <c r="B36" s="7" t="s">
        <v>1619</v>
      </c>
      <c r="C36" s="7" t="s">
        <v>284</v>
      </c>
      <c r="D36" s="45">
        <v>43050</v>
      </c>
      <c r="E36" s="7" t="s">
        <v>1672</v>
      </c>
      <c r="F36" s="7" t="s">
        <v>1200</v>
      </c>
      <c r="G36" s="7" t="s">
        <v>1317</v>
      </c>
      <c r="H36" s="46" t="str">
        <f t="shared" si="0"/>
        <v>Twist 4  -  Albatros 4</v>
      </c>
      <c r="I36" s="40">
        <v>0.57291666666666663</v>
      </c>
      <c r="J36" s="7" t="s">
        <v>973</v>
      </c>
      <c r="K36" s="7" t="s">
        <v>1673</v>
      </c>
      <c r="L36" s="7" t="s">
        <v>14</v>
      </c>
      <c r="M36" s="7" t="s">
        <v>14</v>
      </c>
    </row>
    <row r="37" spans="1:13" ht="16.2">
      <c r="A37" s="7">
        <v>34848</v>
      </c>
      <c r="B37" s="7" t="s">
        <v>1674</v>
      </c>
      <c r="C37" s="7" t="s">
        <v>284</v>
      </c>
      <c r="D37" s="47">
        <v>43127</v>
      </c>
      <c r="E37" s="7" t="s">
        <v>1675</v>
      </c>
      <c r="F37" s="7" t="s">
        <v>1200</v>
      </c>
      <c r="G37" s="7" t="s">
        <v>1298</v>
      </c>
      <c r="H37" s="46" t="str">
        <f t="shared" si="0"/>
        <v>Twist E3  -  Albatros E5</v>
      </c>
      <c r="I37" s="40">
        <v>0.42708333333333331</v>
      </c>
      <c r="J37" s="7" t="s">
        <v>973</v>
      </c>
      <c r="K37" s="7" t="s">
        <v>1673</v>
      </c>
      <c r="L37" s="7" t="s">
        <v>14</v>
      </c>
      <c r="M37" s="7" t="s">
        <v>14</v>
      </c>
    </row>
    <row r="38" spans="1:13" ht="16.2">
      <c r="A38" s="7">
        <v>16256</v>
      </c>
      <c r="B38" s="7" t="s">
        <v>1676</v>
      </c>
      <c r="C38" s="7" t="s">
        <v>284</v>
      </c>
      <c r="D38" s="47">
        <v>43120</v>
      </c>
      <c r="E38" s="7" t="s">
        <v>1677</v>
      </c>
      <c r="F38" s="7" t="s">
        <v>1200</v>
      </c>
      <c r="G38" s="7" t="s">
        <v>1420</v>
      </c>
      <c r="H38" s="46" t="str">
        <f t="shared" si="0"/>
        <v>Twist A2  -  Albatros A3</v>
      </c>
      <c r="I38" s="40">
        <v>0.51388888888888884</v>
      </c>
      <c r="J38" s="7" t="s">
        <v>973</v>
      </c>
      <c r="K38" s="7" t="s">
        <v>1673</v>
      </c>
      <c r="L38" s="7" t="s">
        <v>14</v>
      </c>
      <c r="M38" s="7" t="s">
        <v>14</v>
      </c>
    </row>
    <row r="39" spans="1:13" ht="16.2">
      <c r="A39" s="7">
        <v>19519</v>
      </c>
      <c r="B39" s="7" t="s">
        <v>1113</v>
      </c>
      <c r="C39" s="7" t="s">
        <v>284</v>
      </c>
      <c r="D39" s="47">
        <v>43113</v>
      </c>
      <c r="E39" s="7" t="s">
        <v>1678</v>
      </c>
      <c r="F39" s="7" t="s">
        <v>1200</v>
      </c>
      <c r="G39" s="7" t="s">
        <v>1341</v>
      </c>
      <c r="H39" s="46" t="str">
        <f t="shared" si="0"/>
        <v>Twist A1  -  Albatros A2</v>
      </c>
      <c r="I39" s="40">
        <v>0.65277777777777779</v>
      </c>
      <c r="J39" s="7" t="s">
        <v>973</v>
      </c>
      <c r="K39" s="7" t="s">
        <v>1673</v>
      </c>
      <c r="L39" s="7" t="s">
        <v>14</v>
      </c>
      <c r="M39" s="7" t="s">
        <v>14</v>
      </c>
    </row>
    <row r="40" spans="1:13" ht="16.2">
      <c r="A40" s="7">
        <v>21552</v>
      </c>
      <c r="B40" s="7" t="s">
        <v>1679</v>
      </c>
      <c r="C40" s="7" t="s">
        <v>284</v>
      </c>
      <c r="D40" s="45">
        <v>43057</v>
      </c>
      <c r="E40" s="7" t="s">
        <v>1680</v>
      </c>
      <c r="F40" s="7" t="s">
        <v>1200</v>
      </c>
      <c r="G40" s="7" t="s">
        <v>1395</v>
      </c>
      <c r="H40" s="46" t="str">
        <f t="shared" si="0"/>
        <v>Triade 4  -  Albatros 6</v>
      </c>
      <c r="I40" s="40">
        <v>0.67361111111111116</v>
      </c>
      <c r="J40" s="7" t="s">
        <v>653</v>
      </c>
      <c r="K40" s="7" t="s">
        <v>1615</v>
      </c>
      <c r="L40" s="7" t="s">
        <v>14</v>
      </c>
      <c r="M40" s="7" t="s">
        <v>14</v>
      </c>
    </row>
    <row r="41" spans="1:13" ht="16.2">
      <c r="A41" s="7">
        <v>20964</v>
      </c>
      <c r="B41" s="7" t="s">
        <v>1661</v>
      </c>
      <c r="C41" s="7" t="s">
        <v>284</v>
      </c>
      <c r="D41" s="47">
        <v>43078</v>
      </c>
      <c r="E41" s="7" t="s">
        <v>1681</v>
      </c>
      <c r="F41" s="7" t="s">
        <v>1200</v>
      </c>
      <c r="G41" s="7" t="s">
        <v>1263</v>
      </c>
      <c r="H41" s="46" t="str">
        <f t="shared" si="0"/>
        <v>Triade 3  -  Albatros 5</v>
      </c>
      <c r="I41" s="40">
        <v>0.77777777777777779</v>
      </c>
      <c r="J41" s="7" t="s">
        <v>653</v>
      </c>
      <c r="K41" s="7" t="s">
        <v>1615</v>
      </c>
      <c r="L41" s="7" t="s">
        <v>14</v>
      </c>
      <c r="M41" s="7" t="s">
        <v>14</v>
      </c>
    </row>
    <row r="42" spans="1:13" ht="16.2">
      <c r="A42" s="7">
        <v>30995</v>
      </c>
      <c r="B42" s="7" t="s">
        <v>1682</v>
      </c>
      <c r="C42" s="7" t="s">
        <v>284</v>
      </c>
      <c r="D42" s="45">
        <v>43057</v>
      </c>
      <c r="E42" s="7" t="s">
        <v>1683</v>
      </c>
      <c r="F42" s="7" t="s">
        <v>1200</v>
      </c>
      <c r="G42" s="7" t="s">
        <v>1406</v>
      </c>
      <c r="H42" s="46" t="str">
        <f t="shared" si="0"/>
        <v>Triade F1  -  Albatros F3</v>
      </c>
      <c r="I42" s="40">
        <v>0.375</v>
      </c>
      <c r="J42" s="7" t="s">
        <v>653</v>
      </c>
      <c r="K42" s="7" t="s">
        <v>1615</v>
      </c>
      <c r="L42" s="7" t="s">
        <v>14</v>
      </c>
      <c r="M42" s="7" t="s">
        <v>14</v>
      </c>
    </row>
    <row r="43" spans="1:13" ht="16.2">
      <c r="A43" s="7">
        <v>24327</v>
      </c>
      <c r="B43" s="7" t="s">
        <v>1684</v>
      </c>
      <c r="C43" s="7" t="s">
        <v>284</v>
      </c>
      <c r="D43" s="45">
        <v>43057</v>
      </c>
      <c r="E43" s="7" t="s">
        <v>1685</v>
      </c>
      <c r="F43" s="7" t="s">
        <v>1200</v>
      </c>
      <c r="G43" s="7" t="s">
        <v>1686</v>
      </c>
      <c r="H43" s="46" t="str">
        <f t="shared" si="0"/>
        <v>Triade C1  -  Albatros C4</v>
      </c>
      <c r="I43" s="40">
        <v>0.5</v>
      </c>
      <c r="J43" s="7" t="s">
        <v>653</v>
      </c>
      <c r="K43" s="7" t="s">
        <v>1615</v>
      </c>
      <c r="L43" s="7" t="s">
        <v>14</v>
      </c>
      <c r="M43" s="7" t="s">
        <v>14</v>
      </c>
    </row>
    <row r="44" spans="1:13" ht="16.2">
      <c r="A44" s="7">
        <v>20979</v>
      </c>
      <c r="B44" s="7" t="s">
        <v>1649</v>
      </c>
      <c r="C44" s="7" t="s">
        <v>284</v>
      </c>
      <c r="D44" s="47">
        <v>43078</v>
      </c>
      <c r="E44" s="7" t="s">
        <v>1687</v>
      </c>
      <c r="F44" s="7" t="s">
        <v>1200</v>
      </c>
      <c r="G44" s="7" t="s">
        <v>1252</v>
      </c>
      <c r="H44" s="46" t="str">
        <f t="shared" si="0"/>
        <v>TOP (A) C1  -  Albatros C1</v>
      </c>
      <c r="I44" s="40">
        <v>0.58680555555555558</v>
      </c>
      <c r="J44" s="7" t="s">
        <v>968</v>
      </c>
      <c r="K44" s="7" t="s">
        <v>1615</v>
      </c>
      <c r="L44" s="7" t="s">
        <v>14</v>
      </c>
      <c r="M44" s="7" t="s">
        <v>14</v>
      </c>
    </row>
    <row r="45" spans="1:13" ht="16.2">
      <c r="A45" s="7">
        <v>19931</v>
      </c>
      <c r="B45" s="7" t="s">
        <v>1651</v>
      </c>
      <c r="C45" s="7" t="s">
        <v>284</v>
      </c>
      <c r="D45" s="47">
        <v>43078</v>
      </c>
      <c r="E45" s="7" t="s">
        <v>1257</v>
      </c>
      <c r="F45" s="7" t="s">
        <v>1200</v>
      </c>
      <c r="G45" s="7" t="s">
        <v>1258</v>
      </c>
      <c r="H45" s="46" t="str">
        <f t="shared" si="0"/>
        <v>TOP (A) B1  -  Albatros B1</v>
      </c>
      <c r="I45" s="40">
        <v>0.63194444444444442</v>
      </c>
      <c r="J45" s="7" t="s">
        <v>968</v>
      </c>
      <c r="K45" s="7" t="s">
        <v>1615</v>
      </c>
      <c r="L45" s="7" t="s">
        <v>14</v>
      </c>
      <c r="M45" s="7" t="s">
        <v>14</v>
      </c>
    </row>
    <row r="46" spans="1:13" ht="16.2">
      <c r="A46" s="7">
        <v>14491</v>
      </c>
      <c r="B46" s="7" t="s">
        <v>1621</v>
      </c>
      <c r="C46" s="7" t="s">
        <v>284</v>
      </c>
      <c r="D46" s="47">
        <v>43078</v>
      </c>
      <c r="E46" s="7" t="s">
        <v>1688</v>
      </c>
      <c r="F46" s="7" t="s">
        <v>1200</v>
      </c>
      <c r="G46" s="7" t="s">
        <v>1344</v>
      </c>
      <c r="H46" s="46" t="str">
        <f t="shared" si="0"/>
        <v>Tjoba 2  -  Albatros 2</v>
      </c>
      <c r="I46" s="40">
        <v>0.68402777777777779</v>
      </c>
      <c r="J46" s="7" t="s">
        <v>1068</v>
      </c>
      <c r="K46" s="7" t="s">
        <v>1669</v>
      </c>
      <c r="L46" s="7" t="s">
        <v>14</v>
      </c>
      <c r="M46" s="7" t="s">
        <v>14</v>
      </c>
    </row>
    <row r="47" spans="1:13" ht="16.2">
      <c r="A47" s="7">
        <v>12143</v>
      </c>
      <c r="B47" s="7" t="s">
        <v>1247</v>
      </c>
      <c r="C47" s="7" t="s">
        <v>284</v>
      </c>
      <c r="D47" s="47">
        <v>43078</v>
      </c>
      <c r="E47" s="7" t="s">
        <v>1689</v>
      </c>
      <c r="F47" s="7" t="s">
        <v>1200</v>
      </c>
      <c r="G47" s="7" t="s">
        <v>1348</v>
      </c>
      <c r="H47" s="46" t="str">
        <f t="shared" si="0"/>
        <v>Tjoba 1  -  Albatros 1</v>
      </c>
      <c r="I47" s="40">
        <v>0.74305555555555558</v>
      </c>
      <c r="J47" s="7" t="s">
        <v>1068</v>
      </c>
      <c r="K47" s="7" t="s">
        <v>1669</v>
      </c>
      <c r="L47" s="7" t="s">
        <v>14</v>
      </c>
      <c r="M47" s="7" t="s">
        <v>14</v>
      </c>
    </row>
    <row r="48" spans="1:13" ht="16.2">
      <c r="A48" s="7">
        <v>21086</v>
      </c>
      <c r="B48" s="7" t="s">
        <v>1649</v>
      </c>
      <c r="C48" s="7" t="s">
        <v>284</v>
      </c>
      <c r="D48" s="47">
        <v>43106</v>
      </c>
      <c r="E48" s="7" t="s">
        <v>1690</v>
      </c>
      <c r="F48" s="7" t="s">
        <v>1200</v>
      </c>
      <c r="G48" s="7" t="s">
        <v>1252</v>
      </c>
      <c r="H48" s="46" t="str">
        <f t="shared" si="0"/>
        <v>Tilburg C1  -  Albatros C1</v>
      </c>
      <c r="I48" s="40">
        <v>0.45833333333333331</v>
      </c>
      <c r="J48" s="7" t="s">
        <v>1691</v>
      </c>
      <c r="K48" s="7" t="s">
        <v>1615</v>
      </c>
      <c r="L48" s="7" t="s">
        <v>14</v>
      </c>
      <c r="M48" s="7" t="s">
        <v>14</v>
      </c>
    </row>
    <row r="49" spans="1:13" ht="16.2">
      <c r="A49" s="7">
        <v>36300</v>
      </c>
      <c r="B49" s="7" t="s">
        <v>1616</v>
      </c>
      <c r="C49" s="7" t="s">
        <v>284</v>
      </c>
      <c r="D49" s="47">
        <v>43148</v>
      </c>
      <c r="E49" s="7" t="s">
        <v>1692</v>
      </c>
      <c r="F49" s="7" t="s">
        <v>1200</v>
      </c>
      <c r="G49" s="7" t="s">
        <v>1291</v>
      </c>
      <c r="H49" s="46" t="str">
        <f t="shared" si="0"/>
        <v>Ten Donck E1  -  Albatros E3</v>
      </c>
      <c r="I49" s="40">
        <v>0.42708333333333331</v>
      </c>
      <c r="J49" s="7" t="s">
        <v>1076</v>
      </c>
      <c r="K49" s="7" t="s">
        <v>1615</v>
      </c>
      <c r="L49" s="7" t="s">
        <v>14</v>
      </c>
      <c r="M49" s="7" t="s">
        <v>14</v>
      </c>
    </row>
    <row r="50" spans="1:13" ht="16.2">
      <c r="A50" s="7">
        <v>18231</v>
      </c>
      <c r="B50" s="7" t="s">
        <v>1670</v>
      </c>
      <c r="C50" s="7" t="s">
        <v>284</v>
      </c>
      <c r="D50" s="47">
        <v>43078</v>
      </c>
      <c r="E50" s="7" t="s">
        <v>1693</v>
      </c>
      <c r="F50" s="7" t="s">
        <v>1200</v>
      </c>
      <c r="G50" s="7" t="s">
        <v>1339</v>
      </c>
      <c r="H50" s="46" t="str">
        <f t="shared" si="0"/>
        <v>Tempo A1  -  Albatros A1</v>
      </c>
      <c r="I50" s="40">
        <v>0.68055555555555558</v>
      </c>
      <c r="J50" s="7" t="s">
        <v>1694</v>
      </c>
      <c r="K50" s="7" t="s">
        <v>1695</v>
      </c>
      <c r="L50" s="7" t="s">
        <v>14</v>
      </c>
      <c r="M50" s="7" t="s">
        <v>14</v>
      </c>
    </row>
    <row r="51" spans="1:13" ht="16.2">
      <c r="A51" s="7">
        <v>23850</v>
      </c>
      <c r="B51" s="7" t="s">
        <v>1645</v>
      </c>
      <c r="C51" s="7" t="s">
        <v>284</v>
      </c>
      <c r="D51" s="47">
        <v>43141</v>
      </c>
      <c r="E51" s="48" t="s">
        <v>1696</v>
      </c>
      <c r="F51" s="7" t="s">
        <v>1200</v>
      </c>
      <c r="G51" s="7" t="s">
        <v>1302</v>
      </c>
      <c r="H51" s="46" t="str">
        <f t="shared" si="0"/>
        <v>t Capproen C1  -  Albatros C3</v>
      </c>
      <c r="I51" s="40">
        <v>0.45833333333333331</v>
      </c>
      <c r="J51" s="7" t="s">
        <v>472</v>
      </c>
      <c r="K51" s="7" t="s">
        <v>1615</v>
      </c>
      <c r="L51" s="7" t="s">
        <v>14</v>
      </c>
      <c r="M51" s="7" t="s">
        <v>14</v>
      </c>
    </row>
    <row r="52" spans="1:13" ht="16.2">
      <c r="A52" s="7">
        <v>37515</v>
      </c>
      <c r="B52" s="7" t="s">
        <v>1655</v>
      </c>
      <c r="C52" s="7" t="s">
        <v>284</v>
      </c>
      <c r="D52" s="47">
        <v>43071</v>
      </c>
      <c r="E52" s="48" t="s">
        <v>1697</v>
      </c>
      <c r="F52" s="7" t="s">
        <v>1200</v>
      </c>
      <c r="G52" s="7" t="s">
        <v>1308</v>
      </c>
      <c r="H52" s="46" t="str">
        <f t="shared" si="0"/>
        <v>t Capproen B2  -  Albatros B3</v>
      </c>
      <c r="I52" s="40">
        <v>0.5</v>
      </c>
      <c r="J52" s="7" t="s">
        <v>1698</v>
      </c>
      <c r="K52" s="7" t="s">
        <v>1615</v>
      </c>
      <c r="L52" s="7" t="s">
        <v>14</v>
      </c>
      <c r="M52" s="7" t="s">
        <v>14</v>
      </c>
    </row>
    <row r="53" spans="1:13" ht="16.2">
      <c r="A53" s="7">
        <v>38083</v>
      </c>
      <c r="B53" s="7" t="s">
        <v>1641</v>
      </c>
      <c r="C53" s="7" t="s">
        <v>284</v>
      </c>
      <c r="D53" s="47">
        <v>43106</v>
      </c>
      <c r="E53" s="7" t="s">
        <v>1699</v>
      </c>
      <c r="F53" s="7" t="s">
        <v>1200</v>
      </c>
      <c r="G53" s="7" t="s">
        <v>1451</v>
      </c>
      <c r="H53" s="46" t="str">
        <f t="shared" si="0"/>
        <v>Sporting Trigon G1  -  Albatros G1</v>
      </c>
      <c r="I53" s="40">
        <v>0.45833333333333331</v>
      </c>
      <c r="J53" s="7" t="s">
        <v>1700</v>
      </c>
      <c r="K53" s="7" t="s">
        <v>1615</v>
      </c>
      <c r="L53" s="7" t="s">
        <v>14</v>
      </c>
      <c r="M53" s="7" t="s">
        <v>14</v>
      </c>
    </row>
    <row r="54" spans="1:13" ht="16.2">
      <c r="A54" s="7">
        <v>31355</v>
      </c>
      <c r="B54" s="7" t="s">
        <v>1624</v>
      </c>
      <c r="C54" s="7" t="s">
        <v>284</v>
      </c>
      <c r="D54" s="47">
        <v>43113</v>
      </c>
      <c r="E54" s="7" t="s">
        <v>1507</v>
      </c>
      <c r="F54" s="7" t="s">
        <v>1200</v>
      </c>
      <c r="G54" s="7" t="s">
        <v>1402</v>
      </c>
      <c r="H54" s="46" t="str">
        <f t="shared" si="0"/>
        <v>Sporting Delta F1  -  Albatros F5</v>
      </c>
      <c r="I54" s="40">
        <v>0.375</v>
      </c>
      <c r="J54" s="7" t="s">
        <v>467</v>
      </c>
      <c r="K54" s="7" t="s">
        <v>1618</v>
      </c>
      <c r="L54" s="7" t="s">
        <v>14</v>
      </c>
      <c r="M54" s="7" t="s">
        <v>14</v>
      </c>
    </row>
    <row r="55" spans="1:13" ht="16.2">
      <c r="A55" s="7">
        <v>34940</v>
      </c>
      <c r="B55" s="7" t="s">
        <v>1630</v>
      </c>
      <c r="C55" s="7" t="s">
        <v>284</v>
      </c>
      <c r="D55" s="45">
        <v>43057</v>
      </c>
      <c r="E55" s="7" t="s">
        <v>1701</v>
      </c>
      <c r="F55" s="7" t="s">
        <v>1200</v>
      </c>
      <c r="G55" s="7" t="s">
        <v>1412</v>
      </c>
      <c r="H55" s="46" t="str">
        <f t="shared" si="0"/>
        <v>Sporting Delta E2  -  Albatros E2</v>
      </c>
      <c r="I55" s="40">
        <v>0.41666666666666669</v>
      </c>
      <c r="J55" s="7" t="s">
        <v>467</v>
      </c>
      <c r="K55" s="7" t="s">
        <v>1615</v>
      </c>
      <c r="L55" s="7" t="s">
        <v>14</v>
      </c>
      <c r="M55" s="7" t="s">
        <v>14</v>
      </c>
    </row>
    <row r="56" spans="1:13" ht="16.2">
      <c r="A56" s="7">
        <v>27306</v>
      </c>
      <c r="B56" s="7" t="s">
        <v>1633</v>
      </c>
      <c r="C56" s="7" t="s">
        <v>284</v>
      </c>
      <c r="D56" s="47">
        <v>43141</v>
      </c>
      <c r="E56" s="7" t="s">
        <v>1702</v>
      </c>
      <c r="F56" s="7" t="s">
        <v>1200</v>
      </c>
      <c r="G56" s="7" t="s">
        <v>1280</v>
      </c>
      <c r="H56" s="46" t="str">
        <f t="shared" si="0"/>
        <v>Sporting Delta D3  -  Albatros D3</v>
      </c>
      <c r="I56" s="40">
        <v>0.52083333333333337</v>
      </c>
      <c r="J56" s="7" t="s">
        <v>467</v>
      </c>
      <c r="K56" s="7" t="s">
        <v>1615</v>
      </c>
      <c r="L56" s="7" t="s">
        <v>14</v>
      </c>
      <c r="M56" s="7" t="s">
        <v>14</v>
      </c>
    </row>
    <row r="57" spans="1:13" ht="16.2">
      <c r="A57" s="7">
        <v>20969</v>
      </c>
      <c r="B57" s="7" t="s">
        <v>1649</v>
      </c>
      <c r="C57" s="7" t="s">
        <v>284</v>
      </c>
      <c r="D57" s="45">
        <v>43064</v>
      </c>
      <c r="E57" s="7" t="s">
        <v>1703</v>
      </c>
      <c r="F57" s="7" t="s">
        <v>1200</v>
      </c>
      <c r="G57" s="7" t="s">
        <v>1252</v>
      </c>
      <c r="H57" s="46" t="str">
        <f t="shared" si="0"/>
        <v>Sporting Delta C1  -  Albatros C1</v>
      </c>
      <c r="I57" s="40">
        <v>0.56597222222222221</v>
      </c>
      <c r="J57" s="7" t="s">
        <v>467</v>
      </c>
      <c r="K57" s="7" t="s">
        <v>1615</v>
      </c>
      <c r="L57" s="7" t="s">
        <v>14</v>
      </c>
      <c r="M57" s="7" t="s">
        <v>14</v>
      </c>
    </row>
    <row r="58" spans="1:13" ht="16.2">
      <c r="A58" s="7">
        <v>17411</v>
      </c>
      <c r="B58" s="7" t="s">
        <v>1664</v>
      </c>
      <c r="C58" s="7" t="s">
        <v>284</v>
      </c>
      <c r="D58" s="47">
        <v>43134</v>
      </c>
      <c r="E58" s="7" t="s">
        <v>1704</v>
      </c>
      <c r="F58" s="7" t="s">
        <v>1200</v>
      </c>
      <c r="G58" s="7" t="s">
        <v>1314</v>
      </c>
      <c r="H58" s="46" t="str">
        <f t="shared" si="0"/>
        <v>Sporting Delta A4  -  Albatros A4</v>
      </c>
      <c r="I58" s="40">
        <v>0.66666666666666663</v>
      </c>
      <c r="J58" s="7" t="s">
        <v>467</v>
      </c>
      <c r="K58" s="7" t="s">
        <v>1615</v>
      </c>
      <c r="L58" s="7" t="s">
        <v>14</v>
      </c>
      <c r="M58" s="7" t="s">
        <v>14</v>
      </c>
    </row>
    <row r="59" spans="1:13" ht="16.2">
      <c r="A59" s="7">
        <v>19196</v>
      </c>
      <c r="B59" s="7" t="s">
        <v>1113</v>
      </c>
      <c r="C59" s="7" t="s">
        <v>284</v>
      </c>
      <c r="D59" s="47">
        <v>43148</v>
      </c>
      <c r="E59" s="7" t="s">
        <v>1705</v>
      </c>
      <c r="F59" s="7" t="s">
        <v>1200</v>
      </c>
      <c r="G59" s="7" t="s">
        <v>1341</v>
      </c>
      <c r="H59" s="46" t="str">
        <f t="shared" si="0"/>
        <v>Sporting Delta A2  -  Albatros A2</v>
      </c>
      <c r="I59" s="40">
        <v>0.54166666666666663</v>
      </c>
      <c r="J59" s="7" t="s">
        <v>467</v>
      </c>
      <c r="K59" s="7" t="s">
        <v>1615</v>
      </c>
      <c r="L59" s="7" t="s">
        <v>14</v>
      </c>
      <c r="M59" s="7" t="s">
        <v>14</v>
      </c>
    </row>
    <row r="60" spans="1:13" ht="16.2">
      <c r="A60" s="7">
        <v>18284</v>
      </c>
      <c r="B60" s="7" t="s">
        <v>1670</v>
      </c>
      <c r="C60" s="7" t="s">
        <v>284</v>
      </c>
      <c r="D60" s="47">
        <v>43148</v>
      </c>
      <c r="E60" s="7" t="s">
        <v>1468</v>
      </c>
      <c r="F60" s="7" t="s">
        <v>1200</v>
      </c>
      <c r="G60" s="7" t="s">
        <v>1339</v>
      </c>
      <c r="H60" s="46" t="str">
        <f t="shared" si="0"/>
        <v>Sporting Delta A1  -  Albatros A1</v>
      </c>
      <c r="I60" s="40">
        <v>0.60416666666666663</v>
      </c>
      <c r="J60" s="7" t="s">
        <v>467</v>
      </c>
      <c r="K60" s="7" t="s">
        <v>1615</v>
      </c>
      <c r="L60" s="7" t="s">
        <v>14</v>
      </c>
      <c r="M60" s="7" t="s">
        <v>14</v>
      </c>
    </row>
    <row r="61" spans="1:13" ht="16.2">
      <c r="A61" s="7">
        <v>35240</v>
      </c>
      <c r="B61" s="7" t="s">
        <v>1674</v>
      </c>
      <c r="C61" s="7" t="s">
        <v>284</v>
      </c>
      <c r="D61" s="47">
        <v>43071</v>
      </c>
      <c r="E61" s="7" t="s">
        <v>1706</v>
      </c>
      <c r="F61" s="7" t="s">
        <v>1200</v>
      </c>
      <c r="G61" s="7" t="s">
        <v>1298</v>
      </c>
      <c r="H61" s="46" t="str">
        <f t="shared" si="0"/>
        <v>Sperwers E1  -  Albatros E5</v>
      </c>
      <c r="I61" s="40">
        <v>0.45833333333333331</v>
      </c>
      <c r="J61" s="7" t="s">
        <v>1707</v>
      </c>
      <c r="K61" s="7" t="s">
        <v>1615</v>
      </c>
      <c r="L61" s="7" t="s">
        <v>14</v>
      </c>
      <c r="M61" s="7" t="s">
        <v>14</v>
      </c>
    </row>
    <row r="62" spans="1:13" ht="16.2">
      <c r="A62" s="7">
        <v>21507</v>
      </c>
      <c r="B62" s="7" t="s">
        <v>1679</v>
      </c>
      <c r="C62" s="7" t="s">
        <v>284</v>
      </c>
      <c r="D62" s="47">
        <v>43127</v>
      </c>
      <c r="E62" s="7" t="s">
        <v>1708</v>
      </c>
      <c r="F62" s="7" t="s">
        <v>1200</v>
      </c>
      <c r="G62" s="7" t="s">
        <v>1395</v>
      </c>
      <c r="H62" s="46" t="str">
        <f t="shared" si="0"/>
        <v>SKV 2  -  Albatros 6</v>
      </c>
      <c r="I62" s="40">
        <v>0.77777777777777779</v>
      </c>
      <c r="J62" s="7" t="s">
        <v>441</v>
      </c>
      <c r="K62" s="7" t="s">
        <v>1615</v>
      </c>
      <c r="L62" s="7" t="s">
        <v>14</v>
      </c>
      <c r="M62" s="7" t="s">
        <v>14</v>
      </c>
    </row>
    <row r="63" spans="1:13" ht="16.2">
      <c r="A63" s="7">
        <v>34931</v>
      </c>
      <c r="B63" s="7" t="s">
        <v>1674</v>
      </c>
      <c r="C63" s="7" t="s">
        <v>284</v>
      </c>
      <c r="D63" s="45">
        <v>43057</v>
      </c>
      <c r="E63" s="7" t="s">
        <v>1457</v>
      </c>
      <c r="F63" s="7" t="s">
        <v>1200</v>
      </c>
      <c r="G63" s="7" t="s">
        <v>1298</v>
      </c>
      <c r="H63" s="46" t="str">
        <f t="shared" si="0"/>
        <v>SKV E2  -  Albatros E5</v>
      </c>
      <c r="I63" s="40">
        <v>0.54166666666666663</v>
      </c>
      <c r="J63" s="7" t="s">
        <v>1709</v>
      </c>
      <c r="K63" s="7" t="s">
        <v>1618</v>
      </c>
      <c r="L63" s="7" t="s">
        <v>14</v>
      </c>
      <c r="M63" s="7" t="s">
        <v>14</v>
      </c>
    </row>
    <row r="64" spans="1:13" ht="16.2">
      <c r="A64" s="7">
        <v>36304</v>
      </c>
      <c r="B64" s="7" t="s">
        <v>1628</v>
      </c>
      <c r="C64" s="7" t="s">
        <v>284</v>
      </c>
      <c r="D64" s="45">
        <v>43064</v>
      </c>
      <c r="E64" s="7" t="s">
        <v>1710</v>
      </c>
      <c r="F64" s="7" t="s">
        <v>1200</v>
      </c>
      <c r="G64" s="7" t="s">
        <v>1287</v>
      </c>
      <c r="H64" s="46" t="str">
        <f t="shared" si="0"/>
        <v>SKV E1  -  Albatros E6</v>
      </c>
      <c r="I64" s="40">
        <v>0.41666666666666669</v>
      </c>
      <c r="J64" s="7" t="s">
        <v>1709</v>
      </c>
      <c r="K64" s="7" t="s">
        <v>1618</v>
      </c>
      <c r="L64" s="7" t="s">
        <v>14</v>
      </c>
      <c r="M64" s="7" t="s">
        <v>14</v>
      </c>
    </row>
    <row r="65" spans="1:13" ht="16.2">
      <c r="A65" s="7">
        <v>37507</v>
      </c>
      <c r="B65" s="7" t="s">
        <v>1655</v>
      </c>
      <c r="C65" s="7" t="s">
        <v>284</v>
      </c>
      <c r="D65" s="47">
        <v>43106</v>
      </c>
      <c r="E65" s="7" t="s">
        <v>1711</v>
      </c>
      <c r="F65" s="7" t="s">
        <v>1200</v>
      </c>
      <c r="G65" s="7" t="s">
        <v>1308</v>
      </c>
      <c r="H65" s="46" t="str">
        <f t="shared" si="0"/>
        <v>SKV B1  -  Albatros B3</v>
      </c>
      <c r="I65" s="40">
        <v>0.43402777777777779</v>
      </c>
      <c r="J65" s="7" t="s">
        <v>441</v>
      </c>
      <c r="K65" s="7" t="s">
        <v>1615</v>
      </c>
      <c r="L65" s="7" t="s">
        <v>14</v>
      </c>
      <c r="M65" s="7" t="s">
        <v>14</v>
      </c>
    </row>
    <row r="66" spans="1:13" ht="16.2">
      <c r="A66" s="7">
        <v>21597</v>
      </c>
      <c r="B66" s="7" t="s">
        <v>1661</v>
      </c>
      <c r="C66" s="7" t="s">
        <v>284</v>
      </c>
      <c r="D66" s="45">
        <v>43085</v>
      </c>
      <c r="E66" s="7" t="s">
        <v>1712</v>
      </c>
      <c r="F66" s="7" t="s">
        <v>1200</v>
      </c>
      <c r="G66" s="7" t="s">
        <v>1263</v>
      </c>
      <c r="H66" s="46" t="str">
        <f t="shared" si="0"/>
        <v>RWA 6  -  Albatros 5</v>
      </c>
      <c r="I66" s="40">
        <v>0.69791666666666663</v>
      </c>
      <c r="J66" s="7" t="s">
        <v>874</v>
      </c>
      <c r="K66" s="7" t="s">
        <v>1615</v>
      </c>
      <c r="L66" s="7" t="s">
        <v>14</v>
      </c>
      <c r="M66" s="7" t="s">
        <v>14</v>
      </c>
    </row>
    <row r="67" spans="1:13" ht="16.2">
      <c r="A67" s="7">
        <v>16232</v>
      </c>
      <c r="B67" s="7" t="s">
        <v>1619</v>
      </c>
      <c r="C67" s="7" t="s">
        <v>284</v>
      </c>
      <c r="D67" s="47">
        <v>43127</v>
      </c>
      <c r="E67" s="7" t="s">
        <v>1713</v>
      </c>
      <c r="F67" s="7" t="s">
        <v>1200</v>
      </c>
      <c r="G67" s="7" t="s">
        <v>1317</v>
      </c>
      <c r="H67" s="46" t="str">
        <f t="shared" si="0"/>
        <v>RWA 4  -  Albatros 4</v>
      </c>
      <c r="I67" s="40">
        <v>0.76041666666666663</v>
      </c>
      <c r="J67" s="7" t="s">
        <v>874</v>
      </c>
      <c r="K67" s="7" t="s">
        <v>1615</v>
      </c>
      <c r="L67" s="7" t="s">
        <v>14</v>
      </c>
      <c r="M67" s="7" t="s">
        <v>14</v>
      </c>
    </row>
    <row r="68" spans="1:13" ht="16.2">
      <c r="A68" s="7">
        <v>12227</v>
      </c>
      <c r="B68" s="7" t="s">
        <v>1247</v>
      </c>
      <c r="C68" s="7" t="s">
        <v>284</v>
      </c>
      <c r="D68" s="47">
        <v>43148</v>
      </c>
      <c r="E68" s="7" t="s">
        <v>1714</v>
      </c>
      <c r="F68" s="7" t="s">
        <v>1200</v>
      </c>
      <c r="G68" s="7" t="s">
        <v>1348</v>
      </c>
      <c r="H68" s="46" t="str">
        <f t="shared" si="0"/>
        <v>RWA 1  -  Albatros 1</v>
      </c>
      <c r="I68" s="40">
        <v>0.65625</v>
      </c>
      <c r="J68" s="7" t="s">
        <v>874</v>
      </c>
      <c r="K68" s="7" t="s">
        <v>1615</v>
      </c>
      <c r="L68" s="7" t="s">
        <v>14</v>
      </c>
      <c r="M68" s="7" t="s">
        <v>14</v>
      </c>
    </row>
    <row r="69" spans="1:13" ht="16.2">
      <c r="A69" s="7">
        <v>23731</v>
      </c>
      <c r="B69" s="7" t="s">
        <v>1715</v>
      </c>
      <c r="C69" s="7" t="s">
        <v>284</v>
      </c>
      <c r="D69" s="47">
        <v>43162</v>
      </c>
      <c r="E69" s="7" t="s">
        <v>1716</v>
      </c>
      <c r="F69" s="7" t="s">
        <v>1200</v>
      </c>
      <c r="G69" s="7" t="s">
        <v>1717</v>
      </c>
      <c r="H69" s="46" t="str">
        <f t="shared" si="0"/>
        <v>RWA C2  -  Albatros C5</v>
      </c>
      <c r="I69" s="40">
        <v>0.53472222222222221</v>
      </c>
      <c r="J69" s="7" t="s">
        <v>874</v>
      </c>
      <c r="K69" s="7" t="s">
        <v>1615</v>
      </c>
      <c r="L69" s="7" t="s">
        <v>14</v>
      </c>
      <c r="M69" s="7" t="s">
        <v>14</v>
      </c>
    </row>
    <row r="70" spans="1:13" ht="16.2">
      <c r="A70" s="7">
        <v>23732</v>
      </c>
      <c r="B70" s="7" t="s">
        <v>1647</v>
      </c>
      <c r="C70" s="7" t="s">
        <v>284</v>
      </c>
      <c r="D70" s="47">
        <v>43155</v>
      </c>
      <c r="E70" s="7" t="s">
        <v>1718</v>
      </c>
      <c r="F70" s="7" t="s">
        <v>1200</v>
      </c>
      <c r="G70" s="7" t="s">
        <v>1305</v>
      </c>
      <c r="H70" s="46" t="str">
        <f t="shared" si="0"/>
        <v>RWA C1  -  Albatros C2</v>
      </c>
      <c r="I70" s="40">
        <v>0.375</v>
      </c>
      <c r="J70" s="7" t="s">
        <v>874</v>
      </c>
      <c r="K70" s="7" t="s">
        <v>1615</v>
      </c>
      <c r="L70" s="7" t="s">
        <v>14</v>
      </c>
      <c r="M70" s="7" t="s">
        <v>14</v>
      </c>
    </row>
    <row r="71" spans="1:13" ht="16.2">
      <c r="A71" s="7">
        <v>14984</v>
      </c>
      <c r="B71" s="7" t="s">
        <v>1719</v>
      </c>
      <c r="C71" s="7" t="s">
        <v>284</v>
      </c>
      <c r="D71" s="47">
        <v>43120</v>
      </c>
      <c r="E71" s="7" t="s">
        <v>1720</v>
      </c>
      <c r="F71" s="7" t="s">
        <v>1200</v>
      </c>
      <c r="G71" s="7" t="s">
        <v>1322</v>
      </c>
      <c r="H71" s="46" t="str">
        <f t="shared" si="0"/>
        <v>Rust Roest 3  -  Albatros 3</v>
      </c>
      <c r="I71" s="40">
        <v>0.77083333333333337</v>
      </c>
      <c r="J71" s="7" t="s">
        <v>1183</v>
      </c>
      <c r="K71" s="7" t="s">
        <v>1615</v>
      </c>
      <c r="L71" s="7" t="s">
        <v>14</v>
      </c>
      <c r="M71" s="7" t="s">
        <v>14</v>
      </c>
    </row>
    <row r="72" spans="1:13" ht="16.2">
      <c r="A72" s="7">
        <v>19151</v>
      </c>
      <c r="B72" s="7" t="s">
        <v>1113</v>
      </c>
      <c r="C72" s="7" t="s">
        <v>284</v>
      </c>
      <c r="D72" s="47">
        <v>43134</v>
      </c>
      <c r="E72" s="7" t="s">
        <v>1721</v>
      </c>
      <c r="F72" s="7" t="s">
        <v>1200</v>
      </c>
      <c r="G72" s="7" t="s">
        <v>1341</v>
      </c>
      <c r="H72" s="46" t="str">
        <f t="shared" si="0"/>
        <v>Reeuwijk A1  -  Albatros A2</v>
      </c>
      <c r="I72" s="40">
        <v>0.67013888888888884</v>
      </c>
      <c r="J72" s="7" t="s">
        <v>1722</v>
      </c>
      <c r="K72" s="7" t="s">
        <v>1615</v>
      </c>
      <c r="L72" s="7" t="s">
        <v>14</v>
      </c>
      <c r="M72" s="7" t="s">
        <v>14</v>
      </c>
    </row>
    <row r="73" spans="1:13" ht="16.2">
      <c r="A73" s="7">
        <v>16871</v>
      </c>
      <c r="B73" s="7" t="s">
        <v>1619</v>
      </c>
      <c r="C73" s="7" t="s">
        <v>284</v>
      </c>
      <c r="D73" s="47">
        <v>43141</v>
      </c>
      <c r="E73" s="7" t="s">
        <v>1519</v>
      </c>
      <c r="F73" s="7" t="s">
        <v>1200</v>
      </c>
      <c r="G73" s="7" t="s">
        <v>1317</v>
      </c>
      <c r="H73" s="46" t="str">
        <f t="shared" si="0"/>
        <v>PKC/SWKGroep 6  -  Albatros 4</v>
      </c>
      <c r="I73" s="40">
        <v>0.63194444444444442</v>
      </c>
      <c r="J73" s="7" t="s">
        <v>295</v>
      </c>
      <c r="K73" s="7" t="s">
        <v>1669</v>
      </c>
      <c r="L73" s="7" t="s">
        <v>14</v>
      </c>
      <c r="M73" s="7" t="s">
        <v>14</v>
      </c>
    </row>
    <row r="74" spans="1:13" ht="16.2">
      <c r="A74" s="7">
        <v>15465</v>
      </c>
      <c r="B74" s="7" t="s">
        <v>1719</v>
      </c>
      <c r="C74" s="7" t="s">
        <v>609</v>
      </c>
      <c r="D74" s="47">
        <v>43168</v>
      </c>
      <c r="E74" s="7" t="s">
        <v>1723</v>
      </c>
      <c r="F74" s="7" t="s">
        <v>1200</v>
      </c>
      <c r="G74" s="7" t="s">
        <v>1322</v>
      </c>
      <c r="H74" s="46" t="str">
        <f t="shared" si="0"/>
        <v>PKC/SWKGroep 5  -  Albatros 3</v>
      </c>
      <c r="I74" s="40">
        <v>0.85416666666666663</v>
      </c>
      <c r="J74" s="7" t="s">
        <v>295</v>
      </c>
      <c r="K74" s="7" t="s">
        <v>1724</v>
      </c>
      <c r="L74" s="7" t="s">
        <v>14</v>
      </c>
      <c r="M74" s="7" t="s">
        <v>14</v>
      </c>
    </row>
    <row r="75" spans="1:13" ht="16.2">
      <c r="A75" s="7">
        <v>20760</v>
      </c>
      <c r="B75" s="7" t="s">
        <v>1725</v>
      </c>
      <c r="C75" s="7" t="s">
        <v>284</v>
      </c>
      <c r="D75" s="45">
        <v>43092</v>
      </c>
      <c r="E75" s="7" t="s">
        <v>1726</v>
      </c>
      <c r="F75" s="7" t="s">
        <v>1200</v>
      </c>
      <c r="G75" s="7" t="s">
        <v>1398</v>
      </c>
      <c r="H75" s="46" t="str">
        <f t="shared" si="0"/>
        <v>PKC/SWKGroep 11  -  Albatros 7</v>
      </c>
      <c r="I75" s="40">
        <v>0.61111111111111116</v>
      </c>
      <c r="J75" s="7" t="s">
        <v>295</v>
      </c>
      <c r="K75" s="7" t="s">
        <v>1669</v>
      </c>
      <c r="L75" s="7" t="s">
        <v>14</v>
      </c>
      <c r="M75" s="7" t="s">
        <v>14</v>
      </c>
    </row>
    <row r="76" spans="1:13" ht="16.2">
      <c r="A76" s="7">
        <v>20895</v>
      </c>
      <c r="B76" s="7" t="s">
        <v>1661</v>
      </c>
      <c r="C76" s="7" t="s">
        <v>284</v>
      </c>
      <c r="D76" s="45">
        <v>43064</v>
      </c>
      <c r="E76" s="7" t="s">
        <v>1727</v>
      </c>
      <c r="F76" s="7" t="s">
        <v>1200</v>
      </c>
      <c r="G76" s="7" t="s">
        <v>1263</v>
      </c>
      <c r="H76" s="46" t="str">
        <f t="shared" si="0"/>
        <v>PKC/SWKGroep 10  -  Albatros 5</v>
      </c>
      <c r="I76" s="40">
        <v>0.75347222222222221</v>
      </c>
      <c r="J76" s="7" t="s">
        <v>295</v>
      </c>
      <c r="K76" s="7" t="s">
        <v>1669</v>
      </c>
      <c r="L76" s="7" t="s">
        <v>14</v>
      </c>
      <c r="M76" s="7" t="s">
        <v>14</v>
      </c>
    </row>
    <row r="77" spans="1:13" ht="16.2">
      <c r="A77" s="7">
        <v>31181</v>
      </c>
      <c r="B77" s="7" t="s">
        <v>1682</v>
      </c>
      <c r="C77" s="7" t="s">
        <v>284</v>
      </c>
      <c r="D77" s="47">
        <v>43071</v>
      </c>
      <c r="E77" s="7" t="s">
        <v>1728</v>
      </c>
      <c r="F77" s="7" t="s">
        <v>1200</v>
      </c>
      <c r="G77" s="7" t="s">
        <v>1406</v>
      </c>
      <c r="H77" s="46" t="str">
        <f t="shared" si="0"/>
        <v>PKC/SWKGroep F8  -  Albatros F3</v>
      </c>
      <c r="I77" s="40">
        <v>0.41666666666666669</v>
      </c>
      <c r="J77" s="7" t="s">
        <v>295</v>
      </c>
      <c r="K77" s="7" t="s">
        <v>1729</v>
      </c>
      <c r="L77" s="7" t="s">
        <v>14</v>
      </c>
      <c r="M77" s="7" t="s">
        <v>14</v>
      </c>
    </row>
    <row r="78" spans="1:13" ht="16.2">
      <c r="A78" s="7">
        <v>31006</v>
      </c>
      <c r="B78" s="7" t="s">
        <v>1730</v>
      </c>
      <c r="C78" s="7" t="s">
        <v>284</v>
      </c>
      <c r="D78" s="45">
        <v>43057</v>
      </c>
      <c r="E78" s="7" t="s">
        <v>1405</v>
      </c>
      <c r="F78" s="7" t="s">
        <v>1200</v>
      </c>
      <c r="G78" s="7" t="s">
        <v>1271</v>
      </c>
      <c r="H78" s="46" t="str">
        <f t="shared" si="0"/>
        <v>PKC/SWKGroep F5  -  Albatros F4</v>
      </c>
      <c r="I78" s="40">
        <v>0.375</v>
      </c>
      <c r="J78" s="7" t="s">
        <v>295</v>
      </c>
      <c r="K78" s="7" t="s">
        <v>1673</v>
      </c>
      <c r="L78" s="7" t="s">
        <v>14</v>
      </c>
      <c r="M78" s="7" t="s">
        <v>14</v>
      </c>
    </row>
    <row r="79" spans="1:13" ht="16.2">
      <c r="A79" s="7">
        <v>30545</v>
      </c>
      <c r="B79" s="7" t="s">
        <v>1624</v>
      </c>
      <c r="C79" s="7" t="s">
        <v>284</v>
      </c>
      <c r="D79" s="47">
        <v>43141</v>
      </c>
      <c r="E79" s="7" t="s">
        <v>1731</v>
      </c>
      <c r="F79" s="7" t="s">
        <v>1200</v>
      </c>
      <c r="G79" s="7" t="s">
        <v>1402</v>
      </c>
      <c r="H79" s="46" t="str">
        <f t="shared" si="0"/>
        <v>PKC/SWKGroep F4  -  Albatros F5</v>
      </c>
      <c r="I79" s="40">
        <v>0.45833333333333331</v>
      </c>
      <c r="J79" s="7" t="s">
        <v>295</v>
      </c>
      <c r="K79" s="7" t="s">
        <v>1732</v>
      </c>
      <c r="L79" s="7" t="s">
        <v>14</v>
      </c>
      <c r="M79" s="7" t="s">
        <v>14</v>
      </c>
    </row>
    <row r="80" spans="1:13" ht="16.2">
      <c r="A80" s="7">
        <v>31456</v>
      </c>
      <c r="B80" s="7" t="s">
        <v>1733</v>
      </c>
      <c r="C80" s="7" t="s">
        <v>284</v>
      </c>
      <c r="D80" s="47">
        <v>43120</v>
      </c>
      <c r="E80" s="7" t="s">
        <v>1453</v>
      </c>
      <c r="F80" s="7" t="s">
        <v>1200</v>
      </c>
      <c r="G80" s="7" t="s">
        <v>1404</v>
      </c>
      <c r="H80" s="46" t="str">
        <f t="shared" si="0"/>
        <v>PKC/SWKGroep F2  -  Albatros F2</v>
      </c>
      <c r="I80" s="40">
        <v>0.375</v>
      </c>
      <c r="J80" s="7" t="s">
        <v>295</v>
      </c>
      <c r="K80" s="7" t="s">
        <v>1729</v>
      </c>
      <c r="L80" s="7" t="s">
        <v>14</v>
      </c>
      <c r="M80" s="7" t="s">
        <v>14</v>
      </c>
    </row>
    <row r="81" spans="1:13" ht="16.2">
      <c r="A81" s="7">
        <v>31766</v>
      </c>
      <c r="B81" s="7" t="s">
        <v>1626</v>
      </c>
      <c r="C81" s="7" t="s">
        <v>284</v>
      </c>
      <c r="D81" s="45">
        <v>43064</v>
      </c>
      <c r="E81" s="7" t="s">
        <v>1734</v>
      </c>
      <c r="F81" s="7" t="s">
        <v>1200</v>
      </c>
      <c r="G81" s="7" t="s">
        <v>1275</v>
      </c>
      <c r="H81" s="46" t="str">
        <f t="shared" si="0"/>
        <v>PKC/SWKGroep F1  -  Albatros F1</v>
      </c>
      <c r="I81" s="40">
        <v>0.41666666666666669</v>
      </c>
      <c r="J81" s="7" t="s">
        <v>295</v>
      </c>
      <c r="K81" s="7" t="s">
        <v>1729</v>
      </c>
      <c r="L81" s="7" t="s">
        <v>14</v>
      </c>
      <c r="M81" s="7" t="s">
        <v>14</v>
      </c>
    </row>
    <row r="82" spans="1:13" ht="16.2">
      <c r="A82" s="7">
        <v>32878</v>
      </c>
      <c r="B82" s="7" t="s">
        <v>1674</v>
      </c>
      <c r="C82" s="7" t="s">
        <v>284</v>
      </c>
      <c r="D82" s="47">
        <v>43169</v>
      </c>
      <c r="E82" s="7" t="s">
        <v>1735</v>
      </c>
      <c r="F82" s="7" t="s">
        <v>1200</v>
      </c>
      <c r="G82" s="7" t="s">
        <v>1298</v>
      </c>
      <c r="H82" s="46" t="str">
        <f t="shared" si="0"/>
        <v>PKC/SWKGroep E8  -  Albatros E5</v>
      </c>
      <c r="I82" s="40">
        <v>0.41666666666666669</v>
      </c>
      <c r="J82" s="7" t="s">
        <v>295</v>
      </c>
      <c r="K82" s="7" t="s">
        <v>1673</v>
      </c>
      <c r="L82" s="7" t="s">
        <v>14</v>
      </c>
      <c r="M82" s="7" t="s">
        <v>14</v>
      </c>
    </row>
    <row r="83" spans="1:13" ht="16.2">
      <c r="A83" s="7">
        <v>35888</v>
      </c>
      <c r="B83" s="7" t="s">
        <v>1628</v>
      </c>
      <c r="C83" s="7" t="s">
        <v>284</v>
      </c>
      <c r="D83" s="47">
        <v>43148</v>
      </c>
      <c r="E83" s="7" t="s">
        <v>1553</v>
      </c>
      <c r="F83" s="7" t="s">
        <v>1200</v>
      </c>
      <c r="G83" s="7" t="s">
        <v>1287</v>
      </c>
      <c r="H83" s="46" t="str">
        <f t="shared" si="0"/>
        <v>PKC/SWKGroep E7  -  Albatros E6</v>
      </c>
      <c r="I83" s="40">
        <v>0.375</v>
      </c>
      <c r="J83" s="7" t="s">
        <v>295</v>
      </c>
      <c r="K83" s="7" t="s">
        <v>1673</v>
      </c>
      <c r="L83" s="7" t="s">
        <v>14</v>
      </c>
      <c r="M83" s="7" t="s">
        <v>14</v>
      </c>
    </row>
    <row r="84" spans="1:13" ht="16.2">
      <c r="A84" s="7">
        <v>34870</v>
      </c>
      <c r="B84" s="7" t="s">
        <v>1632</v>
      </c>
      <c r="C84" s="7" t="s">
        <v>284</v>
      </c>
      <c r="D84" s="47">
        <v>43127</v>
      </c>
      <c r="E84" s="7" t="s">
        <v>1736</v>
      </c>
      <c r="F84" s="7" t="s">
        <v>1200</v>
      </c>
      <c r="G84" s="7" t="s">
        <v>1294</v>
      </c>
      <c r="H84" s="46" t="str">
        <f t="shared" si="0"/>
        <v>PKC/SWKGroep E6  -  Albatros E4</v>
      </c>
      <c r="I84" s="40">
        <v>0.375</v>
      </c>
      <c r="J84" s="7" t="s">
        <v>295</v>
      </c>
      <c r="K84" s="7" t="s">
        <v>1673</v>
      </c>
      <c r="L84" s="7" t="s">
        <v>14</v>
      </c>
      <c r="M84" s="7" t="s">
        <v>14</v>
      </c>
    </row>
    <row r="85" spans="1:13" ht="16.2">
      <c r="A85" s="7">
        <v>33973</v>
      </c>
      <c r="B85" s="7" t="s">
        <v>1616</v>
      </c>
      <c r="C85" s="7" t="s">
        <v>284</v>
      </c>
      <c r="D85" s="47">
        <v>43106</v>
      </c>
      <c r="E85" s="7" t="s">
        <v>1737</v>
      </c>
      <c r="F85" s="7" t="s">
        <v>1200</v>
      </c>
      <c r="G85" s="7" t="s">
        <v>1291</v>
      </c>
      <c r="H85" s="46" t="str">
        <f t="shared" si="0"/>
        <v>PKC/SWKGroep E5  -  Albatros E3</v>
      </c>
      <c r="I85" s="40">
        <v>0.41666666666666669</v>
      </c>
      <c r="J85" s="7" t="s">
        <v>295</v>
      </c>
      <c r="K85" s="7" t="s">
        <v>1673</v>
      </c>
      <c r="L85" s="7" t="s">
        <v>14</v>
      </c>
      <c r="M85" s="7" t="s">
        <v>14</v>
      </c>
    </row>
    <row r="86" spans="1:13" ht="16.2">
      <c r="A86" s="7">
        <v>34153</v>
      </c>
      <c r="B86" s="7" t="s">
        <v>1630</v>
      </c>
      <c r="C86" s="7" t="s">
        <v>284</v>
      </c>
      <c r="D86" s="47">
        <v>43141</v>
      </c>
      <c r="E86" s="7" t="s">
        <v>1554</v>
      </c>
      <c r="F86" s="7" t="s">
        <v>1200</v>
      </c>
      <c r="G86" s="7" t="s">
        <v>1412</v>
      </c>
      <c r="H86" s="46" t="str">
        <f t="shared" si="0"/>
        <v>PKC/SWKGroep E4  -  Albatros E2</v>
      </c>
      <c r="I86" s="40">
        <v>0.45833333333333331</v>
      </c>
      <c r="J86" s="7" t="s">
        <v>295</v>
      </c>
      <c r="K86" s="7" t="s">
        <v>1673</v>
      </c>
      <c r="L86" s="7" t="s">
        <v>14</v>
      </c>
      <c r="M86" s="7" t="s">
        <v>14</v>
      </c>
    </row>
    <row r="87" spans="1:13" ht="16.2">
      <c r="A87" s="7">
        <v>36239</v>
      </c>
      <c r="B87" s="7" t="s">
        <v>1643</v>
      </c>
      <c r="C87" s="7" t="s">
        <v>284</v>
      </c>
      <c r="D87" s="45">
        <v>43064</v>
      </c>
      <c r="E87" s="7" t="s">
        <v>1738</v>
      </c>
      <c r="F87" s="7" t="s">
        <v>1200</v>
      </c>
      <c r="G87" s="7" t="s">
        <v>1416</v>
      </c>
      <c r="H87" s="46" t="str">
        <f t="shared" si="0"/>
        <v>PKC/SWKGroep E3  -  Albatros E1</v>
      </c>
      <c r="I87" s="40">
        <v>0.45833333333333331</v>
      </c>
      <c r="J87" s="7" t="s">
        <v>295</v>
      </c>
      <c r="K87" s="7" t="s">
        <v>1673</v>
      </c>
      <c r="L87" s="7" t="s">
        <v>14</v>
      </c>
      <c r="M87" s="7" t="s">
        <v>14</v>
      </c>
    </row>
    <row r="88" spans="1:13" ht="16.2">
      <c r="A88" s="7">
        <v>28036</v>
      </c>
      <c r="B88" s="7" t="s">
        <v>1637</v>
      </c>
      <c r="C88" s="7" t="s">
        <v>284</v>
      </c>
      <c r="D88" s="47">
        <v>43071</v>
      </c>
      <c r="E88" s="7" t="s">
        <v>1279</v>
      </c>
      <c r="F88" s="7" t="s">
        <v>1200</v>
      </c>
      <c r="G88" s="7" t="s">
        <v>1277</v>
      </c>
      <c r="H88" s="46" t="str">
        <f t="shared" si="0"/>
        <v>PKC/SWKGroep D4  -  Albatros D4</v>
      </c>
      <c r="I88" s="40">
        <v>0.58680555555555558</v>
      </c>
      <c r="J88" s="7" t="s">
        <v>295</v>
      </c>
      <c r="K88" s="7" t="s">
        <v>1673</v>
      </c>
      <c r="L88" s="7" t="s">
        <v>14</v>
      </c>
      <c r="M88" s="7" t="s">
        <v>14</v>
      </c>
    </row>
    <row r="89" spans="1:13" ht="16.2">
      <c r="A89" s="7">
        <v>24245</v>
      </c>
      <c r="B89" s="7" t="s">
        <v>1684</v>
      </c>
      <c r="C89" s="7" t="s">
        <v>284</v>
      </c>
      <c r="D89" s="47">
        <v>43127</v>
      </c>
      <c r="E89" s="7" t="s">
        <v>1304</v>
      </c>
      <c r="F89" s="7" t="s">
        <v>1200</v>
      </c>
      <c r="G89" s="7" t="s">
        <v>1686</v>
      </c>
      <c r="H89" s="46" t="str">
        <f t="shared" si="0"/>
        <v>PKC/SWKGroep C4  -  Albatros C4</v>
      </c>
      <c r="I89" s="40">
        <v>0.71527777777777779</v>
      </c>
      <c r="J89" s="7" t="s">
        <v>295</v>
      </c>
      <c r="K89" s="7" t="s">
        <v>1673</v>
      </c>
      <c r="L89" s="7" t="s">
        <v>14</v>
      </c>
      <c r="M89" s="7" t="s">
        <v>14</v>
      </c>
    </row>
    <row r="90" spans="1:13" ht="16.2">
      <c r="A90" s="7">
        <v>18989</v>
      </c>
      <c r="B90" s="7" t="s">
        <v>1739</v>
      </c>
      <c r="C90" s="7" t="s">
        <v>284</v>
      </c>
      <c r="D90" s="47">
        <v>43120</v>
      </c>
      <c r="E90" s="7" t="s">
        <v>1740</v>
      </c>
      <c r="F90" s="7" t="s">
        <v>1200</v>
      </c>
      <c r="G90" s="7" t="s">
        <v>1311</v>
      </c>
      <c r="H90" s="46" t="str">
        <f t="shared" si="0"/>
        <v>PKC/SWKGroep B4  -  Albatros B2</v>
      </c>
      <c r="I90" s="40">
        <v>0.71875</v>
      </c>
      <c r="J90" s="7" t="s">
        <v>295</v>
      </c>
      <c r="K90" s="7" t="s">
        <v>1673</v>
      </c>
      <c r="L90" s="7" t="s">
        <v>14</v>
      </c>
      <c r="M90" s="7" t="s">
        <v>14</v>
      </c>
    </row>
    <row r="91" spans="1:13" ht="16.2">
      <c r="A91" s="7">
        <v>19888</v>
      </c>
      <c r="B91" s="7" t="s">
        <v>1651</v>
      </c>
      <c r="C91" s="7" t="s">
        <v>284</v>
      </c>
      <c r="D91" s="47">
        <v>43106</v>
      </c>
      <c r="E91" s="7" t="s">
        <v>1741</v>
      </c>
      <c r="F91" s="7" t="s">
        <v>1200</v>
      </c>
      <c r="G91" s="7" t="s">
        <v>1258</v>
      </c>
      <c r="H91" s="46" t="str">
        <f t="shared" si="0"/>
        <v>PKC/SWKGroep B2  -  Albatros B1</v>
      </c>
      <c r="I91" s="40">
        <v>0.46180555555555558</v>
      </c>
      <c r="J91" s="7" t="s">
        <v>295</v>
      </c>
      <c r="K91" s="7" t="s">
        <v>1669</v>
      </c>
      <c r="L91" s="7" t="s">
        <v>14</v>
      </c>
      <c r="M91" s="7" t="s">
        <v>14</v>
      </c>
    </row>
    <row r="92" spans="1:13" ht="16.2">
      <c r="A92" s="7">
        <v>16259</v>
      </c>
      <c r="B92" s="7" t="s">
        <v>1664</v>
      </c>
      <c r="C92" s="7" t="s">
        <v>284</v>
      </c>
      <c r="D92" s="47">
        <v>43078</v>
      </c>
      <c r="E92" s="7" t="s">
        <v>1742</v>
      </c>
      <c r="F92" s="7" t="s">
        <v>1200</v>
      </c>
      <c r="G92" s="7" t="s">
        <v>1314</v>
      </c>
      <c r="H92" s="46" t="str">
        <f t="shared" si="0"/>
        <v>PKC/SWKGroep A8  -  Albatros A4</v>
      </c>
      <c r="I92" s="40">
        <v>0.75694444444444442</v>
      </c>
      <c r="J92" s="7" t="s">
        <v>295</v>
      </c>
      <c r="K92" s="7" t="s">
        <v>1673</v>
      </c>
      <c r="L92" s="7" t="s">
        <v>14</v>
      </c>
      <c r="M92" s="7" t="s">
        <v>14</v>
      </c>
    </row>
    <row r="93" spans="1:13" ht="16.2">
      <c r="A93" s="7">
        <v>18268</v>
      </c>
      <c r="B93" s="7" t="s">
        <v>1670</v>
      </c>
      <c r="C93" s="7" t="s">
        <v>284</v>
      </c>
      <c r="D93" s="47">
        <v>43134</v>
      </c>
      <c r="E93" s="7" t="s">
        <v>1743</v>
      </c>
      <c r="F93" s="7" t="s">
        <v>1200</v>
      </c>
      <c r="G93" s="7" t="s">
        <v>1339</v>
      </c>
      <c r="H93" s="46" t="str">
        <f t="shared" si="0"/>
        <v>PKC/SWKGroep A2  -  Albatros A1</v>
      </c>
      <c r="I93" s="40">
        <v>0.43402777777777779</v>
      </c>
      <c r="J93" s="7" t="s">
        <v>295</v>
      </c>
      <c r="K93" s="7" t="s">
        <v>1669</v>
      </c>
      <c r="L93" s="7" t="s">
        <v>14</v>
      </c>
      <c r="M93" s="7" t="s">
        <v>14</v>
      </c>
    </row>
    <row r="94" spans="1:13" ht="16.2">
      <c r="A94" s="7">
        <v>25069</v>
      </c>
      <c r="B94" s="7" t="s">
        <v>1715</v>
      </c>
      <c r="C94" s="7" t="s">
        <v>284</v>
      </c>
      <c r="D94" s="47">
        <v>43176</v>
      </c>
      <c r="E94" s="7" t="s">
        <v>1744</v>
      </c>
      <c r="F94" s="7" t="s">
        <v>1200</v>
      </c>
      <c r="G94" s="7" t="s">
        <v>1717</v>
      </c>
      <c r="H94" s="46" t="str">
        <f t="shared" si="0"/>
        <v>Phoenix C2  -  Albatros C5</v>
      </c>
      <c r="I94" s="40">
        <v>0.45833333333333331</v>
      </c>
      <c r="J94" s="7" t="s">
        <v>1745</v>
      </c>
      <c r="K94" s="7" t="s">
        <v>1667</v>
      </c>
      <c r="L94" s="7" t="s">
        <v>14</v>
      </c>
      <c r="M94" s="7" t="s">
        <v>14</v>
      </c>
    </row>
    <row r="95" spans="1:13" ht="16.2">
      <c r="A95" s="7">
        <v>35180</v>
      </c>
      <c r="B95" s="7" t="s">
        <v>1746</v>
      </c>
      <c r="C95" s="7" t="s">
        <v>284</v>
      </c>
      <c r="D95" s="47">
        <v>43071</v>
      </c>
      <c r="E95" s="7" t="s">
        <v>1747</v>
      </c>
      <c r="F95" s="7" t="s">
        <v>1200</v>
      </c>
      <c r="G95" s="7" t="s">
        <v>1414</v>
      </c>
      <c r="H95" s="46" t="str">
        <f t="shared" si="0"/>
        <v>OZC E3  -  Albatros E7</v>
      </c>
      <c r="I95" s="40">
        <v>0.375</v>
      </c>
      <c r="J95" s="7" t="s">
        <v>552</v>
      </c>
      <c r="K95" s="7" t="s">
        <v>1615</v>
      </c>
      <c r="L95" s="7" t="s">
        <v>14</v>
      </c>
      <c r="M95" s="7" t="s">
        <v>14</v>
      </c>
    </row>
    <row r="96" spans="1:13" ht="16.2">
      <c r="A96" s="7">
        <v>27560</v>
      </c>
      <c r="B96" s="7" t="s">
        <v>1637</v>
      </c>
      <c r="C96" s="7" t="s">
        <v>284</v>
      </c>
      <c r="D96" s="45">
        <v>43085</v>
      </c>
      <c r="E96" s="7" t="s">
        <v>1748</v>
      </c>
      <c r="F96" s="7" t="s">
        <v>1200</v>
      </c>
      <c r="G96" s="7" t="s">
        <v>1277</v>
      </c>
      <c r="H96" s="46" t="str">
        <f t="shared" si="0"/>
        <v>OZC D1  -  Albatros D4</v>
      </c>
      <c r="I96" s="40">
        <v>0.46180555555555558</v>
      </c>
      <c r="J96" s="7" t="s">
        <v>552</v>
      </c>
      <c r="K96" s="7" t="s">
        <v>1615</v>
      </c>
      <c r="L96" s="7" t="s">
        <v>14</v>
      </c>
      <c r="M96" s="7" t="s">
        <v>14</v>
      </c>
    </row>
    <row r="97" spans="1:13" ht="16.2">
      <c r="A97" s="7">
        <v>24763</v>
      </c>
      <c r="B97" s="7" t="s">
        <v>1647</v>
      </c>
      <c r="C97" s="7" t="s">
        <v>284</v>
      </c>
      <c r="D97" s="47">
        <v>43120</v>
      </c>
      <c r="E97" s="7" t="s">
        <v>1749</v>
      </c>
      <c r="F97" s="7" t="s">
        <v>1200</v>
      </c>
      <c r="G97" s="7" t="s">
        <v>1305</v>
      </c>
      <c r="H97" s="46" t="str">
        <f t="shared" si="0"/>
        <v>OZC C1  -  Albatros C2</v>
      </c>
      <c r="I97" s="40">
        <v>0.55902777777777779</v>
      </c>
      <c r="J97" s="7" t="s">
        <v>552</v>
      </c>
      <c r="K97" s="7" t="s">
        <v>1615</v>
      </c>
      <c r="L97" s="7" t="s">
        <v>14</v>
      </c>
      <c r="M97" s="7" t="s">
        <v>14</v>
      </c>
    </row>
    <row r="98" spans="1:13" ht="16.2">
      <c r="A98" s="7">
        <v>19153</v>
      </c>
      <c r="B98" s="7" t="s">
        <v>1614</v>
      </c>
      <c r="C98" s="7" t="s">
        <v>284</v>
      </c>
      <c r="D98" s="47">
        <v>43071</v>
      </c>
      <c r="E98" s="7" t="s">
        <v>1750</v>
      </c>
      <c r="F98" s="7" t="s">
        <v>1200</v>
      </c>
      <c r="G98" s="7" t="s">
        <v>1418</v>
      </c>
      <c r="H98" s="46" t="str">
        <f t="shared" si="0"/>
        <v>OZC B2  -  Albatros B4</v>
      </c>
      <c r="I98" s="40">
        <v>0.46527777777777779</v>
      </c>
      <c r="J98" s="7" t="s">
        <v>552</v>
      </c>
      <c r="K98" s="7" t="s">
        <v>1615</v>
      </c>
      <c r="L98" s="7" t="s">
        <v>14</v>
      </c>
      <c r="M98" s="7" t="s">
        <v>14</v>
      </c>
    </row>
    <row r="99" spans="1:13" ht="16.2">
      <c r="A99" s="7">
        <v>18804</v>
      </c>
      <c r="B99" s="7" t="s">
        <v>1739</v>
      </c>
      <c r="C99" s="7" t="s">
        <v>284</v>
      </c>
      <c r="D99" s="45">
        <v>43085</v>
      </c>
      <c r="E99" s="7" t="s">
        <v>1751</v>
      </c>
      <c r="F99" s="7" t="s">
        <v>1200</v>
      </c>
      <c r="G99" s="7" t="s">
        <v>1311</v>
      </c>
      <c r="H99" s="46" t="str">
        <f t="shared" si="0"/>
        <v>OZC B1  -  Albatros B2</v>
      </c>
      <c r="I99" s="40">
        <v>0.59722222222222221</v>
      </c>
      <c r="J99" s="7" t="s">
        <v>552</v>
      </c>
      <c r="K99" s="7" t="s">
        <v>1615</v>
      </c>
      <c r="L99" s="7" t="s">
        <v>14</v>
      </c>
      <c r="M99" s="7" t="s">
        <v>14</v>
      </c>
    </row>
    <row r="100" spans="1:13" ht="16.2">
      <c r="A100" s="7">
        <v>21687</v>
      </c>
      <c r="B100" s="7" t="s">
        <v>1679</v>
      </c>
      <c r="C100" s="7" t="s">
        <v>284</v>
      </c>
      <c r="D100" s="47">
        <v>43071</v>
      </c>
      <c r="E100" s="7" t="s">
        <v>1752</v>
      </c>
      <c r="F100" s="7" t="s">
        <v>1200</v>
      </c>
      <c r="G100" s="7" t="s">
        <v>1395</v>
      </c>
      <c r="H100" s="46" t="str">
        <f t="shared" si="0"/>
        <v>Oranje Zwart/De Hoekse 2  -  Albatros 6</v>
      </c>
      <c r="I100" s="40">
        <v>0.59027777777777779</v>
      </c>
      <c r="J100" s="7" t="s">
        <v>1753</v>
      </c>
      <c r="K100" s="7" t="s">
        <v>1615</v>
      </c>
      <c r="L100" s="7" t="s">
        <v>14</v>
      </c>
      <c r="M100" s="7" t="s">
        <v>14</v>
      </c>
    </row>
    <row r="101" spans="1:13" ht="16.2">
      <c r="A101" s="7">
        <v>19188</v>
      </c>
      <c r="B101" s="7" t="s">
        <v>1739</v>
      </c>
      <c r="C101" s="7" t="s">
        <v>284</v>
      </c>
      <c r="D101" s="47">
        <v>43071</v>
      </c>
      <c r="E101" s="7" t="s">
        <v>1754</v>
      </c>
      <c r="F101" s="7" t="s">
        <v>1200</v>
      </c>
      <c r="G101" s="7" t="s">
        <v>1311</v>
      </c>
      <c r="H101" s="46" t="str">
        <f t="shared" si="0"/>
        <v>Oranje Zwart/De Hoekse B1  -  Albatros B2</v>
      </c>
      <c r="I101" s="40">
        <v>0.54166666666666663</v>
      </c>
      <c r="J101" s="7" t="s">
        <v>1753</v>
      </c>
      <c r="K101" s="7" t="s">
        <v>1615</v>
      </c>
      <c r="L101" s="7" t="s">
        <v>14</v>
      </c>
      <c r="M101" s="7" t="s">
        <v>14</v>
      </c>
    </row>
    <row r="102" spans="1:13" ht="16.2">
      <c r="A102" s="7">
        <v>17058</v>
      </c>
      <c r="B102" s="7" t="s">
        <v>1664</v>
      </c>
      <c r="C102" s="7" t="s">
        <v>284</v>
      </c>
      <c r="D102" s="47">
        <v>43120</v>
      </c>
      <c r="E102" s="7" t="s">
        <v>1755</v>
      </c>
      <c r="F102" s="7" t="s">
        <v>1200</v>
      </c>
      <c r="G102" s="7" t="s">
        <v>1314</v>
      </c>
      <c r="H102" s="46" t="str">
        <f t="shared" si="0"/>
        <v>Oranje Zwart/De Hoekse A1  -  Albatros A4</v>
      </c>
      <c r="I102" s="40">
        <v>0.58333333333333337</v>
      </c>
      <c r="J102" s="7" t="s">
        <v>1753</v>
      </c>
      <c r="K102" s="7" t="s">
        <v>1615</v>
      </c>
      <c r="L102" s="7" t="s">
        <v>14</v>
      </c>
      <c r="M102" s="7" t="s">
        <v>14</v>
      </c>
    </row>
    <row r="103" spans="1:13" ht="16.2">
      <c r="A103" s="7">
        <v>21156</v>
      </c>
      <c r="B103" s="7" t="s">
        <v>1679</v>
      </c>
      <c r="C103" s="7" t="s">
        <v>284</v>
      </c>
      <c r="D103" s="47">
        <v>43141</v>
      </c>
      <c r="E103" s="7" t="s">
        <v>1756</v>
      </c>
      <c r="F103" s="7" t="s">
        <v>1200</v>
      </c>
      <c r="G103" s="7" t="s">
        <v>1395</v>
      </c>
      <c r="H103" s="46" t="str">
        <f t="shared" si="0"/>
        <v>Oranje Wit (D) 7  -  Albatros 6</v>
      </c>
      <c r="I103" s="40">
        <v>0.79166666666666663</v>
      </c>
      <c r="J103" s="7" t="s">
        <v>376</v>
      </c>
      <c r="K103" s="7" t="s">
        <v>1673</v>
      </c>
      <c r="L103" s="7" t="s">
        <v>14</v>
      </c>
      <c r="M103" s="7" t="s">
        <v>14</v>
      </c>
    </row>
    <row r="104" spans="1:13" ht="16.2">
      <c r="A104" s="7">
        <v>21396</v>
      </c>
      <c r="B104" s="7" t="s">
        <v>1725</v>
      </c>
      <c r="C104" s="7" t="s">
        <v>284</v>
      </c>
      <c r="D104" s="47">
        <v>43127</v>
      </c>
      <c r="E104" s="7" t="s">
        <v>1757</v>
      </c>
      <c r="F104" s="7" t="s">
        <v>1200</v>
      </c>
      <c r="G104" s="7" t="s">
        <v>1398</v>
      </c>
      <c r="H104" s="46" t="str">
        <f t="shared" si="0"/>
        <v>Oranje Wit (D) 6  -  Albatros 7</v>
      </c>
      <c r="I104" s="40">
        <v>0.6875</v>
      </c>
      <c r="J104" s="7" t="s">
        <v>376</v>
      </c>
      <c r="K104" s="7" t="s">
        <v>1673</v>
      </c>
      <c r="L104" s="7" t="s">
        <v>14</v>
      </c>
      <c r="M104" s="7" t="s">
        <v>14</v>
      </c>
    </row>
    <row r="105" spans="1:13" ht="16.2">
      <c r="A105" s="7">
        <v>22032</v>
      </c>
      <c r="B105" s="7" t="s">
        <v>1719</v>
      </c>
      <c r="C105" s="7" t="s">
        <v>284</v>
      </c>
      <c r="D105" s="45">
        <v>43085</v>
      </c>
      <c r="E105" s="7" t="s">
        <v>1758</v>
      </c>
      <c r="F105" s="7" t="s">
        <v>1200</v>
      </c>
      <c r="G105" s="7" t="s">
        <v>1322</v>
      </c>
      <c r="H105" s="46" t="str">
        <f t="shared" si="0"/>
        <v>Oranje Wit (D) 4  -  Albatros 3</v>
      </c>
      <c r="I105" s="40">
        <v>0.78125</v>
      </c>
      <c r="J105" s="7" t="s">
        <v>376</v>
      </c>
      <c r="K105" s="7" t="s">
        <v>1669</v>
      </c>
      <c r="L105" s="7" t="s">
        <v>14</v>
      </c>
      <c r="M105" s="7" t="s">
        <v>14</v>
      </c>
    </row>
    <row r="106" spans="1:13" ht="16.2">
      <c r="A106" s="7">
        <v>30952</v>
      </c>
      <c r="B106" s="7" t="s">
        <v>1730</v>
      </c>
      <c r="C106" s="7" t="s">
        <v>284</v>
      </c>
      <c r="D106" s="47">
        <v>43127</v>
      </c>
      <c r="E106" s="7" t="s">
        <v>1545</v>
      </c>
      <c r="F106" s="7" t="s">
        <v>1200</v>
      </c>
      <c r="G106" s="7" t="s">
        <v>1271</v>
      </c>
      <c r="H106" s="46" t="str">
        <f t="shared" si="0"/>
        <v>Oranje Wit (D) F4  -  Albatros F4</v>
      </c>
      <c r="I106" s="40">
        <v>0.375</v>
      </c>
      <c r="J106" s="7" t="s">
        <v>376</v>
      </c>
      <c r="K106" s="7" t="s">
        <v>1669</v>
      </c>
      <c r="L106" s="7" t="s">
        <v>14</v>
      </c>
      <c r="M106" s="7" t="s">
        <v>14</v>
      </c>
    </row>
    <row r="107" spans="1:13" ht="16.2">
      <c r="A107" s="7">
        <v>29779</v>
      </c>
      <c r="B107" s="7" t="s">
        <v>1624</v>
      </c>
      <c r="C107" s="7" t="s">
        <v>284</v>
      </c>
      <c r="D107" s="47">
        <v>43169</v>
      </c>
      <c r="E107" s="7" t="s">
        <v>1759</v>
      </c>
      <c r="F107" s="7" t="s">
        <v>1200</v>
      </c>
      <c r="G107" s="7" t="s">
        <v>1402</v>
      </c>
      <c r="H107" s="46" t="str">
        <f t="shared" si="0"/>
        <v>Oranje Wit (D) F3  -  Albatros F5</v>
      </c>
      <c r="I107" s="40">
        <v>0.375</v>
      </c>
      <c r="J107" s="7" t="s">
        <v>376</v>
      </c>
      <c r="K107" s="7" t="s">
        <v>1673</v>
      </c>
      <c r="L107" s="7" t="s">
        <v>14</v>
      </c>
      <c r="M107" s="7" t="s">
        <v>14</v>
      </c>
    </row>
    <row r="108" spans="1:13" ht="16.2">
      <c r="A108" s="7">
        <v>30950</v>
      </c>
      <c r="B108" s="7" t="s">
        <v>1682</v>
      </c>
      <c r="C108" s="7" t="s">
        <v>284</v>
      </c>
      <c r="D108" s="47">
        <v>43127</v>
      </c>
      <c r="E108" s="7" t="s">
        <v>1760</v>
      </c>
      <c r="F108" s="7" t="s">
        <v>1200</v>
      </c>
      <c r="G108" s="7" t="s">
        <v>1406</v>
      </c>
      <c r="H108" s="46" t="str">
        <f t="shared" si="0"/>
        <v>Oranje Wit (D) F2  -  Albatros F3</v>
      </c>
      <c r="I108" s="40">
        <v>0.41666666666666669</v>
      </c>
      <c r="J108" s="7" t="s">
        <v>376</v>
      </c>
      <c r="K108" s="7" t="s">
        <v>1669</v>
      </c>
      <c r="L108" s="7" t="s">
        <v>14</v>
      </c>
      <c r="M108" s="7" t="s">
        <v>14</v>
      </c>
    </row>
    <row r="109" spans="1:13" ht="16.2">
      <c r="A109" s="7">
        <v>30439</v>
      </c>
      <c r="B109" s="7" t="s">
        <v>1733</v>
      </c>
      <c r="C109" s="7" t="s">
        <v>284</v>
      </c>
      <c r="D109" s="47">
        <v>43106</v>
      </c>
      <c r="E109" s="7" t="s">
        <v>1761</v>
      </c>
      <c r="F109" s="7" t="s">
        <v>1200</v>
      </c>
      <c r="G109" s="7" t="s">
        <v>1404</v>
      </c>
      <c r="H109" s="46" t="str">
        <f t="shared" si="0"/>
        <v>Oranje Wit (D) F1  -  Albatros F2</v>
      </c>
      <c r="I109" s="40">
        <v>0.375</v>
      </c>
      <c r="J109" s="7" t="s">
        <v>376</v>
      </c>
      <c r="K109" s="7" t="s">
        <v>1669</v>
      </c>
      <c r="L109" s="7" t="s">
        <v>14</v>
      </c>
      <c r="M109" s="7" t="s">
        <v>14</v>
      </c>
    </row>
    <row r="110" spans="1:13" ht="16.2">
      <c r="A110" s="7">
        <v>36526</v>
      </c>
      <c r="B110" s="7" t="s">
        <v>1643</v>
      </c>
      <c r="C110" s="7" t="s">
        <v>284</v>
      </c>
      <c r="D110" s="47">
        <v>43134</v>
      </c>
      <c r="E110" s="7" t="s">
        <v>1762</v>
      </c>
      <c r="F110" s="7" t="s">
        <v>1200</v>
      </c>
      <c r="G110" s="7" t="s">
        <v>1416</v>
      </c>
      <c r="H110" s="46" t="str">
        <f t="shared" si="0"/>
        <v>Oranje Wit (D) E2  -  Albatros E1</v>
      </c>
      <c r="I110" s="40">
        <v>0.41666666666666669</v>
      </c>
      <c r="J110" s="7" t="s">
        <v>376</v>
      </c>
      <c r="K110" s="7" t="s">
        <v>1732</v>
      </c>
      <c r="L110" s="7" t="s">
        <v>14</v>
      </c>
      <c r="M110" s="7" t="s">
        <v>14</v>
      </c>
    </row>
    <row r="111" spans="1:13" ht="16.2">
      <c r="A111" s="7">
        <v>27804</v>
      </c>
      <c r="B111" s="7" t="s">
        <v>1763</v>
      </c>
      <c r="C111" s="7" t="s">
        <v>284</v>
      </c>
      <c r="D111" s="47">
        <v>43127</v>
      </c>
      <c r="E111" s="7" t="s">
        <v>1764</v>
      </c>
      <c r="F111" s="7" t="s">
        <v>1200</v>
      </c>
      <c r="G111" s="7" t="s">
        <v>1283</v>
      </c>
      <c r="H111" s="46" t="str">
        <f t="shared" si="0"/>
        <v>Oranje Wit (D) D2  -  Albatros D2</v>
      </c>
      <c r="I111" s="40">
        <v>0.45833333333333331</v>
      </c>
      <c r="J111" s="7" t="s">
        <v>376</v>
      </c>
      <c r="K111" s="7" t="s">
        <v>1669</v>
      </c>
      <c r="L111" s="7" t="s">
        <v>14</v>
      </c>
      <c r="M111" s="7" t="s">
        <v>14</v>
      </c>
    </row>
    <row r="112" spans="1:13" ht="16.2">
      <c r="A112" s="7">
        <v>21628</v>
      </c>
      <c r="B112" s="7" t="s">
        <v>1635</v>
      </c>
      <c r="C112" s="7" t="s">
        <v>284</v>
      </c>
      <c r="D112" s="47">
        <v>43169</v>
      </c>
      <c r="E112" s="7" t="s">
        <v>1765</v>
      </c>
      <c r="F112" s="7" t="s">
        <v>1200</v>
      </c>
      <c r="G112" s="7" t="s">
        <v>1255</v>
      </c>
      <c r="H112" s="46" t="str">
        <f t="shared" si="0"/>
        <v>Oranje Wit (D) D1  -  Albatros D1</v>
      </c>
      <c r="I112" s="40">
        <v>0.375</v>
      </c>
      <c r="J112" s="7" t="s">
        <v>376</v>
      </c>
      <c r="K112" s="7" t="s">
        <v>1669</v>
      </c>
      <c r="L112" s="7" t="s">
        <v>14</v>
      </c>
      <c r="M112" s="7" t="s">
        <v>14</v>
      </c>
    </row>
    <row r="113" spans="1:13" ht="16.2">
      <c r="A113" s="7">
        <v>24663</v>
      </c>
      <c r="B113" s="7" t="s">
        <v>1684</v>
      </c>
      <c r="C113" s="7" t="s">
        <v>284</v>
      </c>
      <c r="D113" s="47">
        <v>43113</v>
      </c>
      <c r="E113" s="7" t="s">
        <v>1766</v>
      </c>
      <c r="F113" s="7" t="s">
        <v>1200</v>
      </c>
      <c r="G113" s="7" t="s">
        <v>1686</v>
      </c>
      <c r="H113" s="46" t="str">
        <f t="shared" si="0"/>
        <v>Oranje Wit (D) C4  -  Albatros C4</v>
      </c>
      <c r="I113" s="40">
        <v>0.54166666666666663</v>
      </c>
      <c r="J113" s="7" t="s">
        <v>376</v>
      </c>
      <c r="K113" s="7" t="s">
        <v>1669</v>
      </c>
      <c r="L113" s="7" t="s">
        <v>14</v>
      </c>
      <c r="M113" s="7" t="s">
        <v>14</v>
      </c>
    </row>
    <row r="114" spans="1:13" ht="16.2">
      <c r="A114" s="7">
        <v>21035</v>
      </c>
      <c r="B114" s="7" t="s">
        <v>1649</v>
      </c>
      <c r="C114" s="7" t="s">
        <v>284</v>
      </c>
      <c r="D114" s="47">
        <v>43134</v>
      </c>
      <c r="E114" s="7" t="s">
        <v>1767</v>
      </c>
      <c r="F114" s="7" t="s">
        <v>1200</v>
      </c>
      <c r="G114" s="7" t="s">
        <v>1252</v>
      </c>
      <c r="H114" s="46" t="str">
        <f t="shared" si="0"/>
        <v>Oranje Wit (D) C2  -  Albatros C1</v>
      </c>
      <c r="I114" s="40">
        <v>0.63541666666666663</v>
      </c>
      <c r="J114" s="7" t="s">
        <v>376</v>
      </c>
      <c r="K114" s="7" t="s">
        <v>1669</v>
      </c>
      <c r="L114" s="7" t="s">
        <v>14</v>
      </c>
      <c r="M114" s="7" t="s">
        <v>14</v>
      </c>
    </row>
    <row r="115" spans="1:13" ht="16.2">
      <c r="A115" s="7">
        <v>19344</v>
      </c>
      <c r="B115" s="7" t="s">
        <v>1614</v>
      </c>
      <c r="C115" s="7" t="s">
        <v>284</v>
      </c>
      <c r="D115" s="47">
        <v>43113</v>
      </c>
      <c r="E115" s="7" t="s">
        <v>1768</v>
      </c>
      <c r="F115" s="7" t="s">
        <v>1200</v>
      </c>
      <c r="G115" s="7" t="s">
        <v>1418</v>
      </c>
      <c r="H115" s="46" t="str">
        <f t="shared" si="0"/>
        <v>Oranje Wit (D) B5  -  Albatros B4</v>
      </c>
      <c r="I115" s="40">
        <v>0.6875</v>
      </c>
      <c r="J115" s="7" t="s">
        <v>376</v>
      </c>
      <c r="K115" s="7" t="s">
        <v>1673</v>
      </c>
      <c r="L115" s="7" t="s">
        <v>14</v>
      </c>
      <c r="M115" s="7" t="s">
        <v>14</v>
      </c>
    </row>
    <row r="116" spans="1:13" ht="16.2">
      <c r="A116" s="7">
        <v>20116</v>
      </c>
      <c r="B116" s="7" t="s">
        <v>1651</v>
      </c>
      <c r="C116" s="7" t="s">
        <v>284</v>
      </c>
      <c r="D116" s="45">
        <v>43050</v>
      </c>
      <c r="E116" s="7" t="s">
        <v>1541</v>
      </c>
      <c r="F116" s="7" t="s">
        <v>1200</v>
      </c>
      <c r="G116" s="7" t="s">
        <v>1258</v>
      </c>
      <c r="H116" s="46" t="str">
        <f t="shared" si="0"/>
        <v>Oranje Wit (D) B2  -  Albatros B1</v>
      </c>
      <c r="I116" s="40">
        <v>0.5</v>
      </c>
      <c r="J116" s="7" t="s">
        <v>376</v>
      </c>
      <c r="K116" s="7" t="s">
        <v>1669</v>
      </c>
      <c r="L116" s="7" t="s">
        <v>14</v>
      </c>
      <c r="M116" s="7" t="s">
        <v>14</v>
      </c>
    </row>
    <row r="117" spans="1:13" ht="16.2">
      <c r="A117" s="7">
        <v>21386</v>
      </c>
      <c r="B117" s="7" t="s">
        <v>1769</v>
      </c>
      <c r="C117" s="7" t="s">
        <v>284</v>
      </c>
      <c r="D117" s="47">
        <v>43127</v>
      </c>
      <c r="E117" s="7" t="s">
        <v>1770</v>
      </c>
      <c r="F117" s="7" t="s">
        <v>1200</v>
      </c>
      <c r="G117" s="7" t="s">
        <v>1400</v>
      </c>
      <c r="H117" s="46" t="str">
        <f t="shared" si="0"/>
        <v>ONDO (G) 5  -  Albatros 9</v>
      </c>
      <c r="I117" s="40">
        <v>0.87847222222222221</v>
      </c>
      <c r="J117" s="7" t="s">
        <v>1771</v>
      </c>
      <c r="K117" s="7" t="s">
        <v>1615</v>
      </c>
      <c r="L117" s="7" t="s">
        <v>14</v>
      </c>
      <c r="M117" s="7" t="s">
        <v>14</v>
      </c>
    </row>
    <row r="118" spans="1:13" ht="16.2">
      <c r="A118" s="7">
        <v>24305</v>
      </c>
      <c r="B118" s="7" t="s">
        <v>1645</v>
      </c>
      <c r="C118" s="7" t="s">
        <v>284</v>
      </c>
      <c r="D118" s="45">
        <v>43057</v>
      </c>
      <c r="E118" s="7" t="s">
        <v>1772</v>
      </c>
      <c r="F118" s="7" t="s">
        <v>1200</v>
      </c>
      <c r="G118" s="7" t="s">
        <v>1302</v>
      </c>
      <c r="H118" s="46" t="str">
        <f t="shared" si="0"/>
        <v>ONDO (G) C2  -  Albatros C3</v>
      </c>
      <c r="I118" s="40">
        <v>0.61805555555555558</v>
      </c>
      <c r="J118" s="7" t="s">
        <v>1773</v>
      </c>
      <c r="K118" s="7" t="s">
        <v>1615</v>
      </c>
      <c r="L118" s="7" t="s">
        <v>14</v>
      </c>
      <c r="M118" s="7" t="s">
        <v>14</v>
      </c>
    </row>
    <row r="119" spans="1:13" ht="16.2">
      <c r="A119" s="7">
        <v>18971</v>
      </c>
      <c r="B119" s="7" t="s">
        <v>1614</v>
      </c>
      <c r="C119" s="7" t="s">
        <v>284</v>
      </c>
      <c r="D119" s="47">
        <v>43127</v>
      </c>
      <c r="E119" s="7" t="s">
        <v>1774</v>
      </c>
      <c r="F119" s="7" t="s">
        <v>1200</v>
      </c>
      <c r="G119" s="7" t="s">
        <v>1418</v>
      </c>
      <c r="H119" s="46" t="str">
        <f t="shared" si="0"/>
        <v>ONDO (G) B5  -  Albatros B4</v>
      </c>
      <c r="I119" s="40">
        <v>0.5</v>
      </c>
      <c r="J119" s="7" t="s">
        <v>1773</v>
      </c>
      <c r="K119" s="7" t="s">
        <v>1615</v>
      </c>
      <c r="L119" s="7" t="s">
        <v>14</v>
      </c>
      <c r="M119" s="7" t="s">
        <v>14</v>
      </c>
    </row>
    <row r="120" spans="1:13" ht="16.2">
      <c r="A120" s="7">
        <v>34406</v>
      </c>
      <c r="B120" s="7" t="s">
        <v>1616</v>
      </c>
      <c r="C120" s="7" t="s">
        <v>284</v>
      </c>
      <c r="D120" s="47">
        <v>43078</v>
      </c>
      <c r="E120" s="7" t="s">
        <v>1775</v>
      </c>
      <c r="F120" s="7" t="s">
        <v>1200</v>
      </c>
      <c r="G120" s="7" t="s">
        <v>1291</v>
      </c>
      <c r="H120" s="46" t="str">
        <f t="shared" si="0"/>
        <v>Olympia (S) E2  -  Albatros E3</v>
      </c>
      <c r="I120" s="40">
        <v>0.375</v>
      </c>
      <c r="J120" s="7" t="s">
        <v>520</v>
      </c>
      <c r="K120" s="7" t="s">
        <v>1615</v>
      </c>
      <c r="L120" s="7" t="s">
        <v>14</v>
      </c>
      <c r="M120" s="7" t="s">
        <v>14</v>
      </c>
    </row>
    <row r="121" spans="1:13" ht="16.2">
      <c r="A121" s="7">
        <v>23983</v>
      </c>
      <c r="B121" s="7" t="s">
        <v>1647</v>
      </c>
      <c r="C121" s="7" t="s">
        <v>284</v>
      </c>
      <c r="D121" s="47">
        <v>43078</v>
      </c>
      <c r="E121" s="7" t="s">
        <v>1776</v>
      </c>
      <c r="F121" s="7" t="s">
        <v>1200</v>
      </c>
      <c r="G121" s="7" t="s">
        <v>1305</v>
      </c>
      <c r="H121" s="46" t="str">
        <f t="shared" si="0"/>
        <v>Olympia (S) C1  -  Albatros C2</v>
      </c>
      <c r="I121" s="40">
        <v>0.54166666666666663</v>
      </c>
      <c r="J121" s="7" t="s">
        <v>520</v>
      </c>
      <c r="K121" s="7" t="s">
        <v>1615</v>
      </c>
      <c r="L121" s="7" t="s">
        <v>14</v>
      </c>
      <c r="M121" s="7" t="s">
        <v>14</v>
      </c>
    </row>
    <row r="122" spans="1:13" ht="16.2">
      <c r="A122" s="7">
        <v>37960</v>
      </c>
      <c r="B122" s="7" t="s">
        <v>1746</v>
      </c>
      <c r="C122" s="7" t="s">
        <v>284</v>
      </c>
      <c r="D122" s="45">
        <v>43085</v>
      </c>
      <c r="E122" s="7" t="s">
        <v>1777</v>
      </c>
      <c r="F122" s="7" t="s">
        <v>1200</v>
      </c>
      <c r="G122" s="7" t="s">
        <v>1414</v>
      </c>
      <c r="H122" s="46" t="str">
        <f t="shared" si="0"/>
        <v>ODO E4  -  Albatros E7</v>
      </c>
      <c r="I122" s="40">
        <v>0.375</v>
      </c>
      <c r="J122" s="7" t="s">
        <v>1778</v>
      </c>
      <c r="K122" s="7" t="s">
        <v>1615</v>
      </c>
      <c r="L122" s="7" t="s">
        <v>14</v>
      </c>
      <c r="M122" s="7" t="s">
        <v>14</v>
      </c>
    </row>
    <row r="123" spans="1:13" ht="16.2">
      <c r="A123" s="7">
        <v>21764</v>
      </c>
      <c r="B123" s="7" t="s">
        <v>1635</v>
      </c>
      <c r="C123" s="7" t="s">
        <v>284</v>
      </c>
      <c r="D123" s="47">
        <v>43071</v>
      </c>
      <c r="E123" s="7" t="s">
        <v>1779</v>
      </c>
      <c r="F123" s="7" t="s">
        <v>1200</v>
      </c>
      <c r="G123" s="7" t="s">
        <v>1255</v>
      </c>
      <c r="H123" s="46" t="str">
        <f t="shared" si="0"/>
        <v>NKV D1  -  Albatros D1</v>
      </c>
      <c r="I123" s="40">
        <v>0.61111111111111116</v>
      </c>
      <c r="J123" s="7" t="s">
        <v>1780</v>
      </c>
      <c r="K123" s="7" t="s">
        <v>1615</v>
      </c>
      <c r="L123" s="7" t="s">
        <v>14</v>
      </c>
      <c r="M123" s="7" t="s">
        <v>14</v>
      </c>
    </row>
    <row r="124" spans="1:13" ht="16.2">
      <c r="A124" s="7">
        <v>20522</v>
      </c>
      <c r="B124" s="7" t="s">
        <v>1769</v>
      </c>
      <c r="C124" s="7" t="s">
        <v>284</v>
      </c>
      <c r="D124" s="45">
        <v>43050</v>
      </c>
      <c r="E124" s="7" t="s">
        <v>1502</v>
      </c>
      <c r="F124" s="7" t="s">
        <v>1200</v>
      </c>
      <c r="G124" s="7" t="s">
        <v>1400</v>
      </c>
      <c r="H124" s="46" t="str">
        <f t="shared" si="0"/>
        <v>NIO 3  -  Albatros 9</v>
      </c>
      <c r="I124" s="40">
        <v>0.54166666666666663</v>
      </c>
      <c r="J124" s="7" t="s">
        <v>313</v>
      </c>
      <c r="K124" s="7" t="s">
        <v>1615</v>
      </c>
      <c r="L124" s="7" t="s">
        <v>14</v>
      </c>
      <c r="M124" s="7" t="s">
        <v>14</v>
      </c>
    </row>
    <row r="125" spans="1:13" ht="16.2">
      <c r="A125" s="7">
        <v>35164</v>
      </c>
      <c r="B125" s="7" t="s">
        <v>1632</v>
      </c>
      <c r="C125" s="7" t="s">
        <v>284</v>
      </c>
      <c r="D125" s="47">
        <v>43071</v>
      </c>
      <c r="E125" s="7" t="s">
        <v>1781</v>
      </c>
      <c r="F125" s="7" t="s">
        <v>1200</v>
      </c>
      <c r="G125" s="7" t="s">
        <v>1294</v>
      </c>
      <c r="H125" s="46" t="str">
        <f t="shared" si="0"/>
        <v>NIO E3  -  Albatros E4</v>
      </c>
      <c r="I125" s="40">
        <v>0.45833333333333331</v>
      </c>
      <c r="J125" s="7" t="s">
        <v>313</v>
      </c>
      <c r="K125" s="7" t="s">
        <v>1615</v>
      </c>
      <c r="L125" s="7" t="s">
        <v>14</v>
      </c>
      <c r="M125" s="7" t="s">
        <v>14</v>
      </c>
    </row>
    <row r="126" spans="1:13" ht="16.2">
      <c r="A126" s="7">
        <v>20765</v>
      </c>
      <c r="B126" s="7" t="s">
        <v>1769</v>
      </c>
      <c r="C126" s="7" t="s">
        <v>284</v>
      </c>
      <c r="D126" s="47">
        <v>43155</v>
      </c>
      <c r="E126" s="7" t="s">
        <v>1782</v>
      </c>
      <c r="F126" s="7" t="s">
        <v>1200</v>
      </c>
      <c r="G126" s="7" t="s">
        <v>1400</v>
      </c>
      <c r="H126" s="46" t="str">
        <f t="shared" si="0"/>
        <v>Nieuwerkerk 8  -  Albatros 9</v>
      </c>
      <c r="I126" s="40">
        <v>0.71875</v>
      </c>
      <c r="J126" s="7" t="s">
        <v>589</v>
      </c>
      <c r="K126" s="7" t="s">
        <v>1615</v>
      </c>
      <c r="L126" s="7" t="s">
        <v>14</v>
      </c>
      <c r="M126" s="7" t="s">
        <v>14</v>
      </c>
    </row>
    <row r="127" spans="1:13" ht="16.2">
      <c r="A127" s="7">
        <v>21170</v>
      </c>
      <c r="B127" s="7" t="s">
        <v>1653</v>
      </c>
      <c r="C127" s="7" t="s">
        <v>284</v>
      </c>
      <c r="D127" s="47">
        <v>43141</v>
      </c>
      <c r="E127" s="7" t="s">
        <v>1783</v>
      </c>
      <c r="F127" s="7" t="s">
        <v>1200</v>
      </c>
      <c r="G127" s="7" t="s">
        <v>1261</v>
      </c>
      <c r="H127" s="46" t="str">
        <f t="shared" si="0"/>
        <v>Nieuwerkerk 10  -  Albatros 8</v>
      </c>
      <c r="I127" s="40">
        <v>0.84722222222222221</v>
      </c>
      <c r="J127" s="7" t="s">
        <v>589</v>
      </c>
      <c r="K127" s="7" t="s">
        <v>1615</v>
      </c>
      <c r="L127" s="7" t="s">
        <v>14</v>
      </c>
      <c r="M127" s="7" t="s">
        <v>14</v>
      </c>
    </row>
    <row r="128" spans="1:13" ht="16.2">
      <c r="A128" s="7">
        <v>38537</v>
      </c>
      <c r="B128" s="7" t="s">
        <v>1730</v>
      </c>
      <c r="C128" s="7" t="s">
        <v>284</v>
      </c>
      <c r="D128" s="47">
        <v>43113</v>
      </c>
      <c r="E128" s="7" t="s">
        <v>1784</v>
      </c>
      <c r="F128" s="7" t="s">
        <v>1200</v>
      </c>
      <c r="G128" s="7" t="s">
        <v>1271</v>
      </c>
      <c r="H128" s="46" t="str">
        <f t="shared" si="0"/>
        <v>Nieuwerkerk F3  -  Albatros F4</v>
      </c>
      <c r="I128" s="40">
        <v>0.375</v>
      </c>
      <c r="J128" s="7" t="s">
        <v>589</v>
      </c>
      <c r="K128" s="7" t="s">
        <v>1615</v>
      </c>
      <c r="L128" s="7" t="s">
        <v>14</v>
      </c>
      <c r="M128" s="7" t="s">
        <v>14</v>
      </c>
    </row>
    <row r="129" spans="1:13" ht="16.2">
      <c r="A129" s="7">
        <v>32877</v>
      </c>
      <c r="B129" s="7" t="s">
        <v>1746</v>
      </c>
      <c r="C129" s="7" t="s">
        <v>284</v>
      </c>
      <c r="D129" s="47">
        <v>43169</v>
      </c>
      <c r="E129" s="7" t="s">
        <v>1785</v>
      </c>
      <c r="F129" s="7" t="s">
        <v>1200</v>
      </c>
      <c r="G129" s="7" t="s">
        <v>1414</v>
      </c>
      <c r="H129" s="46" t="str">
        <f t="shared" si="0"/>
        <v>Nieuwerkerk E6  -  Albatros E7</v>
      </c>
      <c r="I129" s="40">
        <v>0.375</v>
      </c>
      <c r="J129" s="7" t="s">
        <v>589</v>
      </c>
      <c r="K129" s="7" t="s">
        <v>1615</v>
      </c>
      <c r="L129" s="7" t="s">
        <v>14</v>
      </c>
      <c r="M129" s="7" t="s">
        <v>14</v>
      </c>
    </row>
    <row r="130" spans="1:13" ht="16.2">
      <c r="A130" s="7">
        <v>27875</v>
      </c>
      <c r="B130" s="7" t="s">
        <v>1637</v>
      </c>
      <c r="C130" s="7" t="s">
        <v>284</v>
      </c>
      <c r="D130" s="45">
        <v>43057</v>
      </c>
      <c r="E130" s="7" t="s">
        <v>1786</v>
      </c>
      <c r="F130" s="7" t="s">
        <v>1200</v>
      </c>
      <c r="G130" s="7" t="s">
        <v>1277</v>
      </c>
      <c r="H130" s="46" t="str">
        <f t="shared" si="0"/>
        <v>Nieuwerkerk D4  -  Albatros D4</v>
      </c>
      <c r="I130" s="40">
        <v>0.5</v>
      </c>
      <c r="J130" s="7" t="s">
        <v>589</v>
      </c>
      <c r="K130" s="7" t="s">
        <v>1615</v>
      </c>
      <c r="L130" s="7" t="s">
        <v>14</v>
      </c>
      <c r="M130" s="7" t="s">
        <v>14</v>
      </c>
    </row>
    <row r="131" spans="1:13" ht="16.2">
      <c r="A131" s="7">
        <v>18814</v>
      </c>
      <c r="B131" s="7" t="s">
        <v>1614</v>
      </c>
      <c r="C131" s="7" t="s">
        <v>284</v>
      </c>
      <c r="D131" s="45">
        <v>43085</v>
      </c>
      <c r="E131" s="7" t="s">
        <v>1787</v>
      </c>
      <c r="F131" s="7" t="s">
        <v>1200</v>
      </c>
      <c r="G131" s="7" t="s">
        <v>1418</v>
      </c>
      <c r="H131" s="46" t="str">
        <f t="shared" si="0"/>
        <v>Nieuwerkerk B3  -  Albatros B4</v>
      </c>
      <c r="I131" s="40">
        <v>0.58333333333333337</v>
      </c>
      <c r="J131" s="7" t="s">
        <v>589</v>
      </c>
      <c r="K131" s="7" t="s">
        <v>1615</v>
      </c>
      <c r="L131" s="7" t="s">
        <v>14</v>
      </c>
      <c r="M131" s="7" t="s">
        <v>14</v>
      </c>
    </row>
    <row r="132" spans="1:13" ht="16.2">
      <c r="A132" s="7">
        <v>16472</v>
      </c>
      <c r="B132" s="7" t="s">
        <v>1676</v>
      </c>
      <c r="C132" s="7" t="s">
        <v>284</v>
      </c>
      <c r="D132" s="47">
        <v>43078</v>
      </c>
      <c r="E132" s="7" t="s">
        <v>1788</v>
      </c>
      <c r="F132" s="7" t="s">
        <v>1200</v>
      </c>
      <c r="G132" s="7" t="s">
        <v>1420</v>
      </c>
      <c r="H132" s="46" t="str">
        <f t="shared" si="0"/>
        <v>Nieuwerkerk A3  -  Albatros A3</v>
      </c>
      <c r="I132" s="40">
        <v>0.45833333333333331</v>
      </c>
      <c r="J132" s="7" t="s">
        <v>589</v>
      </c>
      <c r="K132" s="7" t="s">
        <v>1615</v>
      </c>
      <c r="L132" s="7" t="s">
        <v>14</v>
      </c>
      <c r="M132" s="7" t="s">
        <v>14</v>
      </c>
    </row>
    <row r="133" spans="1:13" ht="16.2">
      <c r="A133" s="7">
        <v>35676</v>
      </c>
      <c r="B133" s="7" t="s">
        <v>1616</v>
      </c>
      <c r="C133" s="7" t="s">
        <v>284</v>
      </c>
      <c r="D133" s="47">
        <v>43120</v>
      </c>
      <c r="E133" s="7" t="s">
        <v>1789</v>
      </c>
      <c r="F133" s="7" t="s">
        <v>1200</v>
      </c>
      <c r="G133" s="7" t="s">
        <v>1291</v>
      </c>
      <c r="H133" s="46" t="str">
        <f t="shared" si="0"/>
        <v>Nexus E2  -  Albatros E3</v>
      </c>
      <c r="I133" s="40">
        <v>0.39583333333333331</v>
      </c>
      <c r="J133" s="7" t="s">
        <v>525</v>
      </c>
      <c r="K133" s="7" t="s">
        <v>1615</v>
      </c>
      <c r="L133" s="7" t="s">
        <v>14</v>
      </c>
      <c r="M133" s="7" t="s">
        <v>14</v>
      </c>
    </row>
    <row r="134" spans="1:13" ht="16.2">
      <c r="A134" s="7">
        <v>29774</v>
      </c>
      <c r="B134" s="7" t="s">
        <v>1682</v>
      </c>
      <c r="C134" s="7" t="s">
        <v>284</v>
      </c>
      <c r="D134" s="47">
        <v>43169</v>
      </c>
      <c r="E134" s="7" t="s">
        <v>1790</v>
      </c>
      <c r="F134" s="7" t="s">
        <v>1200</v>
      </c>
      <c r="G134" s="7" t="s">
        <v>1406</v>
      </c>
      <c r="H134" s="46" t="str">
        <f t="shared" si="0"/>
        <v>Movado F2  -  Albatros F3</v>
      </c>
      <c r="I134" s="40">
        <v>0.41666666666666669</v>
      </c>
      <c r="J134" s="7" t="s">
        <v>376</v>
      </c>
      <c r="K134" s="7" t="s">
        <v>1729</v>
      </c>
      <c r="L134" s="7" t="s">
        <v>14</v>
      </c>
      <c r="M134" s="7" t="s">
        <v>14</v>
      </c>
    </row>
    <row r="135" spans="1:13" ht="16.2">
      <c r="A135" s="7">
        <v>31928</v>
      </c>
      <c r="B135" s="7" t="s">
        <v>1626</v>
      </c>
      <c r="C135" s="7" t="s">
        <v>284</v>
      </c>
      <c r="D135" s="47">
        <v>43134</v>
      </c>
      <c r="E135" s="7" t="s">
        <v>1791</v>
      </c>
      <c r="F135" s="7" t="s">
        <v>1200</v>
      </c>
      <c r="G135" s="7" t="s">
        <v>1275</v>
      </c>
      <c r="H135" s="46" t="str">
        <f t="shared" si="0"/>
        <v>Movado F1  -  Albatros F1</v>
      </c>
      <c r="I135" s="40">
        <v>0.41666666666666669</v>
      </c>
      <c r="J135" s="7" t="s">
        <v>376</v>
      </c>
      <c r="K135" s="7" t="s">
        <v>1669</v>
      </c>
      <c r="L135" s="7" t="s">
        <v>14</v>
      </c>
      <c r="M135" s="7" t="s">
        <v>14</v>
      </c>
    </row>
    <row r="136" spans="1:13" ht="16.2">
      <c r="A136" s="7">
        <v>32829</v>
      </c>
      <c r="B136" s="7" t="s">
        <v>1632</v>
      </c>
      <c r="C136" s="7" t="s">
        <v>284</v>
      </c>
      <c r="D136" s="47">
        <v>43169</v>
      </c>
      <c r="E136" s="7" t="s">
        <v>1792</v>
      </c>
      <c r="F136" s="7" t="s">
        <v>1200</v>
      </c>
      <c r="G136" s="7" t="s">
        <v>1294</v>
      </c>
      <c r="H136" s="46" t="str">
        <f t="shared" si="0"/>
        <v>Movado E1  -  Albatros E4</v>
      </c>
      <c r="I136" s="40">
        <v>0.41666666666666669</v>
      </c>
      <c r="J136" s="7" t="s">
        <v>376</v>
      </c>
      <c r="K136" s="7" t="s">
        <v>1673</v>
      </c>
      <c r="L136" s="7" t="s">
        <v>14</v>
      </c>
      <c r="M136" s="7" t="s">
        <v>14</v>
      </c>
    </row>
    <row r="137" spans="1:13" ht="16.2">
      <c r="A137" s="7">
        <v>20468</v>
      </c>
      <c r="B137" s="7" t="s">
        <v>1679</v>
      </c>
      <c r="C137" s="7" t="s">
        <v>609</v>
      </c>
      <c r="D137" s="47">
        <v>43168</v>
      </c>
      <c r="E137" s="7" t="s">
        <v>1793</v>
      </c>
      <c r="F137" s="7" t="s">
        <v>1200</v>
      </c>
      <c r="G137" s="7" t="s">
        <v>1395</v>
      </c>
      <c r="H137" s="46" t="str">
        <f t="shared" si="0"/>
        <v>Merwede/Multiplaat 7  -  Albatros 6</v>
      </c>
      <c r="I137" s="40">
        <v>0.79166666666666663</v>
      </c>
      <c r="J137" s="7" t="s">
        <v>320</v>
      </c>
      <c r="K137" s="7" t="s">
        <v>1794</v>
      </c>
      <c r="L137" s="7" t="s">
        <v>14</v>
      </c>
      <c r="M137" s="7" t="s">
        <v>14</v>
      </c>
    </row>
    <row r="138" spans="1:13" ht="16.2">
      <c r="A138" s="7">
        <v>22586</v>
      </c>
      <c r="B138" s="7" t="s">
        <v>1725</v>
      </c>
      <c r="C138" s="7" t="s">
        <v>284</v>
      </c>
      <c r="D138" s="45">
        <v>43085</v>
      </c>
      <c r="E138" s="7" t="s">
        <v>1795</v>
      </c>
      <c r="F138" s="7" t="s">
        <v>1200</v>
      </c>
      <c r="G138" s="7" t="s">
        <v>1398</v>
      </c>
      <c r="H138" s="46" t="str">
        <f t="shared" si="0"/>
        <v>Merwede/Multiplaat 6  -  Albatros 7</v>
      </c>
      <c r="I138" s="40">
        <v>0.71180555555555558</v>
      </c>
      <c r="J138" s="7" t="s">
        <v>320</v>
      </c>
      <c r="K138" s="7" t="s">
        <v>1615</v>
      </c>
      <c r="L138" s="7" t="s">
        <v>14</v>
      </c>
      <c r="M138" s="7" t="s">
        <v>14</v>
      </c>
    </row>
    <row r="139" spans="1:13" ht="16.2">
      <c r="A139" s="7">
        <v>22756</v>
      </c>
      <c r="B139" s="7" t="s">
        <v>1661</v>
      </c>
      <c r="C139" s="7" t="s">
        <v>284</v>
      </c>
      <c r="D139" s="47">
        <v>43113</v>
      </c>
      <c r="E139" s="7" t="s">
        <v>1796</v>
      </c>
      <c r="F139" s="7" t="s">
        <v>1200</v>
      </c>
      <c r="G139" s="7" t="s">
        <v>1263</v>
      </c>
      <c r="H139" s="46" t="str">
        <f t="shared" si="0"/>
        <v>Merwede/Multiplaat 5  -  Albatros 5</v>
      </c>
      <c r="I139" s="40">
        <v>0.68055555555555558</v>
      </c>
      <c r="J139" s="7" t="s">
        <v>320</v>
      </c>
      <c r="K139" s="7" t="s">
        <v>1615</v>
      </c>
      <c r="L139" s="7" t="s">
        <v>14</v>
      </c>
      <c r="M139" s="7" t="s">
        <v>14</v>
      </c>
    </row>
    <row r="140" spans="1:13" ht="16.2">
      <c r="A140" s="7">
        <v>14908</v>
      </c>
      <c r="B140" s="7" t="s">
        <v>1719</v>
      </c>
      <c r="C140" s="7" t="s">
        <v>284</v>
      </c>
      <c r="D140" s="45">
        <v>43050</v>
      </c>
      <c r="E140" s="7" t="s">
        <v>1797</v>
      </c>
      <c r="F140" s="7" t="s">
        <v>1200</v>
      </c>
      <c r="G140" s="7" t="s">
        <v>1322</v>
      </c>
      <c r="H140" s="46" t="str">
        <f t="shared" si="0"/>
        <v>Merwede/Multiplaat 4  -  Albatros 3</v>
      </c>
      <c r="I140" s="40">
        <v>0.86805555555555558</v>
      </c>
      <c r="J140" s="7" t="s">
        <v>320</v>
      </c>
      <c r="K140" s="7" t="s">
        <v>1615</v>
      </c>
      <c r="L140" s="7" t="s">
        <v>14</v>
      </c>
      <c r="M140" s="7" t="s">
        <v>14</v>
      </c>
    </row>
    <row r="141" spans="1:13" ht="16.2">
      <c r="A141" s="7">
        <v>29773</v>
      </c>
      <c r="B141" s="7" t="s">
        <v>1730</v>
      </c>
      <c r="C141" s="7" t="s">
        <v>284</v>
      </c>
      <c r="D141" s="47">
        <v>43134</v>
      </c>
      <c r="E141" s="7" t="s">
        <v>1798</v>
      </c>
      <c r="F141" s="7" t="s">
        <v>1200</v>
      </c>
      <c r="G141" s="7" t="s">
        <v>1271</v>
      </c>
      <c r="H141" s="46" t="str">
        <f t="shared" si="0"/>
        <v>Merwede/Multiplaat F4  -  Albatros F4</v>
      </c>
      <c r="I141" s="40">
        <v>0.41666666666666669</v>
      </c>
      <c r="J141" s="7" t="s">
        <v>320</v>
      </c>
      <c r="K141" s="7" t="s">
        <v>1615</v>
      </c>
      <c r="L141" s="7" t="s">
        <v>14</v>
      </c>
      <c r="M141" s="7" t="s">
        <v>14</v>
      </c>
    </row>
    <row r="142" spans="1:13" ht="16.2">
      <c r="A142" s="7">
        <v>30447</v>
      </c>
      <c r="B142" s="7" t="s">
        <v>1626</v>
      </c>
      <c r="C142" s="7" t="s">
        <v>284</v>
      </c>
      <c r="D142" s="47">
        <v>43106</v>
      </c>
      <c r="E142" s="7" t="s">
        <v>1799</v>
      </c>
      <c r="F142" s="7" t="s">
        <v>1200</v>
      </c>
      <c r="G142" s="7" t="s">
        <v>1275</v>
      </c>
      <c r="H142" s="46" t="str">
        <f t="shared" si="0"/>
        <v>Merwede/Multiplaat F1  -  Albatros F1</v>
      </c>
      <c r="I142" s="40">
        <v>0.41666666666666669</v>
      </c>
      <c r="J142" s="7" t="s">
        <v>320</v>
      </c>
      <c r="K142" s="7" t="s">
        <v>1615</v>
      </c>
      <c r="L142" s="7" t="s">
        <v>14</v>
      </c>
      <c r="M142" s="7" t="s">
        <v>14</v>
      </c>
    </row>
    <row r="143" spans="1:13" ht="16.2">
      <c r="A143" s="7">
        <v>36507</v>
      </c>
      <c r="B143" s="7" t="s">
        <v>1616</v>
      </c>
      <c r="C143" s="7" t="s">
        <v>284</v>
      </c>
      <c r="D143" s="47">
        <v>43134</v>
      </c>
      <c r="E143" s="7" t="s">
        <v>1800</v>
      </c>
      <c r="F143" s="7" t="s">
        <v>1200</v>
      </c>
      <c r="G143" s="7" t="s">
        <v>1291</v>
      </c>
      <c r="H143" s="46" t="str">
        <f t="shared" si="0"/>
        <v>Merwede/Multiplaat E4  -  Albatros E3</v>
      </c>
      <c r="I143" s="40">
        <v>0.41666666666666669</v>
      </c>
      <c r="J143" s="7" t="s">
        <v>320</v>
      </c>
      <c r="K143" s="7" t="s">
        <v>1615</v>
      </c>
      <c r="L143" s="7" t="s">
        <v>14</v>
      </c>
      <c r="M143" s="7" t="s">
        <v>14</v>
      </c>
    </row>
    <row r="144" spans="1:13" ht="16.2">
      <c r="A144" s="7">
        <v>32819</v>
      </c>
      <c r="B144" s="7" t="s">
        <v>1630</v>
      </c>
      <c r="C144" s="7" t="s">
        <v>284</v>
      </c>
      <c r="D144" s="47">
        <v>43169</v>
      </c>
      <c r="E144" s="7" t="s">
        <v>1801</v>
      </c>
      <c r="F144" s="7" t="s">
        <v>1200</v>
      </c>
      <c r="G144" s="7" t="s">
        <v>1412</v>
      </c>
      <c r="H144" s="46" t="str">
        <f t="shared" si="0"/>
        <v>Merwede/Multiplaat E3  -  Albatros E2</v>
      </c>
      <c r="I144" s="40">
        <v>0.41666666666666669</v>
      </c>
      <c r="J144" s="7" t="s">
        <v>320</v>
      </c>
      <c r="K144" s="7" t="s">
        <v>1615</v>
      </c>
      <c r="L144" s="7" t="s">
        <v>14</v>
      </c>
      <c r="M144" s="7" t="s">
        <v>14</v>
      </c>
    </row>
    <row r="145" spans="1:13" ht="16.2">
      <c r="A145" s="7">
        <v>33983</v>
      </c>
      <c r="B145" s="7" t="s">
        <v>1643</v>
      </c>
      <c r="C145" s="7" t="s">
        <v>284</v>
      </c>
      <c r="D145" s="47">
        <v>43106</v>
      </c>
      <c r="E145" s="7" t="s">
        <v>1802</v>
      </c>
      <c r="F145" s="7" t="s">
        <v>1200</v>
      </c>
      <c r="G145" s="7" t="s">
        <v>1416</v>
      </c>
      <c r="H145" s="46" t="str">
        <f t="shared" si="0"/>
        <v>Merwede/Multiplaat E1  -  Albatros E1</v>
      </c>
      <c r="I145" s="40">
        <v>0.41666666666666669</v>
      </c>
      <c r="J145" s="7" t="s">
        <v>320</v>
      </c>
      <c r="K145" s="7" t="s">
        <v>1615</v>
      </c>
      <c r="L145" s="7" t="s">
        <v>14</v>
      </c>
      <c r="M145" s="7" t="s">
        <v>14</v>
      </c>
    </row>
    <row r="146" spans="1:13" ht="16.2">
      <c r="A146" s="7">
        <v>26382</v>
      </c>
      <c r="B146" s="7" t="s">
        <v>1633</v>
      </c>
      <c r="C146" s="7" t="s">
        <v>284</v>
      </c>
      <c r="D146" s="47">
        <v>43176</v>
      </c>
      <c r="E146" s="7" t="s">
        <v>1803</v>
      </c>
      <c r="F146" s="7" t="s">
        <v>1200</v>
      </c>
      <c r="G146" s="7" t="s">
        <v>1280</v>
      </c>
      <c r="H146" s="46" t="str">
        <f t="shared" si="0"/>
        <v>Merwede/Multiplaat D3  -  Albatros D3</v>
      </c>
      <c r="I146" s="40">
        <v>0.45833333333333331</v>
      </c>
      <c r="J146" s="7" t="s">
        <v>320</v>
      </c>
      <c r="K146" s="7" t="s">
        <v>1615</v>
      </c>
      <c r="L146" s="7" t="s">
        <v>14</v>
      </c>
      <c r="M146" s="7" t="s">
        <v>14</v>
      </c>
    </row>
    <row r="147" spans="1:13" ht="16.2">
      <c r="A147" s="7">
        <v>25194</v>
      </c>
      <c r="B147" s="7" t="s">
        <v>1715</v>
      </c>
      <c r="C147" s="7" t="s">
        <v>284</v>
      </c>
      <c r="D147" s="47">
        <v>43134</v>
      </c>
      <c r="E147" s="7" t="s">
        <v>1804</v>
      </c>
      <c r="F147" s="7" t="s">
        <v>1200</v>
      </c>
      <c r="G147" s="7" t="s">
        <v>1717</v>
      </c>
      <c r="H147" s="46" t="str">
        <f t="shared" si="0"/>
        <v>Merwede/Multiplaat C4  -  Albatros C5</v>
      </c>
      <c r="I147" s="40">
        <v>0.54513888888888884</v>
      </c>
      <c r="J147" s="7" t="s">
        <v>320</v>
      </c>
      <c r="K147" s="7" t="s">
        <v>1615</v>
      </c>
      <c r="L147" s="7" t="s">
        <v>14</v>
      </c>
      <c r="M147" s="7" t="s">
        <v>14</v>
      </c>
    </row>
    <row r="148" spans="1:13" ht="16.2">
      <c r="A148" s="7">
        <v>14574</v>
      </c>
      <c r="B148" s="7" t="s">
        <v>1621</v>
      </c>
      <c r="C148" s="7" t="s">
        <v>284</v>
      </c>
      <c r="D148" s="47">
        <v>43134</v>
      </c>
      <c r="E148" s="7" t="s">
        <v>1805</v>
      </c>
      <c r="F148" s="7" t="s">
        <v>1200</v>
      </c>
      <c r="G148" s="7" t="s">
        <v>1344</v>
      </c>
      <c r="H148" s="46" t="str">
        <f t="shared" si="0"/>
        <v>Maassluis 2  -  Albatros 2</v>
      </c>
      <c r="I148" s="40">
        <v>0.72916666666666663</v>
      </c>
      <c r="J148" s="7" t="s">
        <v>520</v>
      </c>
      <c r="K148" s="7" t="s">
        <v>1615</v>
      </c>
      <c r="L148" s="7" t="s">
        <v>14</v>
      </c>
      <c r="M148" s="7" t="s">
        <v>14</v>
      </c>
    </row>
    <row r="149" spans="1:13" ht="16.2">
      <c r="A149" s="7">
        <v>25086</v>
      </c>
      <c r="B149" s="7" t="s">
        <v>1647</v>
      </c>
      <c r="C149" s="7" t="s">
        <v>284</v>
      </c>
      <c r="D149" s="45">
        <v>43064</v>
      </c>
      <c r="E149" s="7" t="s">
        <v>1806</v>
      </c>
      <c r="F149" s="7" t="s">
        <v>1200</v>
      </c>
      <c r="G149" s="7" t="s">
        <v>1305</v>
      </c>
      <c r="H149" s="46" t="str">
        <f t="shared" si="0"/>
        <v>Maassluis C2  -  Albatros C2</v>
      </c>
      <c r="I149" s="40">
        <v>0.4548611111111111</v>
      </c>
      <c r="J149" s="7" t="s">
        <v>520</v>
      </c>
      <c r="K149" s="7" t="s">
        <v>1615</v>
      </c>
      <c r="L149" s="7" t="s">
        <v>14</v>
      </c>
      <c r="M149" s="7" t="s">
        <v>14</v>
      </c>
    </row>
    <row r="150" spans="1:13" ht="16.2">
      <c r="A150" s="7">
        <v>17290</v>
      </c>
      <c r="B150" s="7" t="s">
        <v>1676</v>
      </c>
      <c r="C150" s="7" t="s">
        <v>284</v>
      </c>
      <c r="D150" s="45">
        <v>43092</v>
      </c>
      <c r="E150" s="7" t="s">
        <v>1807</v>
      </c>
      <c r="F150" s="7" t="s">
        <v>1200</v>
      </c>
      <c r="G150" s="7" t="s">
        <v>1420</v>
      </c>
      <c r="H150" s="46" t="str">
        <f t="shared" si="0"/>
        <v>Maassluis A3  -  Albatros A3</v>
      </c>
      <c r="I150" s="40">
        <v>0.625</v>
      </c>
      <c r="J150" s="7" t="s">
        <v>520</v>
      </c>
      <c r="K150" s="7" t="s">
        <v>1615</v>
      </c>
      <c r="L150" s="7" t="s">
        <v>14</v>
      </c>
      <c r="M150" s="7" t="s">
        <v>14</v>
      </c>
    </row>
    <row r="151" spans="1:13" ht="16.2">
      <c r="A151" s="7">
        <v>27317</v>
      </c>
      <c r="B151" s="7" t="s">
        <v>1637</v>
      </c>
      <c r="C151" s="7" t="s">
        <v>284</v>
      </c>
      <c r="D151" s="47">
        <v>43141</v>
      </c>
      <c r="E151" s="7" t="s">
        <v>1808</v>
      </c>
      <c r="F151" s="7" t="s">
        <v>1200</v>
      </c>
      <c r="G151" s="7" t="s">
        <v>1277</v>
      </c>
      <c r="H151" s="46" t="str">
        <f t="shared" si="0"/>
        <v>Korbis D3  -  Albatros D4</v>
      </c>
      <c r="I151" s="40">
        <v>0.60416666666666663</v>
      </c>
      <c r="J151" s="7" t="s">
        <v>514</v>
      </c>
      <c r="K151" s="7" t="s">
        <v>1615</v>
      </c>
      <c r="L151" s="7" t="s">
        <v>14</v>
      </c>
      <c r="M151" s="7" t="s">
        <v>14</v>
      </c>
    </row>
    <row r="152" spans="1:13" ht="16.2">
      <c r="A152" s="7">
        <v>21879</v>
      </c>
      <c r="B152" s="7" t="s">
        <v>1653</v>
      </c>
      <c r="C152" s="7" t="s">
        <v>284</v>
      </c>
      <c r="D152" s="45">
        <v>43057</v>
      </c>
      <c r="E152" s="7" t="s">
        <v>1809</v>
      </c>
      <c r="F152" s="7" t="s">
        <v>1200</v>
      </c>
      <c r="G152" s="7" t="s">
        <v>1261</v>
      </c>
      <c r="H152" s="46" t="str">
        <f t="shared" si="0"/>
        <v>Korbatjo 3  -  Albatros 8</v>
      </c>
      <c r="I152" s="40">
        <v>0.86458333333333337</v>
      </c>
      <c r="J152" s="7" t="s">
        <v>358</v>
      </c>
      <c r="K152" s="7" t="s">
        <v>1615</v>
      </c>
      <c r="L152" s="7" t="s">
        <v>14</v>
      </c>
      <c r="M152" s="7" t="s">
        <v>14</v>
      </c>
    </row>
    <row r="153" spans="1:13" ht="16.2">
      <c r="A153" s="7">
        <v>31595</v>
      </c>
      <c r="B153" s="7" t="s">
        <v>1733</v>
      </c>
      <c r="C153" s="7" t="s">
        <v>284</v>
      </c>
      <c r="D153" s="47">
        <v>43148</v>
      </c>
      <c r="E153" s="7" t="s">
        <v>1810</v>
      </c>
      <c r="F153" s="7" t="s">
        <v>1200</v>
      </c>
      <c r="G153" s="7" t="s">
        <v>1404</v>
      </c>
      <c r="H153" s="46" t="str">
        <f t="shared" si="0"/>
        <v>Korbatjo F1  -  Albatros F2</v>
      </c>
      <c r="I153" s="40">
        <v>0.5</v>
      </c>
      <c r="J153" s="7" t="s">
        <v>358</v>
      </c>
      <c r="K153" s="7" t="s">
        <v>1615</v>
      </c>
      <c r="L153" s="7" t="s">
        <v>14</v>
      </c>
      <c r="M153" s="7" t="s">
        <v>14</v>
      </c>
    </row>
    <row r="154" spans="1:13" ht="16.2">
      <c r="A154" s="7">
        <v>17483</v>
      </c>
      <c r="B154" s="7" t="s">
        <v>1664</v>
      </c>
      <c r="C154" s="7" t="s">
        <v>284</v>
      </c>
      <c r="D154" s="45">
        <v>43050</v>
      </c>
      <c r="E154" s="7" t="s">
        <v>1811</v>
      </c>
      <c r="F154" s="7" t="s">
        <v>1200</v>
      </c>
      <c r="G154" s="7" t="s">
        <v>1314</v>
      </c>
      <c r="H154" s="46" t="str">
        <f t="shared" si="0"/>
        <v>Korbatjo A2  -  Albatros A4</v>
      </c>
      <c r="I154" s="40">
        <v>0.76041666666666663</v>
      </c>
      <c r="J154" s="7" t="s">
        <v>358</v>
      </c>
      <c r="K154" s="7" t="s">
        <v>1615</v>
      </c>
      <c r="L154" s="7" t="s">
        <v>14</v>
      </c>
      <c r="M154" s="7" t="s">
        <v>14</v>
      </c>
    </row>
    <row r="155" spans="1:13" ht="16.2">
      <c r="A155" s="7">
        <v>22690</v>
      </c>
      <c r="B155" s="7" t="s">
        <v>1725</v>
      </c>
      <c r="C155" s="7" t="s">
        <v>284</v>
      </c>
      <c r="D155" s="47">
        <v>43141</v>
      </c>
      <c r="E155" s="7" t="s">
        <v>1812</v>
      </c>
      <c r="F155" s="7" t="s">
        <v>1200</v>
      </c>
      <c r="G155" s="7" t="s">
        <v>1398</v>
      </c>
      <c r="H155" s="46" t="str">
        <f t="shared" si="0"/>
        <v>KOAG 5  -  Albatros 7</v>
      </c>
      <c r="I155" s="40">
        <v>0.54861111111111116</v>
      </c>
      <c r="J155" s="7" t="s">
        <v>530</v>
      </c>
      <c r="K155" s="7" t="s">
        <v>1615</v>
      </c>
      <c r="L155" s="7" t="s">
        <v>14</v>
      </c>
      <c r="M155" s="7" t="s">
        <v>14</v>
      </c>
    </row>
    <row r="156" spans="1:13" ht="16.2">
      <c r="A156" s="7">
        <v>38094</v>
      </c>
      <c r="B156" s="7" t="s">
        <v>1641</v>
      </c>
      <c r="C156" s="7" t="s">
        <v>284</v>
      </c>
      <c r="D156" s="47">
        <v>43071</v>
      </c>
      <c r="E156" s="7" t="s">
        <v>1813</v>
      </c>
      <c r="F156" s="7" t="s">
        <v>1200</v>
      </c>
      <c r="G156" s="7" t="s">
        <v>1451</v>
      </c>
      <c r="H156" s="46" t="str">
        <f t="shared" si="0"/>
        <v>KOAG G1  -  Albatros G1</v>
      </c>
      <c r="I156" s="40">
        <v>0.58333333333333337</v>
      </c>
      <c r="J156" s="7" t="s">
        <v>305</v>
      </c>
      <c r="K156" s="7" t="s">
        <v>1615</v>
      </c>
      <c r="L156" s="7" t="s">
        <v>1814</v>
      </c>
      <c r="M156" s="7" t="s">
        <v>14</v>
      </c>
    </row>
    <row r="157" spans="1:13" ht="16.2">
      <c r="A157" s="7">
        <v>20037</v>
      </c>
      <c r="B157" s="7" t="s">
        <v>1651</v>
      </c>
      <c r="C157" s="7" t="s">
        <v>284</v>
      </c>
      <c r="D157" s="47">
        <v>43120</v>
      </c>
      <c r="E157" s="7" t="s">
        <v>1815</v>
      </c>
      <c r="F157" s="7" t="s">
        <v>1200</v>
      </c>
      <c r="G157" s="7" t="s">
        <v>1258</v>
      </c>
      <c r="H157" s="46" t="str">
        <f t="shared" si="0"/>
        <v>KOAG B1  -  Albatros B1</v>
      </c>
      <c r="I157" s="40">
        <v>0.59722222222222221</v>
      </c>
      <c r="J157" s="7" t="s">
        <v>530</v>
      </c>
      <c r="K157" s="7" t="s">
        <v>1615</v>
      </c>
      <c r="L157" s="7" t="s">
        <v>14</v>
      </c>
      <c r="M157" s="7" t="s">
        <v>14</v>
      </c>
    </row>
    <row r="158" spans="1:13" ht="16.2">
      <c r="A158" s="7">
        <v>21847</v>
      </c>
      <c r="B158" s="7" t="s">
        <v>1661</v>
      </c>
      <c r="C158" s="7" t="s">
        <v>284</v>
      </c>
      <c r="D158" s="47">
        <v>43106</v>
      </c>
      <c r="E158" s="7" t="s">
        <v>1816</v>
      </c>
      <c r="F158" s="7" t="s">
        <v>1200</v>
      </c>
      <c r="G158" s="7" t="s">
        <v>1263</v>
      </c>
      <c r="H158" s="46" t="str">
        <f t="shared" si="0"/>
        <v>Kinderdijk 6  -  Albatros 5</v>
      </c>
      <c r="I158" s="40">
        <v>0.81944444444444442</v>
      </c>
      <c r="J158" s="7" t="s">
        <v>867</v>
      </c>
      <c r="K158" s="7" t="s">
        <v>1615</v>
      </c>
      <c r="L158" s="7" t="s">
        <v>14</v>
      </c>
      <c r="M158" s="7" t="s">
        <v>14</v>
      </c>
    </row>
    <row r="159" spans="1:13" ht="16.2">
      <c r="A159" s="7">
        <v>20279</v>
      </c>
      <c r="B159" s="7" t="s">
        <v>1725</v>
      </c>
      <c r="C159" s="7" t="s">
        <v>284</v>
      </c>
      <c r="D159" s="47">
        <v>43071</v>
      </c>
      <c r="E159" s="7" t="s">
        <v>1817</v>
      </c>
      <c r="F159" s="7" t="s">
        <v>1200</v>
      </c>
      <c r="G159" s="7" t="s">
        <v>1398</v>
      </c>
      <c r="H159" s="46" t="str">
        <f t="shared" si="0"/>
        <v>Kinderdijk 5  -  Albatros 7</v>
      </c>
      <c r="I159" s="40">
        <v>0.69444444444444442</v>
      </c>
      <c r="J159" s="7" t="s">
        <v>867</v>
      </c>
      <c r="K159" s="7" t="s">
        <v>1615</v>
      </c>
      <c r="L159" s="7" t="s">
        <v>14</v>
      </c>
      <c r="M159" s="7" t="s">
        <v>14</v>
      </c>
    </row>
    <row r="160" spans="1:13" ht="16.2">
      <c r="A160" s="7">
        <v>31768</v>
      </c>
      <c r="B160" s="7" t="s">
        <v>1733</v>
      </c>
      <c r="C160" s="7" t="s">
        <v>284</v>
      </c>
      <c r="D160" s="45">
        <v>43064</v>
      </c>
      <c r="E160" s="7" t="s">
        <v>1818</v>
      </c>
      <c r="F160" s="7" t="s">
        <v>1200</v>
      </c>
      <c r="G160" s="7" t="s">
        <v>1404</v>
      </c>
      <c r="H160" s="46" t="str">
        <f t="shared" si="0"/>
        <v>Kinderdijk F2  -  Albatros F2</v>
      </c>
      <c r="I160" s="40">
        <v>0.38541666666666669</v>
      </c>
      <c r="J160" s="7" t="s">
        <v>867</v>
      </c>
      <c r="K160" s="7" t="s">
        <v>1618</v>
      </c>
      <c r="L160" s="7" t="s">
        <v>14</v>
      </c>
      <c r="M160" s="7" t="s">
        <v>14</v>
      </c>
    </row>
    <row r="161" spans="1:13" ht="16.2">
      <c r="A161" s="7">
        <v>35537</v>
      </c>
      <c r="B161" s="7" t="s">
        <v>1674</v>
      </c>
      <c r="C161" s="7" t="s">
        <v>284</v>
      </c>
      <c r="D161" s="45">
        <v>43092</v>
      </c>
      <c r="E161" s="7" t="s">
        <v>1510</v>
      </c>
      <c r="F161" s="7" t="s">
        <v>1200</v>
      </c>
      <c r="G161" s="7" t="s">
        <v>1298</v>
      </c>
      <c r="H161" s="46" t="str">
        <f t="shared" si="0"/>
        <v>Kinderdijk E5  -  Albatros E5</v>
      </c>
      <c r="I161" s="40">
        <v>0.38541666666666669</v>
      </c>
      <c r="J161" s="7" t="s">
        <v>867</v>
      </c>
      <c r="K161" s="7" t="s">
        <v>1615</v>
      </c>
      <c r="L161" s="7" t="s">
        <v>14</v>
      </c>
      <c r="M161" s="7" t="s">
        <v>14</v>
      </c>
    </row>
    <row r="162" spans="1:13" ht="16.2">
      <c r="A162" s="7">
        <v>35760</v>
      </c>
      <c r="B162" s="7" t="s">
        <v>1628</v>
      </c>
      <c r="C162" s="7" t="s">
        <v>284</v>
      </c>
      <c r="D162" s="47">
        <v>43120</v>
      </c>
      <c r="E162" s="7" t="s">
        <v>1819</v>
      </c>
      <c r="F162" s="7" t="s">
        <v>1200</v>
      </c>
      <c r="G162" s="7" t="s">
        <v>1287</v>
      </c>
      <c r="H162" s="46" t="str">
        <f t="shared" si="0"/>
        <v>Kinderdijk E4  -  Albatros E6</v>
      </c>
      <c r="I162" s="40">
        <v>0.38541666666666669</v>
      </c>
      <c r="J162" s="7" t="s">
        <v>867</v>
      </c>
      <c r="K162" s="7" t="s">
        <v>1618</v>
      </c>
      <c r="L162" s="7" t="s">
        <v>14</v>
      </c>
      <c r="M162" s="7" t="s">
        <v>14</v>
      </c>
    </row>
    <row r="163" spans="1:13" ht="16.2">
      <c r="A163" s="7">
        <v>34990</v>
      </c>
      <c r="B163" s="7" t="s">
        <v>1632</v>
      </c>
      <c r="C163" s="7" t="s">
        <v>284</v>
      </c>
      <c r="D163" s="47">
        <v>43155</v>
      </c>
      <c r="E163" s="7" t="s">
        <v>1820</v>
      </c>
      <c r="F163" s="7" t="s">
        <v>1200</v>
      </c>
      <c r="G163" s="7" t="s">
        <v>1294</v>
      </c>
      <c r="H163" s="46" t="str">
        <f t="shared" si="0"/>
        <v>Kinderdijk E3  -  Albatros E4</v>
      </c>
      <c r="I163" s="40">
        <v>0.38541666666666669</v>
      </c>
      <c r="J163" s="7" t="s">
        <v>867</v>
      </c>
      <c r="K163" s="7" t="s">
        <v>1618</v>
      </c>
      <c r="L163" s="7" t="s">
        <v>14</v>
      </c>
      <c r="M163" s="7" t="s">
        <v>14</v>
      </c>
    </row>
    <row r="164" spans="1:13" ht="16.2">
      <c r="A164" s="7">
        <v>28281</v>
      </c>
      <c r="B164" s="7" t="s">
        <v>1763</v>
      </c>
      <c r="C164" s="7" t="s">
        <v>284</v>
      </c>
      <c r="D164" s="45">
        <v>43092</v>
      </c>
      <c r="E164" s="7" t="s">
        <v>1821</v>
      </c>
      <c r="F164" s="7" t="s">
        <v>1200</v>
      </c>
      <c r="G164" s="7" t="s">
        <v>1283</v>
      </c>
      <c r="H164" s="46" t="str">
        <f t="shared" si="0"/>
        <v>Kinderdijk D2  -  Albatros D2</v>
      </c>
      <c r="I164" s="40">
        <v>0.55555555555555558</v>
      </c>
      <c r="J164" s="7" t="s">
        <v>867</v>
      </c>
      <c r="K164" s="7" t="s">
        <v>1615</v>
      </c>
      <c r="L164" s="7" t="s">
        <v>14</v>
      </c>
      <c r="M164" s="7" t="s">
        <v>14</v>
      </c>
    </row>
    <row r="165" spans="1:13" ht="16.2">
      <c r="A165" s="7">
        <v>25317</v>
      </c>
      <c r="B165" s="7" t="s">
        <v>1715</v>
      </c>
      <c r="C165" s="7" t="s">
        <v>284</v>
      </c>
      <c r="D165" s="45">
        <v>43050</v>
      </c>
      <c r="E165" s="7" t="s">
        <v>1822</v>
      </c>
      <c r="F165" s="7" t="s">
        <v>1200</v>
      </c>
      <c r="G165" s="7" t="s">
        <v>1717</v>
      </c>
      <c r="H165" s="46" t="str">
        <f t="shared" si="0"/>
        <v>Kinderdijk C3  -  Albatros C5</v>
      </c>
      <c r="I165" s="40">
        <v>0.45833333333333331</v>
      </c>
      <c r="J165" s="7" t="s">
        <v>867</v>
      </c>
      <c r="K165" s="7" t="s">
        <v>1615</v>
      </c>
      <c r="L165" s="7" t="s">
        <v>14</v>
      </c>
      <c r="M165" s="7" t="s">
        <v>14</v>
      </c>
    </row>
    <row r="166" spans="1:13" ht="16.2">
      <c r="A166" s="7">
        <v>20051</v>
      </c>
      <c r="B166" s="7" t="s">
        <v>1651</v>
      </c>
      <c r="C166" s="7" t="s">
        <v>284</v>
      </c>
      <c r="D166" s="47">
        <v>43148</v>
      </c>
      <c r="E166" s="7" t="s">
        <v>1823</v>
      </c>
      <c r="F166" s="7" t="s">
        <v>1200</v>
      </c>
      <c r="G166" s="7" t="s">
        <v>1258</v>
      </c>
      <c r="H166" s="46" t="str">
        <f t="shared" si="0"/>
        <v>Kinderdijk B1  -  Albatros B1</v>
      </c>
      <c r="I166" s="40">
        <v>0.76388888888888884</v>
      </c>
      <c r="J166" s="7" t="s">
        <v>867</v>
      </c>
      <c r="K166" s="7" t="s">
        <v>1615</v>
      </c>
      <c r="L166" s="7" t="s">
        <v>14</v>
      </c>
      <c r="M166" s="7" t="s">
        <v>14</v>
      </c>
    </row>
    <row r="167" spans="1:13" ht="16.2">
      <c r="A167" s="7">
        <v>18988</v>
      </c>
      <c r="B167" s="7" t="s">
        <v>1113</v>
      </c>
      <c r="C167" s="7" t="s">
        <v>284</v>
      </c>
      <c r="D167" s="45">
        <v>43064</v>
      </c>
      <c r="E167" s="7" t="s">
        <v>1824</v>
      </c>
      <c r="F167" s="7" t="s">
        <v>1200</v>
      </c>
      <c r="G167" s="7" t="s">
        <v>1341</v>
      </c>
      <c r="H167" s="46" t="str">
        <f t="shared" si="0"/>
        <v>Kinderdijk A2  -  Albatros A2</v>
      </c>
      <c r="I167" s="40">
        <v>0.52083333333333337</v>
      </c>
      <c r="J167" s="7" t="s">
        <v>867</v>
      </c>
      <c r="K167" s="7" t="s">
        <v>1615</v>
      </c>
      <c r="L167" s="7" t="s">
        <v>14</v>
      </c>
      <c r="M167" s="7" t="s">
        <v>14</v>
      </c>
    </row>
    <row r="168" spans="1:13" ht="16.2">
      <c r="A168" s="7">
        <v>15202</v>
      </c>
      <c r="B168" s="7" t="s">
        <v>1719</v>
      </c>
      <c r="C168" s="7" t="s">
        <v>284</v>
      </c>
      <c r="D168" s="47">
        <v>43127</v>
      </c>
      <c r="E168" s="7" t="s">
        <v>1825</v>
      </c>
      <c r="F168" s="7" t="s">
        <v>1200</v>
      </c>
      <c r="G168" s="7" t="s">
        <v>1322</v>
      </c>
      <c r="H168" s="46" t="str">
        <f t="shared" si="0"/>
        <v>KCR 3  -  Albatros 3</v>
      </c>
      <c r="I168" s="40">
        <v>0.53125</v>
      </c>
      <c r="J168" s="7" t="s">
        <v>310</v>
      </c>
      <c r="K168" s="7" t="s">
        <v>1615</v>
      </c>
      <c r="L168" s="7" t="s">
        <v>14</v>
      </c>
      <c r="M168" s="7" t="s">
        <v>14</v>
      </c>
    </row>
    <row r="169" spans="1:13" ht="16.2">
      <c r="A169" s="7">
        <v>33958</v>
      </c>
      <c r="B169" s="7" t="s">
        <v>1628</v>
      </c>
      <c r="C169" s="7" t="s">
        <v>284</v>
      </c>
      <c r="D169" s="47">
        <v>43106</v>
      </c>
      <c r="E169" s="7" t="s">
        <v>1826</v>
      </c>
      <c r="F169" s="7" t="s">
        <v>1200</v>
      </c>
      <c r="G169" s="7" t="s">
        <v>1287</v>
      </c>
      <c r="H169" s="46" t="str">
        <f t="shared" si="0"/>
        <v>KCR E5  -  Albatros E6</v>
      </c>
      <c r="I169" s="40">
        <v>0.375</v>
      </c>
      <c r="J169" s="7" t="s">
        <v>412</v>
      </c>
      <c r="K169" s="7" t="s">
        <v>1618</v>
      </c>
      <c r="L169" s="7" t="s">
        <v>14</v>
      </c>
      <c r="M169" s="7" t="s">
        <v>14</v>
      </c>
    </row>
    <row r="170" spans="1:13" ht="16.2">
      <c r="A170" s="7">
        <v>34874</v>
      </c>
      <c r="B170" s="7" t="s">
        <v>1630</v>
      </c>
      <c r="C170" s="7" t="s">
        <v>284</v>
      </c>
      <c r="D170" s="47">
        <v>43148</v>
      </c>
      <c r="E170" s="7" t="s">
        <v>1827</v>
      </c>
      <c r="F170" s="7" t="s">
        <v>1200</v>
      </c>
      <c r="G170" s="7" t="s">
        <v>1412</v>
      </c>
      <c r="H170" s="46" t="str">
        <f t="shared" si="0"/>
        <v>KCR E3  -  Albatros E2</v>
      </c>
      <c r="I170" s="40">
        <v>0.41666666666666669</v>
      </c>
      <c r="J170" s="7" t="s">
        <v>412</v>
      </c>
      <c r="K170" s="7" t="s">
        <v>1615</v>
      </c>
      <c r="L170" s="7" t="s">
        <v>14</v>
      </c>
      <c r="M170" s="7" t="s">
        <v>14</v>
      </c>
    </row>
    <row r="171" spans="1:13" ht="16.2">
      <c r="A171" s="7">
        <v>27801</v>
      </c>
      <c r="B171" s="7" t="s">
        <v>1637</v>
      </c>
      <c r="C171" s="7" t="s">
        <v>284</v>
      </c>
      <c r="D171" s="47">
        <v>43120</v>
      </c>
      <c r="E171" s="7" t="s">
        <v>1828</v>
      </c>
      <c r="F171" s="7" t="s">
        <v>1200</v>
      </c>
      <c r="G171" s="7" t="s">
        <v>1277</v>
      </c>
      <c r="H171" s="46" t="str">
        <f t="shared" si="0"/>
        <v>KCR D3  -  Albatros D4</v>
      </c>
      <c r="I171" s="40">
        <v>0.5</v>
      </c>
      <c r="J171" s="7" t="s">
        <v>412</v>
      </c>
      <c r="K171" s="7" t="s">
        <v>1615</v>
      </c>
      <c r="L171" s="7" t="s">
        <v>14</v>
      </c>
      <c r="M171" s="7" t="s">
        <v>14</v>
      </c>
    </row>
    <row r="172" spans="1:13" ht="16.2">
      <c r="A172" s="7">
        <v>27815</v>
      </c>
      <c r="B172" s="7" t="s">
        <v>1633</v>
      </c>
      <c r="C172" s="7" t="s">
        <v>284</v>
      </c>
      <c r="D172" s="47">
        <v>43127</v>
      </c>
      <c r="E172" s="7" t="s">
        <v>1829</v>
      </c>
      <c r="F172" s="7" t="s">
        <v>1200</v>
      </c>
      <c r="G172" s="7" t="s">
        <v>1280</v>
      </c>
      <c r="H172" s="46" t="str">
        <f t="shared" si="0"/>
        <v>KCR D2  -  Albatros D3</v>
      </c>
      <c r="I172" s="40">
        <v>0.44097222222222221</v>
      </c>
      <c r="J172" s="7" t="s">
        <v>310</v>
      </c>
      <c r="K172" s="7" t="s">
        <v>1615</v>
      </c>
      <c r="L172" s="7" t="s">
        <v>14</v>
      </c>
      <c r="M172" s="7" t="s">
        <v>14</v>
      </c>
    </row>
    <row r="173" spans="1:13" ht="16.2">
      <c r="A173" s="7">
        <v>20102</v>
      </c>
      <c r="B173" s="7" t="s">
        <v>1651</v>
      </c>
      <c r="C173" s="7" t="s">
        <v>284</v>
      </c>
      <c r="D173" s="47">
        <v>43134</v>
      </c>
      <c r="E173" s="7" t="s">
        <v>1830</v>
      </c>
      <c r="F173" s="7" t="s">
        <v>1200</v>
      </c>
      <c r="G173" s="7" t="s">
        <v>1258</v>
      </c>
      <c r="H173" s="46" t="str">
        <f t="shared" si="0"/>
        <v>KCR B1  -  Albatros B1</v>
      </c>
      <c r="I173" s="40">
        <v>0.49305555555555558</v>
      </c>
      <c r="J173" s="7" t="s">
        <v>310</v>
      </c>
      <c r="K173" s="7" t="s">
        <v>1615</v>
      </c>
      <c r="L173" s="7" t="s">
        <v>14</v>
      </c>
      <c r="M173" s="7" t="s">
        <v>14</v>
      </c>
    </row>
    <row r="174" spans="1:13" ht="16.2">
      <c r="A174" s="7">
        <v>22683</v>
      </c>
      <c r="B174" s="7" t="s">
        <v>1769</v>
      </c>
      <c r="C174" s="7" t="s">
        <v>284</v>
      </c>
      <c r="D174" s="47">
        <v>43176</v>
      </c>
      <c r="E174" s="7" t="s">
        <v>1831</v>
      </c>
      <c r="F174" s="7" t="s">
        <v>1200</v>
      </c>
      <c r="G174" s="7" t="s">
        <v>1400</v>
      </c>
      <c r="H174" s="46" t="str">
        <f t="shared" si="0"/>
        <v>KCC/SO natural 7  -  Albatros 9</v>
      </c>
      <c r="I174" s="40">
        <v>0.70486111111111116</v>
      </c>
      <c r="J174" s="7" t="s">
        <v>612</v>
      </c>
      <c r="K174" s="7" t="s">
        <v>1615</v>
      </c>
      <c r="L174" s="7" t="s">
        <v>14</v>
      </c>
      <c r="M174" s="7" t="s">
        <v>14</v>
      </c>
    </row>
    <row r="175" spans="1:13" ht="16.2">
      <c r="A175" s="7">
        <v>21706</v>
      </c>
      <c r="B175" s="7" t="s">
        <v>1653</v>
      </c>
      <c r="C175" s="7" t="s">
        <v>284</v>
      </c>
      <c r="D175" s="47">
        <v>43071</v>
      </c>
      <c r="E175" s="7" t="s">
        <v>1832</v>
      </c>
      <c r="F175" s="7" t="s">
        <v>1200</v>
      </c>
      <c r="G175" s="7" t="s">
        <v>1261</v>
      </c>
      <c r="H175" s="46" t="str">
        <f t="shared" si="0"/>
        <v>KCC/SO natural 10  -  Albatros 8</v>
      </c>
      <c r="I175" s="40">
        <v>0.87152777777777779</v>
      </c>
      <c r="J175" s="7" t="s">
        <v>612</v>
      </c>
      <c r="K175" s="7" t="s">
        <v>1615</v>
      </c>
      <c r="L175" s="7" t="s">
        <v>14</v>
      </c>
      <c r="M175" s="7" t="s">
        <v>14</v>
      </c>
    </row>
    <row r="176" spans="1:13" ht="16.2">
      <c r="A176" s="7">
        <v>19017</v>
      </c>
      <c r="B176" s="7" t="s">
        <v>1113</v>
      </c>
      <c r="C176" s="7" t="s">
        <v>284</v>
      </c>
      <c r="D176" s="47">
        <v>43078</v>
      </c>
      <c r="E176" s="7" t="s">
        <v>1833</v>
      </c>
      <c r="F176" s="7" t="s">
        <v>1200</v>
      </c>
      <c r="G176" s="7" t="s">
        <v>1341</v>
      </c>
      <c r="H176" s="46" t="str">
        <f t="shared" si="0"/>
        <v>KCC/SO natural A3  -  Albatros A2</v>
      </c>
      <c r="I176" s="40">
        <v>0.53125</v>
      </c>
      <c r="J176" s="7" t="s">
        <v>612</v>
      </c>
      <c r="K176" s="7" t="s">
        <v>1615</v>
      </c>
      <c r="L176" s="7" t="s">
        <v>14</v>
      </c>
      <c r="M176" s="7" t="s">
        <v>14</v>
      </c>
    </row>
    <row r="177" spans="1:13" ht="16.2">
      <c r="A177" s="7">
        <v>18222</v>
      </c>
      <c r="B177" s="7" t="s">
        <v>1670</v>
      </c>
      <c r="C177" s="7" t="s">
        <v>284</v>
      </c>
      <c r="D177" s="45">
        <v>43064</v>
      </c>
      <c r="E177" s="7" t="s">
        <v>1834</v>
      </c>
      <c r="F177" s="7" t="s">
        <v>1200</v>
      </c>
      <c r="G177" s="7" t="s">
        <v>1339</v>
      </c>
      <c r="H177" s="46" t="str">
        <f t="shared" si="0"/>
        <v>KCC/SO natural A1  -  Albatros A1</v>
      </c>
      <c r="I177" s="40">
        <v>0.46527777777777779</v>
      </c>
      <c r="J177" s="7" t="s">
        <v>612</v>
      </c>
      <c r="K177" s="7" t="s">
        <v>1615</v>
      </c>
      <c r="L177" s="7" t="s">
        <v>14</v>
      </c>
      <c r="M177" s="7" t="s">
        <v>14</v>
      </c>
    </row>
    <row r="178" spans="1:13" ht="16.2">
      <c r="A178" s="7">
        <v>12203</v>
      </c>
      <c r="B178" s="7" t="s">
        <v>1247</v>
      </c>
      <c r="C178" s="7" t="s">
        <v>284</v>
      </c>
      <c r="D178" s="47">
        <v>43134</v>
      </c>
      <c r="E178" s="7" t="s">
        <v>1835</v>
      </c>
      <c r="F178" s="7" t="s">
        <v>1200</v>
      </c>
      <c r="G178" s="7" t="s">
        <v>1348</v>
      </c>
      <c r="H178" s="46" t="str">
        <f t="shared" si="0"/>
        <v>Juliana 1  -  Albatros 1</v>
      </c>
      <c r="I178" s="40">
        <v>0.59722222222222221</v>
      </c>
      <c r="J178" s="7" t="s">
        <v>816</v>
      </c>
      <c r="K178" s="7" t="s">
        <v>1615</v>
      </c>
      <c r="L178" s="7" t="s">
        <v>14</v>
      </c>
      <c r="M178" s="7" t="s">
        <v>14</v>
      </c>
    </row>
    <row r="179" spans="1:13" ht="16.2">
      <c r="A179" s="7">
        <v>14609</v>
      </c>
      <c r="B179" s="7" t="s">
        <v>1621</v>
      </c>
      <c r="C179" s="7" t="s">
        <v>284</v>
      </c>
      <c r="D179" s="47">
        <v>43148</v>
      </c>
      <c r="E179" s="7" t="s">
        <v>1836</v>
      </c>
      <c r="F179" s="7" t="s">
        <v>1200</v>
      </c>
      <c r="G179" s="7" t="s">
        <v>1344</v>
      </c>
      <c r="H179" s="46" t="str">
        <f t="shared" si="0"/>
        <v>IJsselvogels 2  -  Albatros 2</v>
      </c>
      <c r="I179" s="40">
        <v>0.72222222222222221</v>
      </c>
      <c r="J179" s="7" t="s">
        <v>721</v>
      </c>
      <c r="K179" s="7" t="s">
        <v>1615</v>
      </c>
      <c r="L179" s="7" t="s">
        <v>14</v>
      </c>
      <c r="M179" s="7" t="s">
        <v>14</v>
      </c>
    </row>
    <row r="180" spans="1:13" ht="16.2">
      <c r="A180" s="7">
        <v>14839</v>
      </c>
      <c r="B180" s="7" t="s">
        <v>1719</v>
      </c>
      <c r="C180" s="7" t="s">
        <v>284</v>
      </c>
      <c r="D180" s="47">
        <v>43071</v>
      </c>
      <c r="E180" s="7" t="s">
        <v>1837</v>
      </c>
      <c r="F180" s="7" t="s">
        <v>1200</v>
      </c>
      <c r="G180" s="7" t="s">
        <v>1322</v>
      </c>
      <c r="H180" s="46" t="str">
        <f t="shared" si="0"/>
        <v>HKC (Ha) 3  -  Albatros 3</v>
      </c>
      <c r="I180" s="40">
        <v>0.80902777777777779</v>
      </c>
      <c r="J180" s="7" t="s">
        <v>334</v>
      </c>
      <c r="K180" s="7" t="s">
        <v>1615</v>
      </c>
      <c r="L180" s="7" t="s">
        <v>14</v>
      </c>
      <c r="M180" s="7" t="s">
        <v>14</v>
      </c>
    </row>
    <row r="181" spans="1:13" ht="16.2">
      <c r="A181" s="7">
        <v>30714</v>
      </c>
      <c r="B181" s="7" t="s">
        <v>1733</v>
      </c>
      <c r="C181" s="7" t="s">
        <v>284</v>
      </c>
      <c r="D181" s="47">
        <v>43078</v>
      </c>
      <c r="E181" s="7" t="s">
        <v>1838</v>
      </c>
      <c r="F181" s="7" t="s">
        <v>1200</v>
      </c>
      <c r="G181" s="7" t="s">
        <v>1404</v>
      </c>
      <c r="H181" s="46" t="str">
        <f t="shared" si="0"/>
        <v>HKC (Ha) F3  -  Albatros F2</v>
      </c>
      <c r="I181" s="40">
        <v>0.41666666666666669</v>
      </c>
      <c r="J181" s="7" t="s">
        <v>334</v>
      </c>
      <c r="K181" s="7" t="s">
        <v>1729</v>
      </c>
      <c r="L181" s="7" t="s">
        <v>14</v>
      </c>
      <c r="M181" s="7" t="s">
        <v>14</v>
      </c>
    </row>
    <row r="182" spans="1:13" ht="16.2">
      <c r="A182" s="7">
        <v>34482</v>
      </c>
      <c r="B182" s="7" t="s">
        <v>1674</v>
      </c>
      <c r="C182" s="7" t="s">
        <v>284</v>
      </c>
      <c r="D182" s="45">
        <v>43085</v>
      </c>
      <c r="E182" s="7" t="s">
        <v>1839</v>
      </c>
      <c r="F182" s="7" t="s">
        <v>1200</v>
      </c>
      <c r="G182" s="7" t="s">
        <v>1298</v>
      </c>
      <c r="H182" s="46" t="str">
        <f t="shared" si="0"/>
        <v>HKC (Ha) E5  -  Albatros E5</v>
      </c>
      <c r="I182" s="40">
        <v>0.45833333333333331</v>
      </c>
      <c r="J182" s="7" t="s">
        <v>334</v>
      </c>
      <c r="K182" s="7" t="s">
        <v>1732</v>
      </c>
      <c r="L182" s="7" t="s">
        <v>14</v>
      </c>
      <c r="M182" s="7" t="s">
        <v>14</v>
      </c>
    </row>
    <row r="183" spans="1:13" ht="16.2">
      <c r="A183" s="7">
        <v>34490</v>
      </c>
      <c r="B183" s="7" t="s">
        <v>1630</v>
      </c>
      <c r="C183" s="7" t="s">
        <v>284</v>
      </c>
      <c r="D183" s="45">
        <v>43085</v>
      </c>
      <c r="E183" s="7" t="s">
        <v>1840</v>
      </c>
      <c r="F183" s="7" t="s">
        <v>1200</v>
      </c>
      <c r="G183" s="7" t="s">
        <v>1412</v>
      </c>
      <c r="H183" s="46" t="str">
        <f t="shared" si="0"/>
        <v>HKC (Ha) E4  -  Albatros E2</v>
      </c>
      <c r="I183" s="40">
        <v>0.41666666666666669</v>
      </c>
      <c r="J183" s="7" t="s">
        <v>334</v>
      </c>
      <c r="K183" s="7" t="s">
        <v>1732</v>
      </c>
      <c r="L183" s="7" t="s">
        <v>14</v>
      </c>
      <c r="M183" s="7" t="s">
        <v>14</v>
      </c>
    </row>
    <row r="184" spans="1:13" ht="16.2">
      <c r="A184" s="7">
        <v>34529</v>
      </c>
      <c r="B184" s="7" t="s">
        <v>1632</v>
      </c>
      <c r="C184" s="7" t="s">
        <v>284</v>
      </c>
      <c r="D184" s="45">
        <v>43085</v>
      </c>
      <c r="E184" s="7" t="s">
        <v>1555</v>
      </c>
      <c r="F184" s="7" t="s">
        <v>1200</v>
      </c>
      <c r="G184" s="7" t="s">
        <v>1294</v>
      </c>
      <c r="H184" s="46" t="str">
        <f t="shared" si="0"/>
        <v>HKC (Ha) E3  -  Albatros E4</v>
      </c>
      <c r="I184" s="40">
        <v>0.41666666666666669</v>
      </c>
      <c r="J184" s="7" t="s">
        <v>334</v>
      </c>
      <c r="K184" s="7" t="s">
        <v>1729</v>
      </c>
      <c r="L184" s="7" t="s">
        <v>14</v>
      </c>
      <c r="M184" s="7" t="s">
        <v>14</v>
      </c>
    </row>
    <row r="185" spans="1:13" ht="16.2">
      <c r="A185" s="7">
        <v>36746</v>
      </c>
      <c r="B185" s="7" t="s">
        <v>1643</v>
      </c>
      <c r="C185" s="7" t="s">
        <v>284</v>
      </c>
      <c r="D185" s="45">
        <v>43050</v>
      </c>
      <c r="E185" s="7" t="s">
        <v>1556</v>
      </c>
      <c r="F185" s="7" t="s">
        <v>1200</v>
      </c>
      <c r="G185" s="7" t="s">
        <v>1416</v>
      </c>
      <c r="H185" s="46" t="str">
        <f t="shared" si="0"/>
        <v>HKC (Ha) E2  -  Albatros E1</v>
      </c>
      <c r="I185" s="40">
        <v>0.41666666666666669</v>
      </c>
      <c r="J185" s="7" t="s">
        <v>334</v>
      </c>
      <c r="K185" s="7" t="s">
        <v>1729</v>
      </c>
      <c r="L185" s="7" t="s">
        <v>14</v>
      </c>
      <c r="M185" s="7" t="s">
        <v>14</v>
      </c>
    </row>
    <row r="186" spans="1:13" ht="16.2">
      <c r="A186" s="7">
        <v>27870</v>
      </c>
      <c r="B186" s="7" t="s">
        <v>1763</v>
      </c>
      <c r="C186" s="7" t="s">
        <v>284</v>
      </c>
      <c r="D186" s="47">
        <v>43141</v>
      </c>
      <c r="E186" s="7" t="s">
        <v>1841</v>
      </c>
      <c r="F186" s="7" t="s">
        <v>1200</v>
      </c>
      <c r="G186" s="7" t="s">
        <v>1283</v>
      </c>
      <c r="H186" s="46" t="str">
        <f t="shared" si="0"/>
        <v>HKC (Ha) D1  -  Albatros D2</v>
      </c>
      <c r="I186" s="40">
        <v>0.53125</v>
      </c>
      <c r="J186" s="7" t="s">
        <v>334</v>
      </c>
      <c r="K186" s="7" t="s">
        <v>1615</v>
      </c>
      <c r="L186" s="7" t="s">
        <v>14</v>
      </c>
      <c r="M186" s="7" t="s">
        <v>14</v>
      </c>
    </row>
    <row r="187" spans="1:13" ht="16.2">
      <c r="A187" s="7">
        <v>24064</v>
      </c>
      <c r="B187" s="7" t="s">
        <v>1684</v>
      </c>
      <c r="C187" s="7" t="s">
        <v>284</v>
      </c>
      <c r="D187" s="45">
        <v>43085</v>
      </c>
      <c r="E187" s="7" t="s">
        <v>1842</v>
      </c>
      <c r="F187" s="7" t="s">
        <v>1200</v>
      </c>
      <c r="G187" s="7" t="s">
        <v>1686</v>
      </c>
      <c r="H187" s="46" t="str">
        <f t="shared" si="0"/>
        <v>HKC (Ha) C2  -  Albatros C4</v>
      </c>
      <c r="I187" s="40">
        <v>0.57291666666666663</v>
      </c>
      <c r="J187" s="7" t="s">
        <v>334</v>
      </c>
      <c r="K187" s="7" t="s">
        <v>1615</v>
      </c>
      <c r="L187" s="7" t="s">
        <v>14</v>
      </c>
      <c r="M187" s="7" t="s">
        <v>14</v>
      </c>
    </row>
    <row r="188" spans="1:13" ht="16.2">
      <c r="A188" s="7">
        <v>17150</v>
      </c>
      <c r="B188" s="7" t="s">
        <v>1664</v>
      </c>
      <c r="C188" s="7" t="s">
        <v>284</v>
      </c>
      <c r="D188" s="45">
        <v>43085</v>
      </c>
      <c r="E188" s="7" t="s">
        <v>1843</v>
      </c>
      <c r="F188" s="7" t="s">
        <v>1200</v>
      </c>
      <c r="G188" s="7" t="s">
        <v>1314</v>
      </c>
      <c r="H188" s="46" t="str">
        <f t="shared" si="0"/>
        <v>HKC (Ha) A3  -  Albatros A4</v>
      </c>
      <c r="I188" s="40">
        <v>0.61458333333333337</v>
      </c>
      <c r="J188" s="7" t="s">
        <v>334</v>
      </c>
      <c r="K188" s="7" t="s">
        <v>1615</v>
      </c>
      <c r="L188" s="7" t="s">
        <v>14</v>
      </c>
      <c r="M188" s="7" t="s">
        <v>14</v>
      </c>
    </row>
    <row r="189" spans="1:13" ht="16.2">
      <c r="A189" s="7">
        <v>37510</v>
      </c>
      <c r="B189" s="7" t="s">
        <v>1655</v>
      </c>
      <c r="C189" s="7" t="s">
        <v>284</v>
      </c>
      <c r="D189" s="47">
        <v>43127</v>
      </c>
      <c r="E189" s="7" t="s">
        <v>1844</v>
      </c>
      <c r="F189" s="7" t="s">
        <v>1200</v>
      </c>
      <c r="G189" s="7" t="s">
        <v>1308</v>
      </c>
      <c r="H189" s="46" t="str">
        <f t="shared" si="0"/>
        <v>Good Luck B1  -  Albatros B3</v>
      </c>
      <c r="I189" s="40">
        <v>0.40625</v>
      </c>
      <c r="J189" s="7" t="s">
        <v>1845</v>
      </c>
      <c r="K189" s="7" t="s">
        <v>1615</v>
      </c>
      <c r="L189" s="7" t="s">
        <v>14</v>
      </c>
      <c r="M189" s="7" t="s">
        <v>14</v>
      </c>
    </row>
    <row r="190" spans="1:13" ht="16.2">
      <c r="A190" s="7">
        <v>15630</v>
      </c>
      <c r="B190" s="7" t="s">
        <v>1719</v>
      </c>
      <c r="C190" s="7" t="s">
        <v>284</v>
      </c>
      <c r="D190" s="47">
        <v>43141</v>
      </c>
      <c r="E190" s="7" t="s">
        <v>1846</v>
      </c>
      <c r="F190" s="7" t="s">
        <v>1200</v>
      </c>
      <c r="G190" s="7" t="s">
        <v>1322</v>
      </c>
      <c r="H190" s="46" t="str">
        <f t="shared" si="0"/>
        <v>GKV/Enomics 3  -  Albatros 3</v>
      </c>
      <c r="I190" s="40">
        <v>0.65972222222222221</v>
      </c>
      <c r="J190" s="7" t="s">
        <v>405</v>
      </c>
      <c r="K190" s="7" t="s">
        <v>1615</v>
      </c>
      <c r="L190" s="7" t="s">
        <v>14</v>
      </c>
      <c r="M190" s="7" t="s">
        <v>14</v>
      </c>
    </row>
    <row r="191" spans="1:13" ht="16.2">
      <c r="A191" s="7">
        <v>30555</v>
      </c>
      <c r="B191" s="7" t="s">
        <v>1730</v>
      </c>
      <c r="C191" s="7" t="s">
        <v>284</v>
      </c>
      <c r="D191" s="47">
        <v>43141</v>
      </c>
      <c r="E191" s="7" t="s">
        <v>1847</v>
      </c>
      <c r="F191" s="7" t="s">
        <v>1200</v>
      </c>
      <c r="G191" s="7" t="s">
        <v>1271</v>
      </c>
      <c r="H191" s="46" t="str">
        <f t="shared" si="0"/>
        <v>GKV/Enomics F3  -  Albatros F4</v>
      </c>
      <c r="I191" s="40">
        <v>0.39583333333333331</v>
      </c>
      <c r="J191" s="7" t="s">
        <v>405</v>
      </c>
      <c r="K191" s="7" t="s">
        <v>1615</v>
      </c>
      <c r="L191" s="7" t="s">
        <v>14</v>
      </c>
      <c r="M191" s="7" t="s">
        <v>14</v>
      </c>
    </row>
    <row r="192" spans="1:13" ht="16.2">
      <c r="A192" s="7">
        <v>31358</v>
      </c>
      <c r="B192" s="7" t="s">
        <v>1682</v>
      </c>
      <c r="C192" s="7" t="s">
        <v>284</v>
      </c>
      <c r="D192" s="47">
        <v>43113</v>
      </c>
      <c r="E192" s="7" t="s">
        <v>1848</v>
      </c>
      <c r="F192" s="7" t="s">
        <v>1200</v>
      </c>
      <c r="G192" s="7" t="s">
        <v>1406</v>
      </c>
      <c r="H192" s="46" t="str">
        <f t="shared" si="0"/>
        <v>GKV/Enomics F2  -  Albatros F3</v>
      </c>
      <c r="I192" s="40">
        <v>0.39583333333333331</v>
      </c>
      <c r="J192" s="7" t="s">
        <v>405</v>
      </c>
      <c r="K192" s="7" t="s">
        <v>1615</v>
      </c>
      <c r="L192" s="7" t="s">
        <v>14</v>
      </c>
      <c r="M192" s="7" t="s">
        <v>14</v>
      </c>
    </row>
    <row r="193" spans="1:13" ht="16.2">
      <c r="A193" s="7">
        <v>32034</v>
      </c>
      <c r="B193" s="7" t="s">
        <v>1626</v>
      </c>
      <c r="C193" s="7" t="s">
        <v>284</v>
      </c>
      <c r="D193" s="45">
        <v>43050</v>
      </c>
      <c r="E193" s="7" t="s">
        <v>1849</v>
      </c>
      <c r="F193" s="7" t="s">
        <v>1200</v>
      </c>
      <c r="G193" s="7" t="s">
        <v>1275</v>
      </c>
      <c r="H193" s="46" t="str">
        <f t="shared" si="0"/>
        <v>GKV/Enomics F1  -  Albatros F1</v>
      </c>
      <c r="I193" s="40">
        <v>0.39583333333333331</v>
      </c>
      <c r="J193" s="7" t="s">
        <v>405</v>
      </c>
      <c r="K193" s="7" t="s">
        <v>1618</v>
      </c>
      <c r="L193" s="7" t="s">
        <v>14</v>
      </c>
      <c r="M193" s="7" t="s">
        <v>14</v>
      </c>
    </row>
    <row r="194" spans="1:13" ht="16.2">
      <c r="A194" s="7">
        <v>34422</v>
      </c>
      <c r="B194" s="7" t="s">
        <v>1628</v>
      </c>
      <c r="C194" s="7" t="s">
        <v>284</v>
      </c>
      <c r="D194" s="47">
        <v>43078</v>
      </c>
      <c r="E194" s="7" t="s">
        <v>1850</v>
      </c>
      <c r="F194" s="7" t="s">
        <v>1200</v>
      </c>
      <c r="G194" s="7" t="s">
        <v>1287</v>
      </c>
      <c r="H194" s="46" t="str">
        <f t="shared" si="0"/>
        <v>GKV/Enomics E3  -  Albatros E6</v>
      </c>
      <c r="I194" s="40">
        <v>0.39583333333333331</v>
      </c>
      <c r="J194" s="7" t="s">
        <v>405</v>
      </c>
      <c r="K194" s="7" t="s">
        <v>1615</v>
      </c>
      <c r="L194" s="7" t="s">
        <v>14</v>
      </c>
      <c r="M194" s="7" t="s">
        <v>14</v>
      </c>
    </row>
    <row r="195" spans="1:13" ht="16.2">
      <c r="A195" s="7">
        <v>35716</v>
      </c>
      <c r="B195" s="7" t="s">
        <v>1643</v>
      </c>
      <c r="C195" s="7" t="s">
        <v>284</v>
      </c>
      <c r="D195" s="47">
        <v>43120</v>
      </c>
      <c r="E195" s="7" t="s">
        <v>1460</v>
      </c>
      <c r="F195" s="7" t="s">
        <v>1200</v>
      </c>
      <c r="G195" s="7" t="s">
        <v>1416</v>
      </c>
      <c r="H195" s="46" t="str">
        <f t="shared" si="0"/>
        <v>GKV/Enomics E2  -  Albatros E1</v>
      </c>
      <c r="I195" s="40">
        <v>0.39583333333333331</v>
      </c>
      <c r="J195" s="7" t="s">
        <v>405</v>
      </c>
      <c r="K195" s="7" t="s">
        <v>1615</v>
      </c>
      <c r="L195" s="7" t="s">
        <v>14</v>
      </c>
      <c r="M195" s="7" t="s">
        <v>14</v>
      </c>
    </row>
    <row r="196" spans="1:13" ht="16.2">
      <c r="A196" s="7">
        <v>27312</v>
      </c>
      <c r="B196" s="7" t="s">
        <v>1763</v>
      </c>
      <c r="C196" s="7" t="s">
        <v>284</v>
      </c>
      <c r="D196" s="47">
        <v>43078</v>
      </c>
      <c r="E196" s="7" t="s">
        <v>1851</v>
      </c>
      <c r="F196" s="7" t="s">
        <v>1200</v>
      </c>
      <c r="G196" s="7" t="s">
        <v>1283</v>
      </c>
      <c r="H196" s="46" t="str">
        <f t="shared" si="0"/>
        <v>GKV/Enomics D2  -  Albatros D2</v>
      </c>
      <c r="I196" s="40">
        <v>0.53125</v>
      </c>
      <c r="J196" s="7" t="s">
        <v>405</v>
      </c>
      <c r="K196" s="7" t="s">
        <v>1615</v>
      </c>
      <c r="L196" s="7" t="s">
        <v>14</v>
      </c>
      <c r="M196" s="7" t="s">
        <v>14</v>
      </c>
    </row>
    <row r="197" spans="1:13" ht="16.2">
      <c r="A197" s="7">
        <v>21744</v>
      </c>
      <c r="B197" s="7" t="s">
        <v>1635</v>
      </c>
      <c r="C197" s="7" t="s">
        <v>284</v>
      </c>
      <c r="D197" s="47">
        <v>43127</v>
      </c>
      <c r="E197" s="7" t="s">
        <v>1852</v>
      </c>
      <c r="F197" s="7" t="s">
        <v>1200</v>
      </c>
      <c r="G197" s="7" t="s">
        <v>1255</v>
      </c>
      <c r="H197" s="46" t="str">
        <f t="shared" si="0"/>
        <v>GKV/Enomics D1  -  Albatros D1</v>
      </c>
      <c r="I197" s="40">
        <v>0.47916666666666669</v>
      </c>
      <c r="J197" s="7" t="s">
        <v>405</v>
      </c>
      <c r="K197" s="7" t="s">
        <v>1615</v>
      </c>
      <c r="L197" s="7" t="s">
        <v>14</v>
      </c>
      <c r="M197" s="7" t="s">
        <v>14</v>
      </c>
    </row>
    <row r="198" spans="1:13" ht="16.2">
      <c r="A198" s="7">
        <v>34923</v>
      </c>
      <c r="B198" s="7" t="s">
        <v>1746</v>
      </c>
      <c r="C198" s="7" t="s">
        <v>284</v>
      </c>
      <c r="D198" s="45">
        <v>43057</v>
      </c>
      <c r="E198" s="7" t="s">
        <v>1853</v>
      </c>
      <c r="F198" s="7" t="s">
        <v>1200</v>
      </c>
      <c r="G198" s="7" t="s">
        <v>1414</v>
      </c>
      <c r="H198" s="46" t="str">
        <f t="shared" si="0"/>
        <v>Fortuna/Delta Logistiek E8  -  Albatros E7</v>
      </c>
      <c r="I198" s="40">
        <v>0.5</v>
      </c>
      <c r="J198" s="7" t="s">
        <v>1854</v>
      </c>
      <c r="K198" s="7" t="s">
        <v>1615</v>
      </c>
      <c r="L198" s="7" t="s">
        <v>14</v>
      </c>
      <c r="M198" s="7" t="s">
        <v>14</v>
      </c>
    </row>
    <row r="199" spans="1:13" ht="16.2">
      <c r="A199" s="7">
        <v>23087</v>
      </c>
      <c r="B199" s="7" t="s">
        <v>1645</v>
      </c>
      <c r="C199" s="7" t="s">
        <v>284</v>
      </c>
      <c r="D199" s="47">
        <v>43169</v>
      </c>
      <c r="E199" s="7" t="s">
        <v>1855</v>
      </c>
      <c r="F199" s="7" t="s">
        <v>1200</v>
      </c>
      <c r="G199" s="7" t="s">
        <v>1302</v>
      </c>
      <c r="H199" s="46" t="str">
        <f t="shared" si="0"/>
        <v>Fortuna/Delta Logistiek C4  -  Albatros C3</v>
      </c>
      <c r="I199" s="40">
        <v>0.625</v>
      </c>
      <c r="J199" s="7" t="s">
        <v>1854</v>
      </c>
      <c r="K199" s="7" t="s">
        <v>1615</v>
      </c>
      <c r="L199" s="7" t="s">
        <v>14</v>
      </c>
      <c r="M199" s="7" t="s">
        <v>14</v>
      </c>
    </row>
    <row r="200" spans="1:13" ht="16.2">
      <c r="A200" s="7">
        <v>24881</v>
      </c>
      <c r="B200" s="7" t="s">
        <v>1647</v>
      </c>
      <c r="C200" s="7" t="s">
        <v>284</v>
      </c>
      <c r="D200" s="47">
        <v>43148</v>
      </c>
      <c r="E200" s="7" t="s">
        <v>1856</v>
      </c>
      <c r="F200" s="7" t="s">
        <v>1200</v>
      </c>
      <c r="G200" s="7" t="s">
        <v>1305</v>
      </c>
      <c r="H200" s="46" t="str">
        <f t="shared" si="0"/>
        <v>Fortuna/Delta Logistiek C3  -  Albatros C2</v>
      </c>
      <c r="I200" s="40">
        <v>0.64236111111111116</v>
      </c>
      <c r="J200" s="7" t="s">
        <v>1854</v>
      </c>
      <c r="K200" s="7" t="s">
        <v>1615</v>
      </c>
      <c r="L200" s="7" t="s">
        <v>14</v>
      </c>
      <c r="M200" s="7" t="s">
        <v>14</v>
      </c>
    </row>
    <row r="201" spans="1:13" ht="16.2">
      <c r="A201" s="7">
        <v>18199</v>
      </c>
      <c r="B201" s="7" t="s">
        <v>1670</v>
      </c>
      <c r="C201" s="7" t="s">
        <v>284</v>
      </c>
      <c r="D201" s="45">
        <v>43057</v>
      </c>
      <c r="E201" s="7" t="s">
        <v>1857</v>
      </c>
      <c r="F201" s="7" t="s">
        <v>1200</v>
      </c>
      <c r="G201" s="7" t="s">
        <v>1339</v>
      </c>
      <c r="H201" s="46" t="str">
        <f t="shared" si="0"/>
        <v>Fortuna/Delta Logistiek A2  -  Albatros A1</v>
      </c>
      <c r="I201" s="40">
        <v>0.75</v>
      </c>
      <c r="J201" s="7" t="s">
        <v>1854</v>
      </c>
      <c r="K201" s="7" t="s">
        <v>1615</v>
      </c>
      <c r="L201" s="7" t="s">
        <v>14</v>
      </c>
      <c r="M201" s="7" t="s">
        <v>14</v>
      </c>
    </row>
    <row r="202" spans="1:13" ht="16.2">
      <c r="A202" s="7">
        <v>15914</v>
      </c>
      <c r="B202" s="7" t="s">
        <v>1619</v>
      </c>
      <c r="C202" s="7" t="s">
        <v>284</v>
      </c>
      <c r="D202" s="47">
        <v>43120</v>
      </c>
      <c r="E202" s="7" t="s">
        <v>1858</v>
      </c>
      <c r="F202" s="7" t="s">
        <v>1200</v>
      </c>
      <c r="G202" s="7" t="s">
        <v>1317</v>
      </c>
      <c r="H202" s="46" t="str">
        <f t="shared" si="0"/>
        <v>Fortis 3  -  Albatros 4</v>
      </c>
      <c r="I202" s="40">
        <v>0.68055555555555558</v>
      </c>
      <c r="J202" s="7" t="s">
        <v>985</v>
      </c>
      <c r="K202" s="7" t="s">
        <v>1615</v>
      </c>
      <c r="L202" s="7" t="s">
        <v>14</v>
      </c>
      <c r="M202" s="7" t="s">
        <v>14</v>
      </c>
    </row>
    <row r="203" spans="1:13" ht="16.2">
      <c r="A203" s="7">
        <v>14419</v>
      </c>
      <c r="B203" s="7" t="s">
        <v>1621</v>
      </c>
      <c r="C203" s="7" t="s">
        <v>284</v>
      </c>
      <c r="D203" s="45">
        <v>43057</v>
      </c>
      <c r="E203" s="7" t="s">
        <v>1859</v>
      </c>
      <c r="F203" s="7" t="s">
        <v>1200</v>
      </c>
      <c r="G203" s="7" t="s">
        <v>1344</v>
      </c>
      <c r="H203" s="46" t="str">
        <f t="shared" si="0"/>
        <v>Fortis 2  -  Albatros 2</v>
      </c>
      <c r="I203" s="40">
        <v>0.77083333333333337</v>
      </c>
      <c r="J203" s="7" t="s">
        <v>325</v>
      </c>
      <c r="K203" s="7" t="s">
        <v>1669</v>
      </c>
      <c r="L203" s="7" t="s">
        <v>14</v>
      </c>
      <c r="M203" s="7" t="s">
        <v>14</v>
      </c>
    </row>
    <row r="204" spans="1:13" ht="16.2">
      <c r="A204" s="7">
        <v>12089</v>
      </c>
      <c r="B204" s="7" t="s">
        <v>1247</v>
      </c>
      <c r="C204" s="7" t="s">
        <v>284</v>
      </c>
      <c r="D204" s="45">
        <v>43057</v>
      </c>
      <c r="E204" s="7" t="s">
        <v>1860</v>
      </c>
      <c r="F204" s="7" t="s">
        <v>1200</v>
      </c>
      <c r="G204" s="7" t="s">
        <v>1348</v>
      </c>
      <c r="H204" s="46" t="str">
        <f t="shared" si="0"/>
        <v>Fortis 1  -  Albatros 1</v>
      </c>
      <c r="I204" s="40">
        <v>0.83333333333333337</v>
      </c>
      <c r="J204" s="7" t="s">
        <v>325</v>
      </c>
      <c r="K204" s="7" t="s">
        <v>1669</v>
      </c>
      <c r="L204" s="7" t="s">
        <v>14</v>
      </c>
      <c r="M204" s="7" t="s">
        <v>14</v>
      </c>
    </row>
    <row r="205" spans="1:13" ht="16.2">
      <c r="A205" s="7">
        <v>20934</v>
      </c>
      <c r="B205" s="7" t="s">
        <v>1649</v>
      </c>
      <c r="C205" s="7" t="s">
        <v>284</v>
      </c>
      <c r="D205" s="45">
        <v>43057</v>
      </c>
      <c r="E205" s="7" t="s">
        <v>1861</v>
      </c>
      <c r="F205" s="7" t="s">
        <v>1200</v>
      </c>
      <c r="G205" s="7" t="s">
        <v>1252</v>
      </c>
      <c r="H205" s="46" t="str">
        <f t="shared" si="0"/>
        <v>Fortis C1  -  Albatros C1</v>
      </c>
      <c r="I205" s="40">
        <v>0.50347222222222221</v>
      </c>
      <c r="J205" s="7" t="s">
        <v>985</v>
      </c>
      <c r="K205" s="7" t="s">
        <v>1615</v>
      </c>
      <c r="L205" s="7" t="s">
        <v>14</v>
      </c>
      <c r="M205" s="7" t="s">
        <v>14</v>
      </c>
    </row>
    <row r="206" spans="1:13" ht="16.2">
      <c r="A206" s="7">
        <v>37503</v>
      </c>
      <c r="B206" s="7" t="s">
        <v>1655</v>
      </c>
      <c r="C206" s="7" t="s">
        <v>284</v>
      </c>
      <c r="D206" s="45">
        <v>43050</v>
      </c>
      <c r="E206" s="7" t="s">
        <v>1862</v>
      </c>
      <c r="F206" s="7" t="s">
        <v>1200</v>
      </c>
      <c r="G206" s="7" t="s">
        <v>1308</v>
      </c>
      <c r="H206" s="46" t="str">
        <f t="shared" si="0"/>
        <v>Focus B1  -  Albatros B3</v>
      </c>
      <c r="I206" s="40">
        <v>0.47916666666666669</v>
      </c>
      <c r="J206" s="7" t="s">
        <v>948</v>
      </c>
      <c r="K206" s="7" t="s">
        <v>1615</v>
      </c>
      <c r="L206" s="7" t="s">
        <v>14</v>
      </c>
      <c r="M206" s="7" t="s">
        <v>14</v>
      </c>
    </row>
    <row r="207" spans="1:13" ht="16.2">
      <c r="A207" s="7">
        <v>27857</v>
      </c>
      <c r="B207" s="7" t="s">
        <v>1633</v>
      </c>
      <c r="C207" s="7" t="s">
        <v>284</v>
      </c>
      <c r="D207" s="45">
        <v>43057</v>
      </c>
      <c r="E207" s="7" t="s">
        <v>1863</v>
      </c>
      <c r="F207" s="7" t="s">
        <v>1200</v>
      </c>
      <c r="G207" s="7" t="s">
        <v>1280</v>
      </c>
      <c r="H207" s="46" t="str">
        <f t="shared" si="0"/>
        <v>Feijenoord D1  -  Albatros D3</v>
      </c>
      <c r="I207" s="40">
        <v>0.39583333333333331</v>
      </c>
      <c r="J207" s="7" t="s">
        <v>1864</v>
      </c>
      <c r="K207" s="7" t="s">
        <v>1615</v>
      </c>
      <c r="L207" s="7" t="s">
        <v>14</v>
      </c>
      <c r="M207" s="7" t="s">
        <v>14</v>
      </c>
    </row>
    <row r="208" spans="1:13" ht="16.2">
      <c r="A208" s="7">
        <v>24237</v>
      </c>
      <c r="B208" s="7" t="s">
        <v>1645</v>
      </c>
      <c r="C208" s="7" t="s">
        <v>284</v>
      </c>
      <c r="D208" s="47">
        <v>43113</v>
      </c>
      <c r="E208" s="7" t="s">
        <v>1865</v>
      </c>
      <c r="F208" s="7" t="s">
        <v>1200</v>
      </c>
      <c r="G208" s="7" t="s">
        <v>1302</v>
      </c>
      <c r="H208" s="46" t="str">
        <f t="shared" si="0"/>
        <v>Excelsior (D) C1  -  Albatros C3</v>
      </c>
      <c r="I208" s="40">
        <v>0.54166666666666663</v>
      </c>
      <c r="J208" s="7" t="s">
        <v>1866</v>
      </c>
      <c r="K208" s="7" t="s">
        <v>1615</v>
      </c>
      <c r="L208" s="7" t="s">
        <v>14</v>
      </c>
      <c r="M208" s="7" t="s">
        <v>14</v>
      </c>
    </row>
    <row r="209" spans="1:13" ht="16.2">
      <c r="A209" s="7">
        <v>17432</v>
      </c>
      <c r="B209" s="7" t="s">
        <v>1676</v>
      </c>
      <c r="C209" s="7" t="s">
        <v>284</v>
      </c>
      <c r="D209" s="47">
        <v>43134</v>
      </c>
      <c r="E209" s="7" t="s">
        <v>1867</v>
      </c>
      <c r="F209" s="7" t="s">
        <v>1200</v>
      </c>
      <c r="G209" s="7" t="s">
        <v>1420</v>
      </c>
      <c r="H209" s="46" t="str">
        <f t="shared" si="0"/>
        <v>Eureka A1  -  Albatros A3</v>
      </c>
      <c r="I209" s="40">
        <v>0.55208333333333337</v>
      </c>
      <c r="J209" s="7" t="s">
        <v>412</v>
      </c>
      <c r="K209" s="7" t="s">
        <v>1615</v>
      </c>
      <c r="L209" s="7" t="s">
        <v>14</v>
      </c>
      <c r="M209" s="7" t="s">
        <v>14</v>
      </c>
    </row>
    <row r="210" spans="1:13" ht="16.2">
      <c r="A210" s="7">
        <v>20277</v>
      </c>
      <c r="B210" s="7" t="s">
        <v>1769</v>
      </c>
      <c r="C210" s="7" t="s">
        <v>284</v>
      </c>
      <c r="D210" s="47">
        <v>43071</v>
      </c>
      <c r="E210" s="7" t="s">
        <v>1868</v>
      </c>
      <c r="F210" s="7" t="s">
        <v>1200</v>
      </c>
      <c r="G210" s="7" t="s">
        <v>1400</v>
      </c>
      <c r="H210" s="46" t="str">
        <f t="shared" si="0"/>
        <v>Erasmus 3  -  Albatros 9</v>
      </c>
      <c r="I210" s="40">
        <v>0.5625</v>
      </c>
      <c r="J210" s="7" t="s">
        <v>1869</v>
      </c>
      <c r="K210" s="7" t="s">
        <v>1673</v>
      </c>
      <c r="L210" s="7" t="s">
        <v>14</v>
      </c>
      <c r="M210" s="7" t="s">
        <v>14</v>
      </c>
    </row>
    <row r="211" spans="1:13" ht="16.2">
      <c r="A211" s="7">
        <v>30553</v>
      </c>
      <c r="B211" s="7" t="s">
        <v>1682</v>
      </c>
      <c r="C211" s="7" t="s">
        <v>284</v>
      </c>
      <c r="D211" s="47">
        <v>43141</v>
      </c>
      <c r="E211" s="7" t="s">
        <v>1870</v>
      </c>
      <c r="F211" s="7" t="s">
        <v>1200</v>
      </c>
      <c r="G211" s="7" t="s">
        <v>1406</v>
      </c>
      <c r="H211" s="46" t="str">
        <f t="shared" si="0"/>
        <v>DVS '69 F1  -  Albatros F3</v>
      </c>
      <c r="I211" s="40">
        <v>0.375</v>
      </c>
      <c r="J211" s="7" t="s">
        <v>546</v>
      </c>
      <c r="K211" s="7" t="s">
        <v>1615</v>
      </c>
      <c r="L211" s="7" t="s">
        <v>14</v>
      </c>
      <c r="M211" s="7" t="s">
        <v>14</v>
      </c>
    </row>
    <row r="212" spans="1:13" ht="16.2">
      <c r="A212" s="7">
        <v>34141</v>
      </c>
      <c r="B212" s="7" t="s">
        <v>1746</v>
      </c>
      <c r="C212" s="7" t="s">
        <v>284</v>
      </c>
      <c r="D212" s="47">
        <v>43141</v>
      </c>
      <c r="E212" s="7" t="s">
        <v>1871</v>
      </c>
      <c r="F212" s="7" t="s">
        <v>1200</v>
      </c>
      <c r="G212" s="7" t="s">
        <v>1414</v>
      </c>
      <c r="H212" s="46" t="str">
        <f t="shared" si="0"/>
        <v>DVS '69 E3  -  Albatros E7</v>
      </c>
      <c r="I212" s="40">
        <v>0.41666666666666669</v>
      </c>
      <c r="J212" s="7" t="s">
        <v>546</v>
      </c>
      <c r="K212" s="7" t="s">
        <v>1615</v>
      </c>
      <c r="L212" s="7" t="s">
        <v>14</v>
      </c>
      <c r="M212" s="7" t="s">
        <v>14</v>
      </c>
    </row>
    <row r="213" spans="1:13" ht="16.2">
      <c r="A213" s="7">
        <v>23849</v>
      </c>
      <c r="B213" s="7" t="s">
        <v>1684</v>
      </c>
      <c r="C213" s="7" t="s">
        <v>284</v>
      </c>
      <c r="D213" s="47">
        <v>43141</v>
      </c>
      <c r="E213" s="7" t="s">
        <v>1872</v>
      </c>
      <c r="F213" s="7" t="s">
        <v>1200</v>
      </c>
      <c r="G213" s="7" t="s">
        <v>1686</v>
      </c>
      <c r="H213" s="46" t="str">
        <f t="shared" si="0"/>
        <v>DVS '69 C1  -  Albatros C4</v>
      </c>
      <c r="I213" s="40">
        <v>0.5</v>
      </c>
      <c r="J213" s="7" t="s">
        <v>546</v>
      </c>
      <c r="K213" s="7" t="s">
        <v>1615</v>
      </c>
      <c r="L213" s="7" t="s">
        <v>14</v>
      </c>
      <c r="M213" s="7" t="s">
        <v>14</v>
      </c>
    </row>
    <row r="214" spans="1:13" ht="16.2">
      <c r="A214" s="7">
        <v>18898</v>
      </c>
      <c r="B214" s="7" t="s">
        <v>1113</v>
      </c>
      <c r="C214" s="7" t="s">
        <v>284</v>
      </c>
      <c r="D214" s="45">
        <v>43057</v>
      </c>
      <c r="E214" s="7" t="s">
        <v>1873</v>
      </c>
      <c r="F214" s="7" t="s">
        <v>1200</v>
      </c>
      <c r="G214" s="7" t="s">
        <v>1341</v>
      </c>
      <c r="H214" s="46" t="str">
        <f t="shared" si="0"/>
        <v>DVS '69 A1  -  Albatros A2</v>
      </c>
      <c r="I214" s="40">
        <v>0.58333333333333337</v>
      </c>
      <c r="J214" s="7" t="s">
        <v>546</v>
      </c>
      <c r="K214" s="7" t="s">
        <v>1615</v>
      </c>
      <c r="L214" s="7" t="s">
        <v>14</v>
      </c>
      <c r="M214" s="7" t="s">
        <v>14</v>
      </c>
    </row>
    <row r="215" spans="1:13" ht="16.2">
      <c r="A215" s="7">
        <v>38095</v>
      </c>
      <c r="B215" s="7" t="s">
        <v>1641</v>
      </c>
      <c r="C215" s="7" t="s">
        <v>284</v>
      </c>
      <c r="D215" s="45">
        <v>43085</v>
      </c>
      <c r="E215" s="7" t="s">
        <v>1874</v>
      </c>
      <c r="F215" s="7" t="s">
        <v>1200</v>
      </c>
      <c r="G215" s="7" t="s">
        <v>1451</v>
      </c>
      <c r="H215" s="46" t="str">
        <f t="shared" si="0"/>
        <v>DVO/Accountor G1  -  Albatros G1</v>
      </c>
      <c r="I215" s="40">
        <v>0.65277777777777779</v>
      </c>
      <c r="J215" s="7" t="s">
        <v>459</v>
      </c>
      <c r="K215" s="7" t="s">
        <v>1615</v>
      </c>
      <c r="L215" s="7" t="s">
        <v>14</v>
      </c>
      <c r="M215" s="7" t="s">
        <v>14</v>
      </c>
    </row>
    <row r="216" spans="1:13" ht="16.2">
      <c r="A216" s="7">
        <v>15705</v>
      </c>
      <c r="B216" s="7" t="s">
        <v>1619</v>
      </c>
      <c r="C216" s="7" t="s">
        <v>284</v>
      </c>
      <c r="D216" s="47">
        <v>43071</v>
      </c>
      <c r="E216" s="7" t="s">
        <v>1875</v>
      </c>
      <c r="F216" s="7" t="s">
        <v>1200</v>
      </c>
      <c r="G216" s="7" t="s">
        <v>1317</v>
      </c>
      <c r="H216" s="46" t="str">
        <f t="shared" si="0"/>
        <v>DSO (K) 3  -  Albatros 4</v>
      </c>
      <c r="I216" s="40">
        <v>0.63194444444444442</v>
      </c>
      <c r="J216" s="7" t="s">
        <v>451</v>
      </c>
      <c r="K216" s="7" t="s">
        <v>1615</v>
      </c>
      <c r="L216" s="7" t="s">
        <v>14</v>
      </c>
      <c r="M216" s="7" t="s">
        <v>14</v>
      </c>
    </row>
    <row r="217" spans="1:13" ht="16.2">
      <c r="A217" s="7">
        <v>28277</v>
      </c>
      <c r="B217" s="7" t="s">
        <v>1633</v>
      </c>
      <c r="C217" s="7" t="s">
        <v>284</v>
      </c>
      <c r="D217" s="47">
        <v>43169</v>
      </c>
      <c r="E217" s="7" t="s">
        <v>1876</v>
      </c>
      <c r="F217" s="7" t="s">
        <v>1200</v>
      </c>
      <c r="G217" s="7" t="s">
        <v>1280</v>
      </c>
      <c r="H217" s="46" t="str">
        <f t="shared" si="0"/>
        <v>DSO (K) D2  -  Albatros D3</v>
      </c>
      <c r="I217" s="40">
        <v>0.41666666666666669</v>
      </c>
      <c r="J217" s="7" t="s">
        <v>451</v>
      </c>
      <c r="K217" s="7" t="s">
        <v>1615</v>
      </c>
      <c r="L217" s="7" t="s">
        <v>14</v>
      </c>
      <c r="M217" s="7" t="s">
        <v>14</v>
      </c>
    </row>
    <row r="218" spans="1:13" ht="16.2">
      <c r="A218" s="7">
        <v>19351</v>
      </c>
      <c r="B218" s="7" t="s">
        <v>1739</v>
      </c>
      <c r="C218" s="7" t="s">
        <v>284</v>
      </c>
      <c r="D218" s="45">
        <v>43064</v>
      </c>
      <c r="E218" s="7" t="s">
        <v>1877</v>
      </c>
      <c r="F218" s="7" t="s">
        <v>1200</v>
      </c>
      <c r="G218" s="7" t="s">
        <v>1311</v>
      </c>
      <c r="H218" s="46" t="str">
        <f t="shared" si="0"/>
        <v>DSO (K) B1  -  Albatros B2</v>
      </c>
      <c r="I218" s="40">
        <v>0.5</v>
      </c>
      <c r="J218" s="7" t="s">
        <v>451</v>
      </c>
      <c r="K218" s="7" t="s">
        <v>1615</v>
      </c>
      <c r="L218" s="7" t="s">
        <v>14</v>
      </c>
      <c r="M218" s="7" t="s">
        <v>14</v>
      </c>
    </row>
    <row r="219" spans="1:13" ht="16.2">
      <c r="A219" s="7">
        <v>21705</v>
      </c>
      <c r="B219" s="7" t="s">
        <v>1635</v>
      </c>
      <c r="C219" s="7" t="s">
        <v>284</v>
      </c>
      <c r="D219" s="47">
        <v>43141</v>
      </c>
      <c r="E219" s="7" t="s">
        <v>1878</v>
      </c>
      <c r="F219" s="7" t="s">
        <v>1200</v>
      </c>
      <c r="G219" s="7" t="s">
        <v>1255</v>
      </c>
      <c r="H219" s="46" t="str">
        <f t="shared" si="0"/>
        <v>DSC D1  -  Albatros D1</v>
      </c>
      <c r="I219" s="40">
        <v>0.41666666666666669</v>
      </c>
      <c r="J219" s="7" t="s">
        <v>1140</v>
      </c>
      <c r="K219" s="7" t="s">
        <v>1615</v>
      </c>
      <c r="L219" s="7" t="s">
        <v>14</v>
      </c>
      <c r="M219" s="7" t="s">
        <v>14</v>
      </c>
    </row>
    <row r="220" spans="1:13" ht="16.2">
      <c r="A220" s="7">
        <v>24872</v>
      </c>
      <c r="B220" s="7" t="s">
        <v>1715</v>
      </c>
      <c r="C220" s="7" t="s">
        <v>284</v>
      </c>
      <c r="D220" s="47">
        <v>43148</v>
      </c>
      <c r="E220" s="7" t="s">
        <v>1879</v>
      </c>
      <c r="F220" s="7" t="s">
        <v>1200</v>
      </c>
      <c r="G220" s="7" t="s">
        <v>1717</v>
      </c>
      <c r="H220" s="46" t="str">
        <f t="shared" si="0"/>
        <v>Dijkvogels C2  -  Albatros C5</v>
      </c>
      <c r="I220" s="40">
        <v>0.54513888888888884</v>
      </c>
      <c r="J220" s="7" t="s">
        <v>363</v>
      </c>
      <c r="K220" s="7" t="s">
        <v>1615</v>
      </c>
      <c r="L220" s="7" t="s">
        <v>14</v>
      </c>
      <c r="M220" s="7" t="s">
        <v>14</v>
      </c>
    </row>
    <row r="221" spans="1:13" ht="16.2">
      <c r="A221" s="7">
        <v>17496</v>
      </c>
      <c r="B221" s="7" t="s">
        <v>1676</v>
      </c>
      <c r="C221" s="7" t="s">
        <v>284</v>
      </c>
      <c r="D221" s="45">
        <v>43050</v>
      </c>
      <c r="E221" s="7" t="s">
        <v>1880</v>
      </c>
      <c r="F221" s="7" t="s">
        <v>1200</v>
      </c>
      <c r="G221" s="7" t="s">
        <v>1420</v>
      </c>
      <c r="H221" s="46" t="str">
        <f t="shared" si="0"/>
        <v>Dijkvogels A3  -  Albatros A3</v>
      </c>
      <c r="I221" s="40">
        <v>0.625</v>
      </c>
      <c r="J221" s="7" t="s">
        <v>363</v>
      </c>
      <c r="K221" s="7" t="s">
        <v>1615</v>
      </c>
      <c r="L221" s="7" t="s">
        <v>14</v>
      </c>
      <c r="M221" s="7" t="s">
        <v>14</v>
      </c>
    </row>
    <row r="222" spans="1:13" ht="16.2">
      <c r="A222" s="7">
        <v>18377</v>
      </c>
      <c r="B222" s="7" t="s">
        <v>1670</v>
      </c>
      <c r="C222" s="7" t="s">
        <v>284</v>
      </c>
      <c r="D222" s="47">
        <v>43113</v>
      </c>
      <c r="E222" s="7" t="s">
        <v>1881</v>
      </c>
      <c r="F222" s="7" t="s">
        <v>1200</v>
      </c>
      <c r="G222" s="7" t="s">
        <v>1339</v>
      </c>
      <c r="H222" s="46" t="str">
        <f t="shared" si="0"/>
        <v>Die Haghe A1  -  Albatros A1</v>
      </c>
      <c r="I222" s="40">
        <v>0.60069444444444442</v>
      </c>
      <c r="J222" s="7" t="s">
        <v>1882</v>
      </c>
      <c r="K222" s="7" t="s">
        <v>1883</v>
      </c>
      <c r="L222" s="7" t="s">
        <v>14</v>
      </c>
      <c r="M222" s="7" t="s">
        <v>14</v>
      </c>
    </row>
    <row r="223" spans="1:13" ht="16.2">
      <c r="A223" s="7">
        <v>24671</v>
      </c>
      <c r="B223" s="7" t="s">
        <v>1645</v>
      </c>
      <c r="C223" s="7" t="s">
        <v>284</v>
      </c>
      <c r="D223" s="47">
        <v>43148</v>
      </c>
      <c r="E223" s="7" t="s">
        <v>1884</v>
      </c>
      <c r="F223" s="7" t="s">
        <v>1200</v>
      </c>
      <c r="G223" s="7" t="s">
        <v>1302</v>
      </c>
      <c r="H223" s="46" t="str">
        <f t="shared" si="0"/>
        <v>DES (D) C2  -  Albatros C3</v>
      </c>
      <c r="I223" s="40">
        <v>0.54166666666666663</v>
      </c>
      <c r="J223" s="7" t="s">
        <v>1885</v>
      </c>
      <c r="K223" s="7" t="s">
        <v>1615</v>
      </c>
      <c r="L223" s="7" t="s">
        <v>14</v>
      </c>
      <c r="M223" s="7" t="s">
        <v>14</v>
      </c>
    </row>
    <row r="224" spans="1:13" ht="16.2">
      <c r="A224" s="7">
        <v>21361</v>
      </c>
      <c r="B224" s="7" t="s">
        <v>1679</v>
      </c>
      <c r="C224" s="7" t="s">
        <v>284</v>
      </c>
      <c r="D224" s="45">
        <v>43085</v>
      </c>
      <c r="E224" s="7" t="s">
        <v>1886</v>
      </c>
      <c r="F224" s="7" t="s">
        <v>1200</v>
      </c>
      <c r="G224" s="7" t="s">
        <v>1395</v>
      </c>
      <c r="H224" s="46" t="str">
        <f t="shared" si="0"/>
        <v>DeetosSnel 6  -  Albatros 6</v>
      </c>
      <c r="I224" s="40">
        <v>0.63541666666666663</v>
      </c>
      <c r="J224" s="7" t="s">
        <v>454</v>
      </c>
      <c r="K224" s="7" t="s">
        <v>1669</v>
      </c>
      <c r="L224" s="7" t="s">
        <v>14</v>
      </c>
      <c r="M224" s="7" t="s">
        <v>14</v>
      </c>
    </row>
    <row r="225" spans="1:13" ht="16.2">
      <c r="A225" s="7">
        <v>30754</v>
      </c>
      <c r="B225" s="7" t="s">
        <v>1730</v>
      </c>
      <c r="C225" s="7" t="s">
        <v>284</v>
      </c>
      <c r="D225" s="45">
        <v>43085</v>
      </c>
      <c r="E225" s="7" t="s">
        <v>1887</v>
      </c>
      <c r="F225" s="7" t="s">
        <v>1200</v>
      </c>
      <c r="G225" s="7" t="s">
        <v>1271</v>
      </c>
      <c r="H225" s="46" t="str">
        <f t="shared" si="0"/>
        <v>DeetosSnel F2  -  Albatros F4</v>
      </c>
      <c r="I225" s="40">
        <v>0.375</v>
      </c>
      <c r="J225" s="7" t="s">
        <v>454</v>
      </c>
      <c r="K225" s="7" t="s">
        <v>1669</v>
      </c>
      <c r="L225" s="7" t="s">
        <v>14</v>
      </c>
      <c r="M225" s="7" t="s">
        <v>14</v>
      </c>
    </row>
    <row r="226" spans="1:13" ht="16.2">
      <c r="A226" s="7">
        <v>27569</v>
      </c>
      <c r="B226" s="7" t="s">
        <v>1763</v>
      </c>
      <c r="C226" s="7" t="s">
        <v>284</v>
      </c>
      <c r="D226" s="45">
        <v>43085</v>
      </c>
      <c r="E226" s="7" t="s">
        <v>1509</v>
      </c>
      <c r="F226" s="7" t="s">
        <v>1200</v>
      </c>
      <c r="G226" s="7" t="s">
        <v>1283</v>
      </c>
      <c r="H226" s="46" t="str">
        <f t="shared" si="0"/>
        <v>DeetosSnel D2  -  Albatros D2</v>
      </c>
      <c r="I226" s="40">
        <v>0.45833333333333331</v>
      </c>
      <c r="J226" s="7" t="s">
        <v>454</v>
      </c>
      <c r="K226" s="7" t="s">
        <v>1669</v>
      </c>
      <c r="L226" s="7" t="s">
        <v>14</v>
      </c>
      <c r="M226" s="7" t="s">
        <v>14</v>
      </c>
    </row>
    <row r="227" spans="1:13" ht="16.2">
      <c r="A227" s="7">
        <v>21783</v>
      </c>
      <c r="B227" s="7" t="s">
        <v>1635</v>
      </c>
      <c r="C227" s="7" t="s">
        <v>284</v>
      </c>
      <c r="D227" s="47">
        <v>43113</v>
      </c>
      <c r="E227" s="7" t="s">
        <v>1888</v>
      </c>
      <c r="F227" s="7" t="s">
        <v>1200</v>
      </c>
      <c r="G227" s="7" t="s">
        <v>1255</v>
      </c>
      <c r="H227" s="46" t="str">
        <f t="shared" si="0"/>
        <v>DeetosSnel D1  -  Albatros D1</v>
      </c>
      <c r="I227" s="40">
        <v>0.54861111111111116</v>
      </c>
      <c r="J227" s="7" t="s">
        <v>454</v>
      </c>
      <c r="K227" s="7" t="s">
        <v>1669</v>
      </c>
      <c r="L227" s="7" t="s">
        <v>14</v>
      </c>
      <c r="M227" s="7" t="s">
        <v>14</v>
      </c>
    </row>
    <row r="228" spans="1:13" ht="16.2">
      <c r="A228" s="7">
        <v>37506</v>
      </c>
      <c r="B228" s="7" t="s">
        <v>1655</v>
      </c>
      <c r="C228" s="7" t="s">
        <v>284</v>
      </c>
      <c r="D228" s="47">
        <v>43155</v>
      </c>
      <c r="E228" s="7" t="s">
        <v>1889</v>
      </c>
      <c r="F228" s="7" t="s">
        <v>1200</v>
      </c>
      <c r="G228" s="7" t="s">
        <v>1308</v>
      </c>
      <c r="H228" s="46" t="str">
        <f t="shared" si="0"/>
        <v>DeetosSnel B3  -  Albatros B3</v>
      </c>
      <c r="I228" s="40">
        <v>0.41666666666666669</v>
      </c>
      <c r="J228" s="7" t="s">
        <v>454</v>
      </c>
      <c r="K228" s="7" t="s">
        <v>1669</v>
      </c>
      <c r="L228" s="7" t="s">
        <v>14</v>
      </c>
      <c r="M228" s="7" t="s">
        <v>14</v>
      </c>
    </row>
    <row r="229" spans="1:13" ht="16.2">
      <c r="A229" s="7">
        <v>19029</v>
      </c>
      <c r="B229" s="7" t="s">
        <v>1739</v>
      </c>
      <c r="C229" s="7" t="s">
        <v>284</v>
      </c>
      <c r="D229" s="47">
        <v>43176</v>
      </c>
      <c r="E229" s="7" t="s">
        <v>1442</v>
      </c>
      <c r="F229" s="7" t="s">
        <v>1200</v>
      </c>
      <c r="G229" s="7" t="s">
        <v>1311</v>
      </c>
      <c r="H229" s="46" t="str">
        <f t="shared" si="0"/>
        <v>DeetosSnel B2  -  Albatros B2</v>
      </c>
      <c r="I229" s="40">
        <v>0.43055555555555558</v>
      </c>
      <c r="J229" s="7" t="s">
        <v>454</v>
      </c>
      <c r="K229" s="7" t="s">
        <v>1673</v>
      </c>
      <c r="L229" s="7" t="s">
        <v>14</v>
      </c>
      <c r="M229" s="7" t="s">
        <v>14</v>
      </c>
    </row>
    <row r="230" spans="1:13" ht="16.2">
      <c r="A230" s="7">
        <v>18616</v>
      </c>
      <c r="B230" s="7" t="s">
        <v>1614</v>
      </c>
      <c r="C230" s="7" t="s">
        <v>284</v>
      </c>
      <c r="D230" s="47">
        <v>43141</v>
      </c>
      <c r="E230" s="7" t="s">
        <v>1890</v>
      </c>
      <c r="F230" s="7" t="s">
        <v>1200</v>
      </c>
      <c r="G230" s="7" t="s">
        <v>1418</v>
      </c>
      <c r="H230" s="46" t="str">
        <f t="shared" si="0"/>
        <v>Conventus B3  -  Albatros B4</v>
      </c>
      <c r="I230" s="40">
        <v>0.49652777777777779</v>
      </c>
      <c r="J230" s="7" t="s">
        <v>287</v>
      </c>
      <c r="K230" s="7" t="s">
        <v>1615</v>
      </c>
      <c r="L230" s="7" t="s">
        <v>14</v>
      </c>
      <c r="M230" s="7" t="s">
        <v>14</v>
      </c>
    </row>
    <row r="231" spans="1:13" ht="16.2">
      <c r="A231" s="7">
        <v>18626</v>
      </c>
      <c r="B231" s="7" t="s">
        <v>1739</v>
      </c>
      <c r="C231" s="7" t="s">
        <v>284</v>
      </c>
      <c r="D231" s="47">
        <v>43141</v>
      </c>
      <c r="E231" s="7" t="s">
        <v>1891</v>
      </c>
      <c r="F231" s="7" t="s">
        <v>1200</v>
      </c>
      <c r="G231" s="7" t="s">
        <v>1311</v>
      </c>
      <c r="H231" s="46" t="str">
        <f t="shared" si="0"/>
        <v>Conventus B1  -  Albatros B2</v>
      </c>
      <c r="I231" s="40">
        <v>0.375</v>
      </c>
      <c r="J231" s="7" t="s">
        <v>287</v>
      </c>
      <c r="K231" s="7" t="s">
        <v>1615</v>
      </c>
      <c r="L231" s="7" t="s">
        <v>14</v>
      </c>
      <c r="M231" s="7" t="s">
        <v>14</v>
      </c>
    </row>
    <row r="232" spans="1:13" ht="16.2">
      <c r="A232" s="7">
        <v>22141</v>
      </c>
      <c r="B232" s="7" t="s">
        <v>1769</v>
      </c>
      <c r="C232" s="7" t="s">
        <v>284</v>
      </c>
      <c r="D232" s="47">
        <v>43169</v>
      </c>
      <c r="E232" s="7" t="s">
        <v>1892</v>
      </c>
      <c r="F232" s="7" t="s">
        <v>1200</v>
      </c>
      <c r="G232" s="7" t="s">
        <v>1400</v>
      </c>
      <c r="H232" s="46" t="str">
        <f t="shared" si="0"/>
        <v>Avanti (P) 6  -  Albatros 9</v>
      </c>
      <c r="I232" s="40">
        <v>0.71180555555555558</v>
      </c>
      <c r="J232" s="7" t="s">
        <v>1893</v>
      </c>
      <c r="K232" s="7" t="s">
        <v>1615</v>
      </c>
      <c r="L232" s="7" t="s">
        <v>14</v>
      </c>
      <c r="M232" s="7" t="s">
        <v>14</v>
      </c>
    </row>
    <row r="233" spans="1:13" ht="16.2">
      <c r="A233" s="7">
        <v>34851</v>
      </c>
      <c r="B233" s="7" t="s">
        <v>1746</v>
      </c>
      <c r="C233" s="7" t="s">
        <v>284</v>
      </c>
      <c r="D233" s="47">
        <v>43127</v>
      </c>
      <c r="E233" s="7" t="s">
        <v>1894</v>
      </c>
      <c r="F233" s="7" t="s">
        <v>1200</v>
      </c>
      <c r="G233" s="7" t="s">
        <v>1414</v>
      </c>
      <c r="H233" s="46" t="str">
        <f t="shared" si="0"/>
        <v>Avanti (P) E9  -  Albatros E7</v>
      </c>
      <c r="I233" s="40">
        <v>0.55208333333333337</v>
      </c>
      <c r="J233" s="7" t="s">
        <v>1895</v>
      </c>
      <c r="K233" s="7" t="s">
        <v>1615</v>
      </c>
      <c r="L233" s="7" t="s">
        <v>14</v>
      </c>
      <c r="M233" s="7" t="s">
        <v>14</v>
      </c>
    </row>
    <row r="234" spans="1:13" ht="16.2">
      <c r="A234" s="7">
        <v>24009</v>
      </c>
      <c r="B234" s="7" t="s">
        <v>1715</v>
      </c>
      <c r="C234" s="7" t="s">
        <v>284</v>
      </c>
      <c r="D234" s="47">
        <v>43078</v>
      </c>
      <c r="E234" s="7" t="s">
        <v>1896</v>
      </c>
      <c r="F234" s="7" t="s">
        <v>1200</v>
      </c>
      <c r="G234" s="7" t="s">
        <v>1717</v>
      </c>
      <c r="H234" s="46" t="str">
        <f t="shared" si="0"/>
        <v>Avanti (P) C5  -  Albatros C5</v>
      </c>
      <c r="I234" s="40">
        <v>0.53125</v>
      </c>
      <c r="J234" s="7" t="s">
        <v>1893</v>
      </c>
      <c r="K234" s="7" t="s">
        <v>1615</v>
      </c>
      <c r="L234" s="7" t="s">
        <v>14</v>
      </c>
      <c r="M234" s="7" t="s">
        <v>14</v>
      </c>
    </row>
    <row r="235" spans="1:13" ht="16.2">
      <c r="A235" s="7">
        <v>17152</v>
      </c>
      <c r="B235" s="7" t="s">
        <v>1676</v>
      </c>
      <c r="C235" s="7" t="s">
        <v>284</v>
      </c>
      <c r="D235" s="47">
        <v>43148</v>
      </c>
      <c r="E235" s="7" t="s">
        <v>1897</v>
      </c>
      <c r="F235" s="7" t="s">
        <v>1200</v>
      </c>
      <c r="G235" s="7" t="s">
        <v>1420</v>
      </c>
      <c r="H235" s="46" t="str">
        <f t="shared" si="0"/>
        <v>Avanti (P) A5  -  Albatros A3</v>
      </c>
      <c r="I235" s="40">
        <v>0.80902777777777779</v>
      </c>
      <c r="J235" s="7" t="s">
        <v>1895</v>
      </c>
      <c r="K235" s="7" t="s">
        <v>1615</v>
      </c>
      <c r="L235" s="7" t="s">
        <v>14</v>
      </c>
      <c r="M235" s="7" t="s">
        <v>14</v>
      </c>
    </row>
    <row r="236" spans="1:13" ht="16.2">
      <c r="A236" s="7">
        <v>21562</v>
      </c>
      <c r="B236" s="7" t="s">
        <v>1769</v>
      </c>
      <c r="C236" s="7" t="s">
        <v>284</v>
      </c>
      <c r="D236" s="45">
        <v>43057</v>
      </c>
      <c r="E236" s="7" t="s">
        <v>1199</v>
      </c>
      <c r="F236" s="7" t="s">
        <v>1200</v>
      </c>
      <c r="G236" s="7" t="s">
        <v>1898</v>
      </c>
      <c r="H236" s="46" t="str">
        <f t="shared" si="0"/>
        <v>Albatros 9  -  Nieuwerkerk 8</v>
      </c>
      <c r="I236" s="40">
        <v>0.71527777777777779</v>
      </c>
      <c r="J236" s="7" t="s">
        <v>287</v>
      </c>
      <c r="K236" s="7" t="s">
        <v>1615</v>
      </c>
      <c r="L236" s="7" t="s">
        <v>566</v>
      </c>
      <c r="M236" s="7" t="s">
        <v>328</v>
      </c>
    </row>
    <row r="237" spans="1:13" ht="16.2">
      <c r="A237" s="7">
        <v>22242</v>
      </c>
      <c r="B237" s="7" t="s">
        <v>1769</v>
      </c>
      <c r="C237" s="7" t="s">
        <v>284</v>
      </c>
      <c r="D237" s="45">
        <v>43064</v>
      </c>
      <c r="E237" s="7" t="s">
        <v>1199</v>
      </c>
      <c r="F237" s="7" t="s">
        <v>1200</v>
      </c>
      <c r="G237" s="7" t="s">
        <v>1899</v>
      </c>
      <c r="H237" s="46" t="str">
        <f t="shared" si="0"/>
        <v>Albatros 9  -  ONDO (G) 5</v>
      </c>
      <c r="I237" s="40">
        <v>0.75694444444444442</v>
      </c>
      <c r="J237" s="7" t="s">
        <v>305</v>
      </c>
      <c r="K237" s="7" t="s">
        <v>1615</v>
      </c>
      <c r="L237" s="7" t="s">
        <v>566</v>
      </c>
      <c r="M237" s="7" t="s">
        <v>298</v>
      </c>
    </row>
    <row r="238" spans="1:13" ht="16.2">
      <c r="A238" s="7">
        <v>20969</v>
      </c>
      <c r="B238" s="7" t="s">
        <v>1769</v>
      </c>
      <c r="C238" s="7" t="s">
        <v>284</v>
      </c>
      <c r="D238" s="47">
        <v>43078</v>
      </c>
      <c r="E238" s="7" t="s">
        <v>1199</v>
      </c>
      <c r="F238" s="7" t="s">
        <v>1200</v>
      </c>
      <c r="G238" s="7" t="s">
        <v>1900</v>
      </c>
      <c r="H238" s="46" t="str">
        <f t="shared" si="0"/>
        <v>Albatros 9  -  KCC/SO natural 7</v>
      </c>
      <c r="I238" s="40">
        <v>0.86805555555555558</v>
      </c>
      <c r="J238" s="7" t="s">
        <v>287</v>
      </c>
      <c r="K238" s="7" t="s">
        <v>1615</v>
      </c>
      <c r="L238" s="7" t="s">
        <v>566</v>
      </c>
      <c r="M238" s="7" t="s">
        <v>328</v>
      </c>
    </row>
    <row r="239" spans="1:13" ht="16.2">
      <c r="A239" s="7">
        <v>22343</v>
      </c>
      <c r="B239" s="7" t="s">
        <v>1769</v>
      </c>
      <c r="C239" s="7" t="s">
        <v>284</v>
      </c>
      <c r="D239" s="47">
        <v>43106</v>
      </c>
      <c r="E239" s="7" t="s">
        <v>1199</v>
      </c>
      <c r="F239" s="7" t="s">
        <v>1200</v>
      </c>
      <c r="G239" s="7" t="s">
        <v>1901</v>
      </c>
      <c r="H239" s="46" t="str">
        <f t="shared" si="0"/>
        <v>Albatros 9  -  Avanti (P) 6</v>
      </c>
      <c r="I239" s="40">
        <v>0.86458333333333337</v>
      </c>
      <c r="J239" s="7" t="s">
        <v>287</v>
      </c>
      <c r="K239" s="7" t="s">
        <v>1615</v>
      </c>
      <c r="L239" s="7" t="s">
        <v>566</v>
      </c>
      <c r="M239" s="7" t="s">
        <v>584</v>
      </c>
    </row>
    <row r="240" spans="1:13" ht="16.2">
      <c r="A240" s="7">
        <v>21914</v>
      </c>
      <c r="B240" s="7" t="s">
        <v>1769</v>
      </c>
      <c r="C240" s="7" t="s">
        <v>284</v>
      </c>
      <c r="D240" s="47">
        <v>43113</v>
      </c>
      <c r="E240" s="7" t="s">
        <v>1199</v>
      </c>
      <c r="F240" s="7" t="s">
        <v>1200</v>
      </c>
      <c r="G240" s="7" t="s">
        <v>1426</v>
      </c>
      <c r="H240" s="46" t="str">
        <f t="shared" si="0"/>
        <v>Albatros 9  -  NIO 3</v>
      </c>
      <c r="I240" s="40">
        <v>0.72222222222222221</v>
      </c>
      <c r="J240" s="7" t="s">
        <v>287</v>
      </c>
      <c r="K240" s="7" t="s">
        <v>1615</v>
      </c>
      <c r="L240" s="7" t="s">
        <v>566</v>
      </c>
      <c r="M240" s="7" t="s">
        <v>425</v>
      </c>
    </row>
    <row r="241" spans="1:13" ht="16.2">
      <c r="A241" s="7">
        <v>20787</v>
      </c>
      <c r="B241" s="7" t="s">
        <v>1769</v>
      </c>
      <c r="C241" s="7" t="s">
        <v>284</v>
      </c>
      <c r="D241" s="47">
        <v>43162</v>
      </c>
      <c r="E241" s="7" t="s">
        <v>1199</v>
      </c>
      <c r="F241" s="7" t="s">
        <v>1200</v>
      </c>
      <c r="G241" s="7" t="s">
        <v>1902</v>
      </c>
      <c r="H241" s="46" t="str">
        <f t="shared" si="0"/>
        <v>Albatros 9  -  Erasmus 3</v>
      </c>
      <c r="I241" s="40">
        <v>0.63888888888888884</v>
      </c>
      <c r="J241" s="7" t="s">
        <v>287</v>
      </c>
      <c r="K241" s="7" t="s">
        <v>1615</v>
      </c>
      <c r="L241" s="7" t="s">
        <v>566</v>
      </c>
      <c r="M241" s="7" t="s">
        <v>14</v>
      </c>
    </row>
    <row r="242" spans="1:13" ht="16.2">
      <c r="A242" s="7">
        <v>21322</v>
      </c>
      <c r="B242" s="7" t="s">
        <v>1653</v>
      </c>
      <c r="C242" s="7" t="s">
        <v>284</v>
      </c>
      <c r="D242" s="47">
        <v>43078</v>
      </c>
      <c r="E242" s="7" t="s">
        <v>1357</v>
      </c>
      <c r="F242" s="7" t="s">
        <v>1200</v>
      </c>
      <c r="G242" s="7" t="s">
        <v>1903</v>
      </c>
      <c r="H242" s="46" t="str">
        <f t="shared" si="0"/>
        <v>Albatros 8  -  Nieuwerkerk 10</v>
      </c>
      <c r="I242" s="40">
        <v>0.81944444444444442</v>
      </c>
      <c r="J242" s="7" t="s">
        <v>287</v>
      </c>
      <c r="K242" s="7" t="s">
        <v>1615</v>
      </c>
      <c r="L242" s="7" t="s">
        <v>288</v>
      </c>
      <c r="M242" s="7" t="s">
        <v>566</v>
      </c>
    </row>
    <row r="243" spans="1:13" ht="16.2">
      <c r="A243" s="7">
        <v>38526</v>
      </c>
      <c r="B243" s="7" t="s">
        <v>1653</v>
      </c>
      <c r="C243" s="7" t="s">
        <v>284</v>
      </c>
      <c r="D243" s="47">
        <v>43120</v>
      </c>
      <c r="E243" s="7" t="s">
        <v>1357</v>
      </c>
      <c r="F243" s="7" t="s">
        <v>1200</v>
      </c>
      <c r="G243" s="7" t="s">
        <v>1904</v>
      </c>
      <c r="H243" s="46" t="str">
        <f t="shared" si="0"/>
        <v>Albatros 8  -  VEO 6</v>
      </c>
      <c r="I243" s="40">
        <v>0.86458333333333337</v>
      </c>
      <c r="J243" s="7" t="s">
        <v>287</v>
      </c>
      <c r="K243" s="7" t="s">
        <v>1615</v>
      </c>
      <c r="L243" s="7" t="s">
        <v>288</v>
      </c>
      <c r="M243" s="7" t="s">
        <v>566</v>
      </c>
    </row>
    <row r="244" spans="1:13" ht="16.2">
      <c r="A244" s="7">
        <v>21456</v>
      </c>
      <c r="B244" s="7" t="s">
        <v>1653</v>
      </c>
      <c r="C244" s="7" t="s">
        <v>284</v>
      </c>
      <c r="D244" s="47">
        <v>43134</v>
      </c>
      <c r="E244" s="7" t="s">
        <v>1357</v>
      </c>
      <c r="F244" s="7" t="s">
        <v>1200</v>
      </c>
      <c r="G244" s="7" t="s">
        <v>1905</v>
      </c>
      <c r="H244" s="46" t="str">
        <f t="shared" si="0"/>
        <v>Albatros 8  -  KCC/SO natural 10</v>
      </c>
      <c r="I244" s="40">
        <v>0.66666666666666663</v>
      </c>
      <c r="J244" s="7" t="s">
        <v>287</v>
      </c>
      <c r="K244" s="7" t="s">
        <v>1615</v>
      </c>
      <c r="L244" s="7" t="s">
        <v>288</v>
      </c>
      <c r="M244" s="7" t="s">
        <v>14</v>
      </c>
    </row>
    <row r="245" spans="1:13" ht="16.2">
      <c r="A245" s="7">
        <v>20446</v>
      </c>
      <c r="B245" s="7" t="s">
        <v>1653</v>
      </c>
      <c r="C245" s="7" t="s">
        <v>284</v>
      </c>
      <c r="D245" s="47">
        <v>43148</v>
      </c>
      <c r="E245" s="7" t="s">
        <v>1357</v>
      </c>
      <c r="F245" s="7" t="s">
        <v>1200</v>
      </c>
      <c r="G245" s="7" t="s">
        <v>1906</v>
      </c>
      <c r="H245" s="46" t="str">
        <f t="shared" si="0"/>
        <v>Albatros 8  -  VIOS (W) 3</v>
      </c>
      <c r="I245" s="40">
        <v>0.76041666666666663</v>
      </c>
      <c r="J245" s="7" t="s">
        <v>287</v>
      </c>
      <c r="K245" s="7" t="s">
        <v>1615</v>
      </c>
      <c r="L245" s="7" t="s">
        <v>288</v>
      </c>
      <c r="M245" s="7" t="s">
        <v>14</v>
      </c>
    </row>
    <row r="246" spans="1:13" ht="16.2">
      <c r="A246" s="7">
        <v>20629</v>
      </c>
      <c r="B246" s="7" t="s">
        <v>1653</v>
      </c>
      <c r="C246" s="7" t="s">
        <v>284</v>
      </c>
      <c r="D246" s="47">
        <v>43155</v>
      </c>
      <c r="E246" s="7" t="s">
        <v>1357</v>
      </c>
      <c r="F246" s="7" t="s">
        <v>1200</v>
      </c>
      <c r="G246" s="7" t="s">
        <v>1907</v>
      </c>
      <c r="H246" s="46" t="str">
        <f t="shared" si="0"/>
        <v>Albatros 8  -  ADO 4</v>
      </c>
      <c r="I246" s="40">
        <v>0.63194444444444442</v>
      </c>
      <c r="J246" s="7" t="s">
        <v>287</v>
      </c>
      <c r="K246" s="7" t="s">
        <v>1615</v>
      </c>
      <c r="L246" s="7" t="s">
        <v>288</v>
      </c>
      <c r="M246" s="7" t="s">
        <v>14</v>
      </c>
    </row>
    <row r="247" spans="1:13" ht="16.2">
      <c r="A247" s="7">
        <v>21275</v>
      </c>
      <c r="B247" s="7" t="s">
        <v>1653</v>
      </c>
      <c r="C247" s="7" t="s">
        <v>284</v>
      </c>
      <c r="D247" s="47">
        <v>43162</v>
      </c>
      <c r="E247" s="7" t="s">
        <v>1357</v>
      </c>
      <c r="F247" s="7" t="s">
        <v>1200</v>
      </c>
      <c r="G247" s="7" t="s">
        <v>1908</v>
      </c>
      <c r="H247" s="46" t="str">
        <f t="shared" si="0"/>
        <v>Albatros 8  -  Korbatjo 3</v>
      </c>
      <c r="I247" s="40">
        <v>0.6875</v>
      </c>
      <c r="J247" s="7" t="s">
        <v>287</v>
      </c>
      <c r="K247" s="7" t="s">
        <v>1615</v>
      </c>
      <c r="L247" s="7" t="s">
        <v>288</v>
      </c>
      <c r="M247" s="7" t="s">
        <v>14</v>
      </c>
    </row>
    <row r="248" spans="1:13" ht="16.2">
      <c r="A248" s="7">
        <v>21585</v>
      </c>
      <c r="B248" s="7" t="s">
        <v>1725</v>
      </c>
      <c r="C248" s="7" t="s">
        <v>284</v>
      </c>
      <c r="D248" s="45">
        <v>43057</v>
      </c>
      <c r="E248" s="7" t="s">
        <v>1204</v>
      </c>
      <c r="F248" s="7" t="s">
        <v>1200</v>
      </c>
      <c r="G248" s="7" t="s">
        <v>1909</v>
      </c>
      <c r="H248" s="46" t="str">
        <f t="shared" si="0"/>
        <v>Albatros 7  -  PKC/SWKGroep 11</v>
      </c>
      <c r="I248" s="40">
        <v>0.61805555555555558</v>
      </c>
      <c r="J248" s="7" t="s">
        <v>373</v>
      </c>
      <c r="K248" s="7" t="s">
        <v>1615</v>
      </c>
      <c r="L248" s="7" t="s">
        <v>328</v>
      </c>
      <c r="M248" s="7" t="s">
        <v>425</v>
      </c>
    </row>
    <row r="249" spans="1:13" ht="16.2">
      <c r="A249" s="7">
        <v>22270</v>
      </c>
      <c r="B249" s="7" t="s">
        <v>1725</v>
      </c>
      <c r="C249" s="7" t="s">
        <v>284</v>
      </c>
      <c r="D249" s="45">
        <v>43064</v>
      </c>
      <c r="E249" s="7" t="s">
        <v>1204</v>
      </c>
      <c r="F249" s="7" t="s">
        <v>1200</v>
      </c>
      <c r="G249" s="7" t="s">
        <v>1910</v>
      </c>
      <c r="H249" s="46" t="str">
        <f t="shared" si="0"/>
        <v>Albatros 7  -  Oranje Wit (D) 6</v>
      </c>
      <c r="I249" s="40">
        <v>0.80555555555555558</v>
      </c>
      <c r="J249" s="7" t="s">
        <v>305</v>
      </c>
      <c r="K249" s="7" t="s">
        <v>1615</v>
      </c>
      <c r="L249" s="7" t="s">
        <v>328</v>
      </c>
      <c r="M249" s="7" t="s">
        <v>566</v>
      </c>
    </row>
    <row r="250" spans="1:13" ht="16.2">
      <c r="A250" s="7">
        <v>21940</v>
      </c>
      <c r="B250" s="7" t="s">
        <v>1725</v>
      </c>
      <c r="C250" s="7" t="s">
        <v>284</v>
      </c>
      <c r="D250" s="47">
        <v>43113</v>
      </c>
      <c r="E250" s="7" t="s">
        <v>1204</v>
      </c>
      <c r="F250" s="7" t="s">
        <v>1200</v>
      </c>
      <c r="G250" s="7" t="s">
        <v>1911</v>
      </c>
      <c r="H250" s="46" t="str">
        <f t="shared" si="0"/>
        <v>Albatros 7  -  ACKC 3</v>
      </c>
      <c r="I250" s="40">
        <v>0.67361111111111116</v>
      </c>
      <c r="J250" s="7" t="s">
        <v>287</v>
      </c>
      <c r="K250" s="7" t="s">
        <v>1615</v>
      </c>
      <c r="L250" s="7" t="s">
        <v>328</v>
      </c>
      <c r="M250" s="7" t="s">
        <v>301</v>
      </c>
    </row>
    <row r="251" spans="1:13" ht="16.2">
      <c r="A251" s="7">
        <v>22126</v>
      </c>
      <c r="B251" s="7" t="s">
        <v>1725</v>
      </c>
      <c r="C251" s="7" t="s">
        <v>284</v>
      </c>
      <c r="D251" s="47">
        <v>43148</v>
      </c>
      <c r="E251" s="7" t="s">
        <v>1204</v>
      </c>
      <c r="F251" s="7" t="s">
        <v>1200</v>
      </c>
      <c r="G251" s="7" t="s">
        <v>1912</v>
      </c>
      <c r="H251" s="46" t="str">
        <f t="shared" si="0"/>
        <v>Albatros 7  -  Merwede/Multiplaat 6</v>
      </c>
      <c r="I251" s="40">
        <v>0.86458333333333337</v>
      </c>
      <c r="J251" s="7" t="s">
        <v>287</v>
      </c>
      <c r="K251" s="7" t="s">
        <v>1615</v>
      </c>
      <c r="L251" s="7" t="s">
        <v>328</v>
      </c>
      <c r="M251" s="7" t="s">
        <v>14</v>
      </c>
    </row>
    <row r="252" spans="1:13" ht="16.2">
      <c r="A252" s="7">
        <v>20810</v>
      </c>
      <c r="B252" s="7" t="s">
        <v>1725</v>
      </c>
      <c r="C252" s="7" t="s">
        <v>284</v>
      </c>
      <c r="D252" s="47">
        <v>43155</v>
      </c>
      <c r="E252" s="7" t="s">
        <v>1204</v>
      </c>
      <c r="F252" s="7" t="s">
        <v>1200</v>
      </c>
      <c r="G252" s="7" t="s">
        <v>1913</v>
      </c>
      <c r="H252" s="46" t="str">
        <f t="shared" si="0"/>
        <v>Albatros 7  -  Kinderdijk 5</v>
      </c>
      <c r="I252" s="40">
        <v>0.68055555555555558</v>
      </c>
      <c r="J252" s="7" t="s">
        <v>287</v>
      </c>
      <c r="K252" s="7" t="s">
        <v>1615</v>
      </c>
      <c r="L252" s="7" t="s">
        <v>328</v>
      </c>
      <c r="M252" s="7" t="s">
        <v>14</v>
      </c>
    </row>
    <row r="253" spans="1:13" ht="16.2">
      <c r="A253" s="7">
        <v>20992</v>
      </c>
      <c r="B253" s="7" t="s">
        <v>1725</v>
      </c>
      <c r="C253" s="7" t="s">
        <v>284</v>
      </c>
      <c r="D253" s="47">
        <v>43162</v>
      </c>
      <c r="E253" s="7" t="s">
        <v>1204</v>
      </c>
      <c r="F253" s="7" t="s">
        <v>1200</v>
      </c>
      <c r="G253" s="7" t="s">
        <v>1914</v>
      </c>
      <c r="H253" s="46" t="str">
        <f t="shared" si="0"/>
        <v>Albatros 7  -  KOAG 5</v>
      </c>
      <c r="I253" s="40">
        <v>0.59027777777777779</v>
      </c>
      <c r="J253" s="7" t="s">
        <v>287</v>
      </c>
      <c r="K253" s="7" t="s">
        <v>1615</v>
      </c>
      <c r="L253" s="7" t="s">
        <v>328</v>
      </c>
      <c r="M253" s="7" t="s">
        <v>14</v>
      </c>
    </row>
    <row r="254" spans="1:13" ht="16.2">
      <c r="A254" s="7">
        <v>20623</v>
      </c>
      <c r="B254" s="7" t="s">
        <v>1679</v>
      </c>
      <c r="C254" s="7" t="s">
        <v>284</v>
      </c>
      <c r="D254" s="45">
        <v>43064</v>
      </c>
      <c r="E254" s="7" t="s">
        <v>1207</v>
      </c>
      <c r="F254" s="7" t="s">
        <v>1200</v>
      </c>
      <c r="G254" s="7" t="s">
        <v>1915</v>
      </c>
      <c r="H254" s="46" t="str">
        <f t="shared" si="0"/>
        <v>Albatros 6  -  SKV 2</v>
      </c>
      <c r="I254" s="40">
        <v>0.84722222222222221</v>
      </c>
      <c r="J254" s="7" t="s">
        <v>287</v>
      </c>
      <c r="K254" s="7" t="s">
        <v>1615</v>
      </c>
      <c r="L254" s="7" t="s">
        <v>298</v>
      </c>
      <c r="M254" s="7" t="s">
        <v>567</v>
      </c>
    </row>
    <row r="255" spans="1:13" ht="16.2">
      <c r="A255" s="7">
        <v>21316</v>
      </c>
      <c r="B255" s="7" t="s">
        <v>1679</v>
      </c>
      <c r="C255" s="7" t="s">
        <v>284</v>
      </c>
      <c r="D255" s="45">
        <v>43092</v>
      </c>
      <c r="E255" s="7" t="s">
        <v>1207</v>
      </c>
      <c r="F255" s="7" t="s">
        <v>1200</v>
      </c>
      <c r="G255" s="7" t="s">
        <v>1916</v>
      </c>
      <c r="H255" s="46" t="str">
        <f t="shared" si="0"/>
        <v>Albatros 6  -  Oranje Wit (D) 7</v>
      </c>
      <c r="I255" s="40">
        <v>0.84722222222222221</v>
      </c>
      <c r="J255" s="7" t="s">
        <v>287</v>
      </c>
      <c r="K255" s="7" t="s">
        <v>1615</v>
      </c>
      <c r="L255" s="7" t="s">
        <v>298</v>
      </c>
      <c r="M255" s="7" t="s">
        <v>584</v>
      </c>
    </row>
    <row r="256" spans="1:13" ht="16.2">
      <c r="A256" s="7">
        <v>21031</v>
      </c>
      <c r="B256" s="7" t="s">
        <v>1679</v>
      </c>
      <c r="C256" s="7" t="s">
        <v>284</v>
      </c>
      <c r="D256" s="47">
        <v>43106</v>
      </c>
      <c r="E256" s="7" t="s">
        <v>1207</v>
      </c>
      <c r="F256" s="7" t="s">
        <v>1200</v>
      </c>
      <c r="G256" s="7" t="s">
        <v>1917</v>
      </c>
      <c r="H256" s="46" t="str">
        <f t="shared" si="0"/>
        <v>Albatros 6  -  Merwede/Multiplaat 7</v>
      </c>
      <c r="I256" s="40">
        <v>0.81597222222222221</v>
      </c>
      <c r="J256" s="7" t="s">
        <v>287</v>
      </c>
      <c r="K256" s="7" t="s">
        <v>1615</v>
      </c>
      <c r="L256" s="7" t="s">
        <v>298</v>
      </c>
      <c r="M256" s="7" t="s">
        <v>328</v>
      </c>
    </row>
    <row r="257" spans="1:13" ht="16.2">
      <c r="A257" s="7">
        <v>20766</v>
      </c>
      <c r="B257" s="7" t="s">
        <v>1679</v>
      </c>
      <c r="C257" s="7" t="s">
        <v>284</v>
      </c>
      <c r="D257" s="47">
        <v>43113</v>
      </c>
      <c r="E257" s="7" t="s">
        <v>1207</v>
      </c>
      <c r="F257" s="7" t="s">
        <v>1200</v>
      </c>
      <c r="G257" s="7" t="s">
        <v>1918</v>
      </c>
      <c r="H257" s="46" t="str">
        <f t="shared" ref="H257:H483" si="1">CONCATENATE(E257,F257,G257)</f>
        <v>Albatros 6  -  Triade 4</v>
      </c>
      <c r="I257" s="40">
        <v>0.77083333333333337</v>
      </c>
      <c r="J257" s="7" t="s">
        <v>287</v>
      </c>
      <c r="K257" s="7" t="s">
        <v>1615</v>
      </c>
      <c r="L257" s="7" t="s">
        <v>298</v>
      </c>
      <c r="M257" s="7" t="s">
        <v>606</v>
      </c>
    </row>
    <row r="258" spans="1:13" ht="16.2">
      <c r="A258" s="7">
        <v>21449</v>
      </c>
      <c r="B258" s="7" t="s">
        <v>1679</v>
      </c>
      <c r="C258" s="7" t="s">
        <v>284</v>
      </c>
      <c r="D258" s="47">
        <v>43134</v>
      </c>
      <c r="E258" s="7" t="s">
        <v>1207</v>
      </c>
      <c r="F258" s="7" t="s">
        <v>1200</v>
      </c>
      <c r="G258" s="7" t="s">
        <v>1919</v>
      </c>
      <c r="H258" s="46" t="str">
        <f t="shared" si="1"/>
        <v>Albatros 6  -  Oranje Zwart/De Hoekse 2</v>
      </c>
      <c r="I258" s="40">
        <v>0.71527777777777779</v>
      </c>
      <c r="J258" s="7" t="s">
        <v>287</v>
      </c>
      <c r="K258" s="7" t="s">
        <v>1615</v>
      </c>
      <c r="L258" s="7" t="s">
        <v>298</v>
      </c>
      <c r="M258" s="7" t="s">
        <v>14</v>
      </c>
    </row>
    <row r="259" spans="1:13" ht="16.2">
      <c r="A259" s="7">
        <v>20439</v>
      </c>
      <c r="B259" s="7" t="s">
        <v>1679</v>
      </c>
      <c r="C259" s="7" t="s">
        <v>284</v>
      </c>
      <c r="D259" s="47">
        <v>43148</v>
      </c>
      <c r="E259" s="7" t="s">
        <v>1207</v>
      </c>
      <c r="F259" s="7" t="s">
        <v>1200</v>
      </c>
      <c r="G259" s="7" t="s">
        <v>1920</v>
      </c>
      <c r="H259" s="46" t="str">
        <f t="shared" si="1"/>
        <v>Albatros 6  -  DeetosSnel 6</v>
      </c>
      <c r="I259" s="40">
        <v>0.8125</v>
      </c>
      <c r="J259" s="7" t="s">
        <v>287</v>
      </c>
      <c r="K259" s="7" t="s">
        <v>1615</v>
      </c>
      <c r="L259" s="7" t="s">
        <v>298</v>
      </c>
      <c r="M259" s="7" t="s">
        <v>14</v>
      </c>
    </row>
    <row r="260" spans="1:13" ht="16.2">
      <c r="A260" s="7">
        <v>21667</v>
      </c>
      <c r="B260" s="7" t="s">
        <v>1661</v>
      </c>
      <c r="C260" s="7" t="s">
        <v>284</v>
      </c>
      <c r="D260" s="45">
        <v>43050</v>
      </c>
      <c r="E260" s="7" t="s">
        <v>1359</v>
      </c>
      <c r="F260" s="7" t="s">
        <v>1200</v>
      </c>
      <c r="G260" s="7" t="s">
        <v>1921</v>
      </c>
      <c r="H260" s="46" t="str">
        <f t="shared" si="1"/>
        <v>Albatros 5  -  Merwede/Multiplaat 5</v>
      </c>
      <c r="I260" s="40">
        <v>0.86458333333333337</v>
      </c>
      <c r="J260" s="7" t="s">
        <v>287</v>
      </c>
      <c r="K260" s="7" t="s">
        <v>1615</v>
      </c>
      <c r="L260" s="7" t="s">
        <v>338</v>
      </c>
      <c r="M260" s="7" t="s">
        <v>606</v>
      </c>
    </row>
    <row r="261" spans="1:13" ht="16.2">
      <c r="A261" s="7">
        <v>20250</v>
      </c>
      <c r="B261" s="7" t="s">
        <v>1661</v>
      </c>
      <c r="C261" s="7" t="s">
        <v>284</v>
      </c>
      <c r="D261" s="45">
        <v>43092</v>
      </c>
      <c r="E261" s="7" t="s">
        <v>1359</v>
      </c>
      <c r="F261" s="7" t="s">
        <v>1200</v>
      </c>
      <c r="G261" s="7" t="s">
        <v>1922</v>
      </c>
      <c r="H261" s="46" t="str">
        <f t="shared" si="1"/>
        <v>Albatros 5  -  RWA 6</v>
      </c>
      <c r="I261" s="40">
        <v>0.79861111111111116</v>
      </c>
      <c r="J261" s="7" t="s">
        <v>287</v>
      </c>
      <c r="K261" s="7" t="s">
        <v>1615</v>
      </c>
      <c r="L261" s="7" t="s">
        <v>338</v>
      </c>
      <c r="M261" s="7" t="s">
        <v>567</v>
      </c>
    </row>
    <row r="262" spans="1:13" ht="16.2">
      <c r="A262" s="7">
        <v>21129</v>
      </c>
      <c r="B262" s="7" t="s">
        <v>1661</v>
      </c>
      <c r="C262" s="7" t="s">
        <v>284</v>
      </c>
      <c r="D262" s="47">
        <v>43127</v>
      </c>
      <c r="E262" s="7" t="s">
        <v>1359</v>
      </c>
      <c r="F262" s="7" t="s">
        <v>1200</v>
      </c>
      <c r="G262" s="7" t="s">
        <v>1923</v>
      </c>
      <c r="H262" s="46" t="str">
        <f t="shared" si="1"/>
        <v>Albatros 5  -  PKC/SWKGroep 10</v>
      </c>
      <c r="I262" s="40">
        <v>0.86458333333333337</v>
      </c>
      <c r="J262" s="7" t="s">
        <v>287</v>
      </c>
      <c r="K262" s="7" t="s">
        <v>1615</v>
      </c>
      <c r="L262" s="7" t="s">
        <v>338</v>
      </c>
      <c r="M262" s="7" t="s">
        <v>425</v>
      </c>
    </row>
    <row r="263" spans="1:13" ht="16.2">
      <c r="A263" s="7">
        <v>22684</v>
      </c>
      <c r="B263" s="7" t="s">
        <v>1661</v>
      </c>
      <c r="C263" s="7" t="s">
        <v>284</v>
      </c>
      <c r="D263" s="47">
        <v>43141</v>
      </c>
      <c r="E263" s="7" t="s">
        <v>1359</v>
      </c>
      <c r="F263" s="7" t="s">
        <v>1200</v>
      </c>
      <c r="G263" s="7" t="s">
        <v>1924</v>
      </c>
      <c r="H263" s="46" t="str">
        <f t="shared" si="1"/>
        <v>Albatros 5  -  Triade 3</v>
      </c>
      <c r="I263" s="40">
        <v>0.86458333333333337</v>
      </c>
      <c r="J263" s="7" t="s">
        <v>287</v>
      </c>
      <c r="K263" s="7" t="s">
        <v>1615</v>
      </c>
      <c r="L263" s="7" t="s">
        <v>338</v>
      </c>
      <c r="M263" s="7" t="s">
        <v>14</v>
      </c>
    </row>
    <row r="264" spans="1:13" ht="16.2">
      <c r="A264" s="7">
        <v>21979</v>
      </c>
      <c r="B264" s="7" t="s">
        <v>1661</v>
      </c>
      <c r="C264" s="7" t="s">
        <v>284</v>
      </c>
      <c r="D264" s="47">
        <v>43162</v>
      </c>
      <c r="E264" s="7" t="s">
        <v>1359</v>
      </c>
      <c r="F264" s="7" t="s">
        <v>1200</v>
      </c>
      <c r="G264" s="7" t="s">
        <v>1925</v>
      </c>
      <c r="H264" s="46" t="str">
        <f t="shared" si="1"/>
        <v>Albatros 5  -  Ventura Sport 3</v>
      </c>
      <c r="I264" s="40">
        <v>0.54166666666666663</v>
      </c>
      <c r="J264" s="7" t="s">
        <v>287</v>
      </c>
      <c r="K264" s="7" t="s">
        <v>1615</v>
      </c>
      <c r="L264" s="7" t="s">
        <v>338</v>
      </c>
      <c r="M264" s="7" t="s">
        <v>14</v>
      </c>
    </row>
    <row r="265" spans="1:13" ht="16.2">
      <c r="A265" s="7">
        <v>21491</v>
      </c>
      <c r="B265" s="7" t="s">
        <v>1661</v>
      </c>
      <c r="C265" s="7" t="s">
        <v>284</v>
      </c>
      <c r="D265" s="47">
        <v>43169</v>
      </c>
      <c r="E265" s="7" t="s">
        <v>1359</v>
      </c>
      <c r="F265" s="7" t="s">
        <v>1200</v>
      </c>
      <c r="G265" s="7" t="s">
        <v>1926</v>
      </c>
      <c r="H265" s="46" t="str">
        <f t="shared" si="1"/>
        <v>Albatros 5  -  Kinderdijk 6</v>
      </c>
      <c r="I265" s="40">
        <v>0.65625</v>
      </c>
      <c r="J265" s="7" t="s">
        <v>305</v>
      </c>
      <c r="K265" s="7" t="s">
        <v>1615</v>
      </c>
      <c r="L265" s="7" t="s">
        <v>338</v>
      </c>
      <c r="M265" s="7" t="s">
        <v>14</v>
      </c>
    </row>
    <row r="266" spans="1:13" ht="16.2">
      <c r="A266" s="7">
        <v>16340</v>
      </c>
      <c r="B266" s="7" t="s">
        <v>1619</v>
      </c>
      <c r="C266" s="7" t="s">
        <v>284</v>
      </c>
      <c r="D266" s="45">
        <v>43057</v>
      </c>
      <c r="E266" s="7" t="s">
        <v>1330</v>
      </c>
      <c r="F266" s="7" t="s">
        <v>1200</v>
      </c>
      <c r="G266" s="7" t="s">
        <v>1331</v>
      </c>
      <c r="H266" s="46" t="str">
        <f t="shared" si="1"/>
        <v>Albatros 4  -  Fortis 3</v>
      </c>
      <c r="I266" s="40">
        <v>0.86458333333333337</v>
      </c>
      <c r="J266" s="7" t="s">
        <v>287</v>
      </c>
      <c r="K266" s="7" t="s">
        <v>1615</v>
      </c>
      <c r="L266" s="7" t="s">
        <v>328</v>
      </c>
      <c r="M266" s="7" t="s">
        <v>289</v>
      </c>
    </row>
    <row r="267" spans="1:13" ht="16.2">
      <c r="A267" s="7">
        <v>16676</v>
      </c>
      <c r="B267" s="7" t="s">
        <v>1619</v>
      </c>
      <c r="C267" s="7" t="s">
        <v>284</v>
      </c>
      <c r="D267" s="45">
        <v>43064</v>
      </c>
      <c r="E267" s="7" t="s">
        <v>1330</v>
      </c>
      <c r="F267" s="7" t="s">
        <v>1200</v>
      </c>
      <c r="G267" s="7" t="s">
        <v>1927</v>
      </c>
      <c r="H267" s="46" t="str">
        <f t="shared" si="1"/>
        <v>Albatros 4  -  RWA 4</v>
      </c>
      <c r="I267" s="40">
        <v>0.75</v>
      </c>
      <c r="J267" s="7" t="s">
        <v>287</v>
      </c>
      <c r="K267" s="7" t="s">
        <v>1615</v>
      </c>
      <c r="L267" s="7" t="s">
        <v>298</v>
      </c>
      <c r="M267" s="7" t="s">
        <v>289</v>
      </c>
    </row>
    <row r="268" spans="1:13" ht="16.2">
      <c r="A268" s="7">
        <v>16044</v>
      </c>
      <c r="B268" s="7" t="s">
        <v>1619</v>
      </c>
      <c r="C268" s="7" t="s">
        <v>284</v>
      </c>
      <c r="D268" s="47">
        <v>43078</v>
      </c>
      <c r="E268" s="7" t="s">
        <v>1330</v>
      </c>
      <c r="F268" s="7" t="s">
        <v>1200</v>
      </c>
      <c r="G268" s="7" t="s">
        <v>1928</v>
      </c>
      <c r="H268" s="46" t="str">
        <f t="shared" si="1"/>
        <v>Albatros 4  -  PKC/SWKGroep 6</v>
      </c>
      <c r="I268" s="40">
        <v>0.77083333333333337</v>
      </c>
      <c r="J268" s="7" t="s">
        <v>305</v>
      </c>
      <c r="K268" s="7" t="s">
        <v>1615</v>
      </c>
      <c r="L268" s="7" t="s">
        <v>328</v>
      </c>
      <c r="M268" s="7" t="s">
        <v>289</v>
      </c>
    </row>
    <row r="269" spans="1:13" ht="16.2">
      <c r="A269" s="7">
        <v>16723</v>
      </c>
      <c r="B269" s="7" t="s">
        <v>1619</v>
      </c>
      <c r="C269" s="7" t="s">
        <v>284</v>
      </c>
      <c r="D269" s="47">
        <v>43106</v>
      </c>
      <c r="E269" s="7" t="s">
        <v>1330</v>
      </c>
      <c r="F269" s="7" t="s">
        <v>1200</v>
      </c>
      <c r="G269" s="7" t="s">
        <v>1929</v>
      </c>
      <c r="H269" s="46" t="str">
        <f t="shared" si="1"/>
        <v>Albatros 4  -  Vriendenschaar (H) 3</v>
      </c>
      <c r="I269" s="40">
        <v>0.71527777777777779</v>
      </c>
      <c r="J269" s="7" t="s">
        <v>287</v>
      </c>
      <c r="K269" s="7" t="s">
        <v>1615</v>
      </c>
      <c r="L269" s="7" t="s">
        <v>298</v>
      </c>
      <c r="M269" s="7" t="s">
        <v>289</v>
      </c>
    </row>
    <row r="270" spans="1:13" ht="16.2">
      <c r="A270" s="7">
        <v>16522</v>
      </c>
      <c r="B270" s="7" t="s">
        <v>1619</v>
      </c>
      <c r="C270" s="7" t="s">
        <v>284</v>
      </c>
      <c r="D270" s="47">
        <v>43113</v>
      </c>
      <c r="E270" s="7" t="s">
        <v>1330</v>
      </c>
      <c r="F270" s="7" t="s">
        <v>1200</v>
      </c>
      <c r="G270" s="7" t="s">
        <v>1930</v>
      </c>
      <c r="H270" s="46" t="str">
        <f t="shared" si="1"/>
        <v>Albatros 4  -  Twist 4</v>
      </c>
      <c r="I270" s="40">
        <v>0.86805555555555558</v>
      </c>
      <c r="J270" s="7" t="s">
        <v>287</v>
      </c>
      <c r="K270" s="7" t="s">
        <v>1615</v>
      </c>
      <c r="L270" s="7" t="s">
        <v>328</v>
      </c>
      <c r="M270" s="7" t="s">
        <v>289</v>
      </c>
    </row>
    <row r="271" spans="1:13" ht="16.2">
      <c r="A271" s="7">
        <v>15953</v>
      </c>
      <c r="B271" s="7" t="s">
        <v>1619</v>
      </c>
      <c r="C271" s="7" t="s">
        <v>284</v>
      </c>
      <c r="D271" s="47">
        <v>43134</v>
      </c>
      <c r="E271" s="7" t="s">
        <v>1330</v>
      </c>
      <c r="F271" s="7" t="s">
        <v>1200</v>
      </c>
      <c r="G271" s="7" t="s">
        <v>1440</v>
      </c>
      <c r="H271" s="46" t="str">
        <f t="shared" si="1"/>
        <v>Albatros 4  -  DSO (K) 3</v>
      </c>
      <c r="I271" s="40">
        <v>0.76388888888888884</v>
      </c>
      <c r="J271" s="7" t="s">
        <v>287</v>
      </c>
      <c r="K271" s="7" t="s">
        <v>1615</v>
      </c>
      <c r="L271" s="7" t="s">
        <v>567</v>
      </c>
      <c r="M271" s="7" t="s">
        <v>289</v>
      </c>
    </row>
    <row r="272" spans="1:13" ht="16.2">
      <c r="A272" s="7">
        <v>16610</v>
      </c>
      <c r="B272" s="7" t="s">
        <v>1619</v>
      </c>
      <c r="C272" s="7" t="s">
        <v>284</v>
      </c>
      <c r="D272" s="47">
        <v>43148</v>
      </c>
      <c r="E272" s="7" t="s">
        <v>1330</v>
      </c>
      <c r="F272" s="7" t="s">
        <v>1200</v>
      </c>
      <c r="G272" s="7" t="s">
        <v>1931</v>
      </c>
      <c r="H272" s="46" t="str">
        <f t="shared" si="1"/>
        <v>Albatros 4  -  Vitesse (Ba) 3</v>
      </c>
      <c r="I272" s="40">
        <v>0.65972222222222221</v>
      </c>
      <c r="J272" s="7" t="s">
        <v>287</v>
      </c>
      <c r="K272" s="7" t="s">
        <v>1615</v>
      </c>
      <c r="L272" s="7" t="s">
        <v>298</v>
      </c>
      <c r="M272" s="7" t="s">
        <v>289</v>
      </c>
    </row>
    <row r="273" spans="1:13" ht="16.2">
      <c r="A273" s="7">
        <v>15267</v>
      </c>
      <c r="B273" s="7" t="s">
        <v>1719</v>
      </c>
      <c r="C273" s="7" t="s">
        <v>284</v>
      </c>
      <c r="D273" s="45">
        <v>43057</v>
      </c>
      <c r="E273" s="7" t="s">
        <v>1332</v>
      </c>
      <c r="F273" s="7" t="s">
        <v>1200</v>
      </c>
      <c r="G273" s="7" t="s">
        <v>1932</v>
      </c>
      <c r="H273" s="46" t="str">
        <f t="shared" si="1"/>
        <v>Albatros 3  -  Rust Roest 3</v>
      </c>
      <c r="I273" s="40">
        <v>0.8125</v>
      </c>
      <c r="J273" s="7" t="s">
        <v>287</v>
      </c>
      <c r="K273" s="7" t="s">
        <v>1615</v>
      </c>
      <c r="L273" s="7" t="s">
        <v>566</v>
      </c>
      <c r="M273" s="7" t="s">
        <v>289</v>
      </c>
    </row>
    <row r="274" spans="1:13" ht="16.2">
      <c r="A274" s="7">
        <v>15497</v>
      </c>
      <c r="B274" s="7" t="s">
        <v>1719</v>
      </c>
      <c r="C274" s="7" t="s">
        <v>284</v>
      </c>
      <c r="D274" s="45">
        <v>43064</v>
      </c>
      <c r="E274" s="7" t="s">
        <v>1332</v>
      </c>
      <c r="F274" s="7" t="s">
        <v>1200</v>
      </c>
      <c r="G274" s="7" t="s">
        <v>1933</v>
      </c>
      <c r="H274" s="46" t="str">
        <f t="shared" si="1"/>
        <v>Albatros 3  -  KCR 3</v>
      </c>
      <c r="I274" s="40">
        <v>0.79861111111111116</v>
      </c>
      <c r="J274" s="7" t="s">
        <v>287</v>
      </c>
      <c r="K274" s="7" t="s">
        <v>1615</v>
      </c>
      <c r="L274" s="7" t="s">
        <v>298</v>
      </c>
      <c r="M274" s="7" t="s">
        <v>289</v>
      </c>
    </row>
    <row r="275" spans="1:13" ht="16.2">
      <c r="A275" s="7">
        <v>15065</v>
      </c>
      <c r="B275" s="7" t="s">
        <v>1719</v>
      </c>
      <c r="C275" s="7" t="s">
        <v>284</v>
      </c>
      <c r="D275" s="47">
        <v>43078</v>
      </c>
      <c r="E275" s="7" t="s">
        <v>1332</v>
      </c>
      <c r="F275" s="7" t="s">
        <v>1200</v>
      </c>
      <c r="G275" s="7" t="s">
        <v>1934</v>
      </c>
      <c r="H275" s="46" t="str">
        <f t="shared" si="1"/>
        <v>Albatros 3  -  GKV/Enomics 3</v>
      </c>
      <c r="I275" s="40">
        <v>0.82291666666666663</v>
      </c>
      <c r="J275" s="7" t="s">
        <v>305</v>
      </c>
      <c r="K275" s="7" t="s">
        <v>1615</v>
      </c>
      <c r="L275" s="7" t="s">
        <v>328</v>
      </c>
      <c r="M275" s="7" t="s">
        <v>289</v>
      </c>
    </row>
    <row r="276" spans="1:13" ht="16.2">
      <c r="A276" s="7">
        <v>15525</v>
      </c>
      <c r="B276" s="7" t="s">
        <v>1719</v>
      </c>
      <c r="C276" s="7" t="s">
        <v>284</v>
      </c>
      <c r="D276" s="47">
        <v>43106</v>
      </c>
      <c r="E276" s="7" t="s">
        <v>1332</v>
      </c>
      <c r="F276" s="7" t="s">
        <v>1200</v>
      </c>
      <c r="G276" s="7" t="s">
        <v>1935</v>
      </c>
      <c r="H276" s="46" t="str">
        <f t="shared" si="1"/>
        <v>Albatros 3  -  PKC/SWKGroep 5</v>
      </c>
      <c r="I276" s="40">
        <v>0.76736111111111116</v>
      </c>
      <c r="J276" s="7" t="s">
        <v>287</v>
      </c>
      <c r="K276" s="7" t="s">
        <v>1615</v>
      </c>
      <c r="L276" s="7" t="s">
        <v>298</v>
      </c>
      <c r="M276" s="7" t="s">
        <v>289</v>
      </c>
    </row>
    <row r="277" spans="1:13" ht="16.2">
      <c r="A277" s="7">
        <v>15393</v>
      </c>
      <c r="B277" s="7" t="s">
        <v>1719</v>
      </c>
      <c r="C277" s="7" t="s">
        <v>284</v>
      </c>
      <c r="D277" s="47">
        <v>43113</v>
      </c>
      <c r="E277" s="7" t="s">
        <v>1332</v>
      </c>
      <c r="F277" s="7" t="s">
        <v>1200</v>
      </c>
      <c r="G277" s="7" t="s">
        <v>1936</v>
      </c>
      <c r="H277" s="46" t="str">
        <f t="shared" si="1"/>
        <v>Albatros 3  -  Merwede/Multiplaat 4</v>
      </c>
      <c r="I277" s="40">
        <v>0.81944444444444442</v>
      </c>
      <c r="J277" s="7" t="s">
        <v>287</v>
      </c>
      <c r="K277" s="7" t="s">
        <v>1615</v>
      </c>
      <c r="L277" s="7" t="s">
        <v>328</v>
      </c>
      <c r="M277" s="7" t="s">
        <v>289</v>
      </c>
    </row>
    <row r="278" spans="1:13" ht="16.2">
      <c r="A278" s="7">
        <v>15005</v>
      </c>
      <c r="B278" s="7" t="s">
        <v>1719</v>
      </c>
      <c r="C278" s="7" t="s">
        <v>284</v>
      </c>
      <c r="D278" s="47">
        <v>43134</v>
      </c>
      <c r="E278" s="7" t="s">
        <v>1332</v>
      </c>
      <c r="F278" s="7" t="s">
        <v>1200</v>
      </c>
      <c r="G278" s="7" t="s">
        <v>1937</v>
      </c>
      <c r="H278" s="46" t="str">
        <f t="shared" si="1"/>
        <v>Albatros 3  -  HKC (Ha) 3</v>
      </c>
      <c r="I278" s="40">
        <v>0.8125</v>
      </c>
      <c r="J278" s="7" t="s">
        <v>287</v>
      </c>
      <c r="K278" s="7" t="s">
        <v>1615</v>
      </c>
      <c r="L278" s="7" t="s">
        <v>567</v>
      </c>
      <c r="M278" s="7" t="s">
        <v>289</v>
      </c>
    </row>
    <row r="279" spans="1:13" ht="16.2">
      <c r="A279" s="7">
        <v>22039</v>
      </c>
      <c r="B279" s="7" t="s">
        <v>1719</v>
      </c>
      <c r="C279" s="7" t="s">
        <v>284</v>
      </c>
      <c r="D279" s="47">
        <v>43148</v>
      </c>
      <c r="E279" s="7" t="s">
        <v>1332</v>
      </c>
      <c r="F279" s="7" t="s">
        <v>1200</v>
      </c>
      <c r="G279" s="7" t="s">
        <v>1938</v>
      </c>
      <c r="H279" s="46" t="str">
        <f t="shared" si="1"/>
        <v>Albatros 3  -  Oranje Wit (D) 4</v>
      </c>
      <c r="I279" s="40">
        <v>0.71180555555555558</v>
      </c>
      <c r="J279" s="7" t="s">
        <v>287</v>
      </c>
      <c r="K279" s="7" t="s">
        <v>1615</v>
      </c>
      <c r="L279" s="7" t="s">
        <v>298</v>
      </c>
      <c r="M279" s="7" t="s">
        <v>289</v>
      </c>
    </row>
    <row r="280" spans="1:13" ht="16.2">
      <c r="A280" s="7">
        <v>14611</v>
      </c>
      <c r="B280" s="7" t="s">
        <v>1621</v>
      </c>
      <c r="C280" s="7" t="s">
        <v>284</v>
      </c>
      <c r="D280" s="45">
        <v>43050</v>
      </c>
      <c r="E280" s="7" t="s">
        <v>1245</v>
      </c>
      <c r="F280" s="7" t="s">
        <v>1200</v>
      </c>
      <c r="G280" s="7" t="s">
        <v>1939</v>
      </c>
      <c r="H280" s="46" t="str">
        <f t="shared" si="1"/>
        <v>Albatros 2  -  VEO 2</v>
      </c>
      <c r="I280" s="40">
        <v>0.69444444444444442</v>
      </c>
      <c r="J280" s="7" t="s">
        <v>287</v>
      </c>
      <c r="K280" s="7" t="s">
        <v>1615</v>
      </c>
      <c r="L280" s="7" t="s">
        <v>288</v>
      </c>
      <c r="M280" s="7" t="s">
        <v>289</v>
      </c>
    </row>
    <row r="281" spans="1:13" ht="16.2">
      <c r="A281" s="7">
        <v>14619</v>
      </c>
      <c r="B281" s="7" t="s">
        <v>1621</v>
      </c>
      <c r="C281" s="7" t="s">
        <v>284</v>
      </c>
      <c r="D281" s="47">
        <v>43071</v>
      </c>
      <c r="E281" s="7" t="s">
        <v>1245</v>
      </c>
      <c r="F281" s="7" t="s">
        <v>1200</v>
      </c>
      <c r="G281" s="7" t="s">
        <v>1940</v>
      </c>
      <c r="H281" s="46" t="str">
        <f t="shared" si="1"/>
        <v>Albatros 2  -  Maassluis 2</v>
      </c>
      <c r="I281" s="40">
        <v>0.69444444444444442</v>
      </c>
      <c r="J281" s="7" t="s">
        <v>287</v>
      </c>
      <c r="K281" s="7" t="s">
        <v>1615</v>
      </c>
      <c r="L281" s="7" t="s">
        <v>338</v>
      </c>
      <c r="M281" s="7" t="s">
        <v>289</v>
      </c>
    </row>
    <row r="282" spans="1:13" ht="16.2">
      <c r="A282" s="7">
        <v>14363</v>
      </c>
      <c r="B282" s="7" t="s">
        <v>1621</v>
      </c>
      <c r="C282" s="7" t="s">
        <v>284</v>
      </c>
      <c r="D282" s="45">
        <v>43085</v>
      </c>
      <c r="E282" s="7" t="s">
        <v>1245</v>
      </c>
      <c r="F282" s="7" t="s">
        <v>1200</v>
      </c>
      <c r="G282" s="7" t="s">
        <v>1941</v>
      </c>
      <c r="H282" s="46" t="str">
        <f t="shared" si="1"/>
        <v>Albatros 2  -  IJsselvogels 2</v>
      </c>
      <c r="I282" s="40">
        <v>0.69444444444444442</v>
      </c>
      <c r="J282" s="7" t="s">
        <v>287</v>
      </c>
      <c r="K282" s="7" t="s">
        <v>1615</v>
      </c>
      <c r="L282" s="7" t="s">
        <v>566</v>
      </c>
      <c r="M282" s="7" t="s">
        <v>289</v>
      </c>
    </row>
    <row r="283" spans="1:13" ht="16.2">
      <c r="A283" s="7">
        <v>14667</v>
      </c>
      <c r="B283" s="7" t="s">
        <v>1621</v>
      </c>
      <c r="C283" s="7" t="s">
        <v>284</v>
      </c>
      <c r="D283" s="47">
        <v>43120</v>
      </c>
      <c r="E283" s="7" t="s">
        <v>1245</v>
      </c>
      <c r="F283" s="7" t="s">
        <v>1200</v>
      </c>
      <c r="G283" s="7" t="s">
        <v>1392</v>
      </c>
      <c r="H283" s="46" t="str">
        <f t="shared" si="1"/>
        <v>Albatros 2  -  Fortis 2</v>
      </c>
      <c r="I283" s="40">
        <v>0.69444444444444442</v>
      </c>
      <c r="J283" s="7" t="s">
        <v>287</v>
      </c>
      <c r="K283" s="7" t="s">
        <v>1615</v>
      </c>
      <c r="L283" s="7" t="s">
        <v>288</v>
      </c>
      <c r="M283" s="7" t="s">
        <v>289</v>
      </c>
    </row>
    <row r="284" spans="1:13" ht="16.2">
      <c r="A284" s="7">
        <v>14515</v>
      </c>
      <c r="B284" s="7" t="s">
        <v>1621</v>
      </c>
      <c r="C284" s="7" t="s">
        <v>284</v>
      </c>
      <c r="D284" s="47">
        <v>43127</v>
      </c>
      <c r="E284" s="7" t="s">
        <v>1245</v>
      </c>
      <c r="F284" s="7" t="s">
        <v>1200</v>
      </c>
      <c r="G284" s="7" t="s">
        <v>1942</v>
      </c>
      <c r="H284" s="46" t="str">
        <f t="shared" si="1"/>
        <v>Albatros 2  -  Vriendenschaar (H) 2</v>
      </c>
      <c r="I284" s="40">
        <v>0.69444444444444442</v>
      </c>
      <c r="J284" s="7" t="s">
        <v>287</v>
      </c>
      <c r="K284" s="7" t="s">
        <v>1615</v>
      </c>
      <c r="L284" s="7" t="s">
        <v>301</v>
      </c>
      <c r="M284" s="7" t="s">
        <v>289</v>
      </c>
    </row>
    <row r="285" spans="1:13" ht="16.2">
      <c r="A285" s="7">
        <v>14787</v>
      </c>
      <c r="B285" s="7" t="s">
        <v>1621</v>
      </c>
      <c r="C285" s="7" t="s">
        <v>284</v>
      </c>
      <c r="D285" s="47">
        <v>43141</v>
      </c>
      <c r="E285" s="7" t="s">
        <v>1245</v>
      </c>
      <c r="F285" s="7" t="s">
        <v>1200</v>
      </c>
      <c r="G285" s="7" t="s">
        <v>1943</v>
      </c>
      <c r="H285" s="46" t="str">
        <f t="shared" si="1"/>
        <v>Albatros 2  -  Tjoba 2</v>
      </c>
      <c r="I285" s="40">
        <v>0.69444444444444442</v>
      </c>
      <c r="J285" s="7" t="s">
        <v>287</v>
      </c>
      <c r="K285" s="7" t="s">
        <v>1615</v>
      </c>
      <c r="L285" s="7" t="s">
        <v>328</v>
      </c>
      <c r="M285" s="7" t="s">
        <v>289</v>
      </c>
    </row>
    <row r="286" spans="1:13" ht="16.2">
      <c r="A286" s="7">
        <v>14579</v>
      </c>
      <c r="B286" s="7" t="s">
        <v>1621</v>
      </c>
      <c r="C286" s="7" t="s">
        <v>284</v>
      </c>
      <c r="D286" s="47">
        <v>43169</v>
      </c>
      <c r="E286" s="7" t="s">
        <v>1245</v>
      </c>
      <c r="F286" s="7" t="s">
        <v>1200</v>
      </c>
      <c r="G286" s="7" t="s">
        <v>1944</v>
      </c>
      <c r="H286" s="46" t="str">
        <f t="shared" si="1"/>
        <v>Albatros 2  -  Valto 2</v>
      </c>
      <c r="I286" s="40">
        <v>0.69444444444444442</v>
      </c>
      <c r="J286" s="7" t="s">
        <v>287</v>
      </c>
      <c r="K286" s="7" t="s">
        <v>1615</v>
      </c>
      <c r="L286" s="7" t="s">
        <v>301</v>
      </c>
      <c r="M286" s="7" t="s">
        <v>289</v>
      </c>
    </row>
    <row r="287" spans="1:13" ht="16.2">
      <c r="A287" s="7">
        <v>12233</v>
      </c>
      <c r="B287" s="7" t="s">
        <v>1247</v>
      </c>
      <c r="C287" s="7" t="s">
        <v>284</v>
      </c>
      <c r="D287" s="45">
        <v>43050</v>
      </c>
      <c r="E287" s="7" t="s">
        <v>1248</v>
      </c>
      <c r="F287" s="7" t="s">
        <v>1200</v>
      </c>
      <c r="G287" s="7" t="s">
        <v>1945</v>
      </c>
      <c r="H287" s="46" t="str">
        <f t="shared" si="1"/>
        <v>Albatros 1  -  VEO 1</v>
      </c>
      <c r="I287" s="40">
        <v>0.75</v>
      </c>
      <c r="J287" s="7" t="s">
        <v>287</v>
      </c>
      <c r="K287" s="7" t="s">
        <v>1615</v>
      </c>
      <c r="L287" s="7" t="s">
        <v>338</v>
      </c>
      <c r="M287" s="7" t="s">
        <v>289</v>
      </c>
    </row>
    <row r="288" spans="1:13" ht="16.2">
      <c r="A288" s="7">
        <v>12239</v>
      </c>
      <c r="B288" s="7" t="s">
        <v>1247</v>
      </c>
      <c r="C288" s="7" t="s">
        <v>284</v>
      </c>
      <c r="D288" s="47">
        <v>43071</v>
      </c>
      <c r="E288" s="7" t="s">
        <v>1248</v>
      </c>
      <c r="F288" s="7" t="s">
        <v>1200</v>
      </c>
      <c r="G288" s="7" t="s">
        <v>1946</v>
      </c>
      <c r="H288" s="46" t="str">
        <f t="shared" si="1"/>
        <v>Albatros 1  -  Juliana 1</v>
      </c>
      <c r="I288" s="40">
        <v>0.75</v>
      </c>
      <c r="J288" s="7" t="s">
        <v>287</v>
      </c>
      <c r="K288" s="7" t="s">
        <v>1615</v>
      </c>
      <c r="L288" s="7" t="s">
        <v>338</v>
      </c>
      <c r="M288" s="7" t="s">
        <v>289</v>
      </c>
    </row>
    <row r="289" spans="1:13" ht="16.2">
      <c r="A289" s="7">
        <v>12047</v>
      </c>
      <c r="B289" s="7" t="s">
        <v>1247</v>
      </c>
      <c r="C289" s="7" t="s">
        <v>284</v>
      </c>
      <c r="D289" s="45">
        <v>43085</v>
      </c>
      <c r="E289" s="7" t="s">
        <v>1248</v>
      </c>
      <c r="F289" s="7" t="s">
        <v>1200</v>
      </c>
      <c r="G289" s="7" t="s">
        <v>1947</v>
      </c>
      <c r="H289" s="46" t="str">
        <f t="shared" si="1"/>
        <v>Albatros 1  -  RWA 1</v>
      </c>
      <c r="I289" s="40">
        <v>0.75</v>
      </c>
      <c r="J289" s="7" t="s">
        <v>287</v>
      </c>
      <c r="K289" s="7" t="s">
        <v>1615</v>
      </c>
      <c r="L289" s="7" t="s">
        <v>566</v>
      </c>
      <c r="M289" s="7" t="s">
        <v>289</v>
      </c>
    </row>
    <row r="290" spans="1:13" ht="16.2">
      <c r="A290" s="7">
        <v>12275</v>
      </c>
      <c r="B290" s="7" t="s">
        <v>1247</v>
      </c>
      <c r="C290" s="7" t="s">
        <v>284</v>
      </c>
      <c r="D290" s="47">
        <v>43120</v>
      </c>
      <c r="E290" s="7" t="s">
        <v>1248</v>
      </c>
      <c r="F290" s="7" t="s">
        <v>1200</v>
      </c>
      <c r="G290" s="7" t="s">
        <v>1393</v>
      </c>
      <c r="H290" s="46" t="str">
        <f t="shared" si="1"/>
        <v>Albatros 1  -  Fortis 1</v>
      </c>
      <c r="I290" s="40">
        <v>0.75</v>
      </c>
      <c r="J290" s="7" t="s">
        <v>287</v>
      </c>
      <c r="K290" s="7" t="s">
        <v>1615</v>
      </c>
      <c r="L290" s="7" t="s">
        <v>288</v>
      </c>
      <c r="M290" s="7" t="s">
        <v>289</v>
      </c>
    </row>
    <row r="291" spans="1:13" ht="16.2">
      <c r="A291" s="7">
        <v>12161</v>
      </c>
      <c r="B291" s="7" t="s">
        <v>1247</v>
      </c>
      <c r="C291" s="7" t="s">
        <v>284</v>
      </c>
      <c r="D291" s="47">
        <v>43127</v>
      </c>
      <c r="E291" s="7" t="s">
        <v>1248</v>
      </c>
      <c r="F291" s="7" t="s">
        <v>1200</v>
      </c>
      <c r="G291" s="7" t="s">
        <v>1948</v>
      </c>
      <c r="H291" s="46" t="str">
        <f t="shared" si="1"/>
        <v>Albatros 1  -  Vriendenschaar (H) 1</v>
      </c>
      <c r="I291" s="40">
        <v>0.75</v>
      </c>
      <c r="J291" s="7" t="s">
        <v>287</v>
      </c>
      <c r="K291" s="7" t="s">
        <v>1615</v>
      </c>
      <c r="L291" s="7" t="s">
        <v>338</v>
      </c>
      <c r="M291" s="7" t="s">
        <v>289</v>
      </c>
    </row>
    <row r="292" spans="1:13" ht="16.2">
      <c r="A292" s="7">
        <v>12365</v>
      </c>
      <c r="B292" s="7" t="s">
        <v>1247</v>
      </c>
      <c r="C292" s="7" t="s">
        <v>284</v>
      </c>
      <c r="D292" s="47">
        <v>43141</v>
      </c>
      <c r="E292" s="7" t="s">
        <v>1248</v>
      </c>
      <c r="F292" s="7" t="s">
        <v>1200</v>
      </c>
      <c r="G292" s="7" t="s">
        <v>1949</v>
      </c>
      <c r="H292" s="46" t="str">
        <f t="shared" si="1"/>
        <v>Albatros 1  -  Tjoba 1</v>
      </c>
      <c r="I292" s="40">
        <v>0.75</v>
      </c>
      <c r="J292" s="7" t="s">
        <v>287</v>
      </c>
      <c r="K292" s="7" t="s">
        <v>1615</v>
      </c>
      <c r="L292" s="7" t="s">
        <v>328</v>
      </c>
      <c r="M292" s="7" t="s">
        <v>289</v>
      </c>
    </row>
    <row r="293" spans="1:13" ht="16.2">
      <c r="A293" s="7">
        <v>12209</v>
      </c>
      <c r="B293" s="7" t="s">
        <v>1247</v>
      </c>
      <c r="C293" s="7" t="s">
        <v>284</v>
      </c>
      <c r="D293" s="47">
        <v>43169</v>
      </c>
      <c r="E293" s="7" t="s">
        <v>1248</v>
      </c>
      <c r="F293" s="7" t="s">
        <v>1200</v>
      </c>
      <c r="G293" s="7" t="s">
        <v>1950</v>
      </c>
      <c r="H293" s="46" t="str">
        <f t="shared" si="1"/>
        <v>Albatros 1  -  Valto 1</v>
      </c>
      <c r="I293" s="40">
        <v>0.75</v>
      </c>
      <c r="J293" s="7" t="s">
        <v>287</v>
      </c>
      <c r="K293" s="7" t="s">
        <v>1615</v>
      </c>
      <c r="L293" s="7" t="s">
        <v>301</v>
      </c>
      <c r="M293" s="7" t="s">
        <v>289</v>
      </c>
    </row>
    <row r="294" spans="1:13" ht="16.2">
      <c r="A294" s="7">
        <v>38077</v>
      </c>
      <c r="B294" s="7" t="s">
        <v>1641</v>
      </c>
      <c r="C294" s="7" t="s">
        <v>284</v>
      </c>
      <c r="D294" s="45">
        <v>43057</v>
      </c>
      <c r="E294" s="7" t="s">
        <v>1447</v>
      </c>
      <c r="F294" s="7" t="s">
        <v>1200</v>
      </c>
      <c r="G294" s="7" t="s">
        <v>1951</v>
      </c>
      <c r="H294" s="46" t="str">
        <f t="shared" si="1"/>
        <v>Albatros G1  -  DVO/Accountor G1</v>
      </c>
      <c r="I294" s="40">
        <v>0.58333333333333337</v>
      </c>
      <c r="J294" s="7" t="s">
        <v>530</v>
      </c>
      <c r="K294" s="7" t="s">
        <v>1615</v>
      </c>
      <c r="L294" s="7" t="s">
        <v>14</v>
      </c>
      <c r="M294" s="7" t="s">
        <v>14</v>
      </c>
    </row>
    <row r="295" spans="1:13" ht="16.2">
      <c r="A295" s="7">
        <v>38078</v>
      </c>
      <c r="B295" s="7" t="s">
        <v>1641</v>
      </c>
      <c r="C295" s="7" t="s">
        <v>284</v>
      </c>
      <c r="D295" s="47">
        <v>43071</v>
      </c>
      <c r="E295" s="7" t="s">
        <v>1447</v>
      </c>
      <c r="F295" s="7" t="s">
        <v>1200</v>
      </c>
      <c r="G295" s="7" t="s">
        <v>1448</v>
      </c>
      <c r="H295" s="46" t="str">
        <f t="shared" si="1"/>
        <v>Albatros G1  -  Velocitas G1</v>
      </c>
      <c r="I295" s="40">
        <v>0.5</v>
      </c>
      <c r="J295" s="7" t="s">
        <v>305</v>
      </c>
      <c r="K295" s="7" t="s">
        <v>1615</v>
      </c>
      <c r="L295" s="7" t="s">
        <v>1814</v>
      </c>
      <c r="M295" s="7" t="s">
        <v>14</v>
      </c>
    </row>
    <row r="296" spans="1:13" ht="16.2">
      <c r="A296" s="7">
        <v>38104</v>
      </c>
      <c r="B296" s="7" t="s">
        <v>1641</v>
      </c>
      <c r="C296" s="7" t="s">
        <v>284</v>
      </c>
      <c r="D296" s="45">
        <v>43085</v>
      </c>
      <c r="E296" s="7" t="s">
        <v>1447</v>
      </c>
      <c r="F296" s="7" t="s">
        <v>1200</v>
      </c>
      <c r="G296" s="7" t="s">
        <v>1952</v>
      </c>
      <c r="H296" s="46" t="str">
        <f t="shared" si="1"/>
        <v>Albatros G1  -  Sporting Trigon G1</v>
      </c>
      <c r="I296" s="40">
        <v>0.67361111111111116</v>
      </c>
      <c r="J296" s="7" t="s">
        <v>459</v>
      </c>
      <c r="K296" s="7" t="s">
        <v>1615</v>
      </c>
      <c r="L296" s="7" t="s">
        <v>14</v>
      </c>
      <c r="M296" s="7" t="s">
        <v>14</v>
      </c>
    </row>
    <row r="297" spans="1:13" ht="16.2">
      <c r="A297" s="7">
        <v>38088</v>
      </c>
      <c r="B297" s="7" t="s">
        <v>1641</v>
      </c>
      <c r="C297" s="7" t="s">
        <v>284</v>
      </c>
      <c r="D297" s="47">
        <v>43106</v>
      </c>
      <c r="E297" s="7" t="s">
        <v>1447</v>
      </c>
      <c r="F297" s="7" t="s">
        <v>1200</v>
      </c>
      <c r="G297" s="7" t="s">
        <v>1953</v>
      </c>
      <c r="H297" s="46" t="str">
        <f t="shared" si="1"/>
        <v>Albatros G1  -  Vitesse (Ba) G1</v>
      </c>
      <c r="I297" s="40">
        <v>0.41666666666666669</v>
      </c>
      <c r="J297" s="7" t="s">
        <v>1700</v>
      </c>
      <c r="K297" s="7" t="s">
        <v>1615</v>
      </c>
      <c r="L297" s="7" t="s">
        <v>14</v>
      </c>
      <c r="M297" s="7" t="s">
        <v>14</v>
      </c>
    </row>
    <row r="298" spans="1:13" ht="16.2">
      <c r="A298" s="7">
        <v>38081</v>
      </c>
      <c r="B298" s="7" t="s">
        <v>1641</v>
      </c>
      <c r="C298" s="7" t="s">
        <v>284</v>
      </c>
      <c r="D298" s="47">
        <v>43141</v>
      </c>
      <c r="E298" s="7" t="s">
        <v>1447</v>
      </c>
      <c r="F298" s="7" t="s">
        <v>1200</v>
      </c>
      <c r="G298" s="7" t="s">
        <v>1954</v>
      </c>
      <c r="H298" s="46" t="str">
        <f t="shared" si="1"/>
        <v>Albatros G1  -  KOAG G1</v>
      </c>
      <c r="I298" s="40">
        <v>0.5625</v>
      </c>
      <c r="J298" s="7" t="s">
        <v>1666</v>
      </c>
      <c r="K298" s="7" t="s">
        <v>1667</v>
      </c>
      <c r="L298" s="7" t="s">
        <v>14</v>
      </c>
      <c r="M298" s="7" t="s">
        <v>14</v>
      </c>
    </row>
    <row r="299" spans="1:13" ht="16.2">
      <c r="A299" s="7">
        <v>30682</v>
      </c>
      <c r="B299" s="7" t="s">
        <v>1624</v>
      </c>
      <c r="C299" s="7" t="s">
        <v>284</v>
      </c>
      <c r="D299" s="45">
        <v>43050</v>
      </c>
      <c r="E299" s="7" t="s">
        <v>1210</v>
      </c>
      <c r="F299" s="7" t="s">
        <v>1200</v>
      </c>
      <c r="G299" s="7" t="s">
        <v>1431</v>
      </c>
      <c r="H299" s="46" t="str">
        <f t="shared" si="1"/>
        <v>Albatros F5  -  Sporting Delta F1</v>
      </c>
      <c r="I299" s="40">
        <v>0.375</v>
      </c>
      <c r="J299" s="7" t="s">
        <v>287</v>
      </c>
      <c r="K299" s="7" t="s">
        <v>1615</v>
      </c>
      <c r="L299" s="7" t="s">
        <v>374</v>
      </c>
      <c r="M299" s="7" t="s">
        <v>1955</v>
      </c>
    </row>
    <row r="300" spans="1:13" ht="16.2">
      <c r="A300" s="7">
        <v>29954</v>
      </c>
      <c r="B300" s="7" t="s">
        <v>1624</v>
      </c>
      <c r="C300" s="7" t="s">
        <v>284</v>
      </c>
      <c r="D300" s="45">
        <v>43064</v>
      </c>
      <c r="E300" s="7" t="s">
        <v>1210</v>
      </c>
      <c r="F300" s="7" t="s">
        <v>1200</v>
      </c>
      <c r="G300" s="7" t="s">
        <v>1956</v>
      </c>
      <c r="H300" s="46" t="str">
        <f t="shared" si="1"/>
        <v>Albatros F5  -  ADO F2</v>
      </c>
      <c r="I300" s="40">
        <v>0.45833333333333331</v>
      </c>
      <c r="J300" s="7" t="s">
        <v>373</v>
      </c>
      <c r="K300" s="7" t="s">
        <v>1615</v>
      </c>
      <c r="L300" s="7" t="s">
        <v>374</v>
      </c>
      <c r="M300" s="7" t="s">
        <v>288</v>
      </c>
    </row>
    <row r="301" spans="1:13" ht="16.2">
      <c r="A301" s="7">
        <v>30730</v>
      </c>
      <c r="B301" s="7" t="s">
        <v>1624</v>
      </c>
      <c r="C301" s="7" t="s">
        <v>284</v>
      </c>
      <c r="D301" s="47">
        <v>43078</v>
      </c>
      <c r="E301" s="7" t="s">
        <v>1210</v>
      </c>
      <c r="F301" s="7" t="s">
        <v>1200</v>
      </c>
      <c r="G301" s="7" t="s">
        <v>1957</v>
      </c>
      <c r="H301" s="46" t="str">
        <f t="shared" si="1"/>
        <v>Albatros F5  -  PKC/SWKGroep F4</v>
      </c>
      <c r="I301" s="40">
        <v>0.61458333333333337</v>
      </c>
      <c r="J301" s="7" t="s">
        <v>287</v>
      </c>
      <c r="K301" s="7" t="s">
        <v>1615</v>
      </c>
      <c r="L301" s="7" t="s">
        <v>374</v>
      </c>
      <c r="M301" s="7" t="s">
        <v>1958</v>
      </c>
    </row>
    <row r="302" spans="1:13" ht="16.2">
      <c r="A302" s="7">
        <v>30424</v>
      </c>
      <c r="B302" s="7" t="s">
        <v>1624</v>
      </c>
      <c r="C302" s="7" t="s">
        <v>284</v>
      </c>
      <c r="D302" s="47">
        <v>43106</v>
      </c>
      <c r="E302" s="7" t="s">
        <v>1210</v>
      </c>
      <c r="F302" s="7" t="s">
        <v>1200</v>
      </c>
      <c r="G302" s="7" t="s">
        <v>1959</v>
      </c>
      <c r="H302" s="46" t="str">
        <f t="shared" si="1"/>
        <v>Albatros F5  -  Oranje Wit (D) F3</v>
      </c>
      <c r="I302" s="40">
        <v>0.375</v>
      </c>
      <c r="J302" s="7" t="s">
        <v>287</v>
      </c>
      <c r="K302" s="7" t="s">
        <v>1615</v>
      </c>
      <c r="L302" s="7" t="s">
        <v>374</v>
      </c>
      <c r="M302" s="7" t="s">
        <v>1960</v>
      </c>
    </row>
    <row r="303" spans="1:13" ht="16.2">
      <c r="A303" s="7">
        <v>30110</v>
      </c>
      <c r="B303" s="7" t="s">
        <v>1624</v>
      </c>
      <c r="C303" s="7" t="s">
        <v>284</v>
      </c>
      <c r="D303" s="47">
        <v>43120</v>
      </c>
      <c r="E303" s="7" t="s">
        <v>1210</v>
      </c>
      <c r="F303" s="7" t="s">
        <v>1200</v>
      </c>
      <c r="G303" s="7" t="s">
        <v>1961</v>
      </c>
      <c r="H303" s="46" t="str">
        <f t="shared" si="1"/>
        <v>Albatros F5  -  Ventura Sport F2</v>
      </c>
      <c r="I303" s="40">
        <v>0.41319444444444442</v>
      </c>
      <c r="J303" s="7" t="s">
        <v>287</v>
      </c>
      <c r="K303" s="7" t="s">
        <v>1732</v>
      </c>
      <c r="L303" s="7" t="s">
        <v>374</v>
      </c>
      <c r="M303" s="7" t="s">
        <v>14</v>
      </c>
    </row>
    <row r="304" spans="1:13" ht="16.2">
      <c r="A304" s="7">
        <v>29751</v>
      </c>
      <c r="B304" s="7" t="s">
        <v>1624</v>
      </c>
      <c r="C304" s="7" t="s">
        <v>284</v>
      </c>
      <c r="D304" s="47">
        <v>43148</v>
      </c>
      <c r="E304" s="7" t="s">
        <v>1210</v>
      </c>
      <c r="F304" s="7" t="s">
        <v>1200</v>
      </c>
      <c r="G304" s="7" t="s">
        <v>1962</v>
      </c>
      <c r="H304" s="46" t="str">
        <f t="shared" si="1"/>
        <v>Albatros F5  -  Vriendenschaar (H) F3</v>
      </c>
      <c r="I304" s="40">
        <v>0.375</v>
      </c>
      <c r="J304" s="7" t="s">
        <v>305</v>
      </c>
      <c r="K304" s="7" t="s">
        <v>1615</v>
      </c>
      <c r="L304" s="7" t="s">
        <v>374</v>
      </c>
      <c r="M304" s="7" t="s">
        <v>14</v>
      </c>
    </row>
    <row r="305" spans="1:13" ht="16.2">
      <c r="A305" s="7">
        <v>38531</v>
      </c>
      <c r="B305" s="7" t="s">
        <v>1730</v>
      </c>
      <c r="C305" s="7" t="s">
        <v>284</v>
      </c>
      <c r="D305" s="45">
        <v>43050</v>
      </c>
      <c r="E305" s="7" t="s">
        <v>1361</v>
      </c>
      <c r="F305" s="7" t="s">
        <v>1200</v>
      </c>
      <c r="G305" s="7" t="s">
        <v>1963</v>
      </c>
      <c r="H305" s="46" t="str">
        <f t="shared" si="1"/>
        <v>Albatros F4  -  Nieuwerkerk F3</v>
      </c>
      <c r="I305" s="40">
        <v>0.41319444444444442</v>
      </c>
      <c r="J305" s="7" t="s">
        <v>287</v>
      </c>
      <c r="K305" s="7" t="s">
        <v>1615</v>
      </c>
      <c r="L305" s="7" t="s">
        <v>349</v>
      </c>
      <c r="M305" s="7" t="s">
        <v>1964</v>
      </c>
    </row>
    <row r="306" spans="1:13" ht="16.2">
      <c r="A306" s="7">
        <v>29955</v>
      </c>
      <c r="B306" s="7" t="s">
        <v>1730</v>
      </c>
      <c r="C306" s="7" t="s">
        <v>284</v>
      </c>
      <c r="D306" s="45">
        <v>43064</v>
      </c>
      <c r="E306" s="7" t="s">
        <v>1361</v>
      </c>
      <c r="F306" s="7" t="s">
        <v>1200</v>
      </c>
      <c r="G306" s="7" t="s">
        <v>1362</v>
      </c>
      <c r="H306" s="46" t="str">
        <f t="shared" si="1"/>
        <v>Albatros F4  -  Oranje Wit (D) F4</v>
      </c>
      <c r="I306" s="40">
        <v>0.41666666666666669</v>
      </c>
      <c r="J306" s="7" t="s">
        <v>287</v>
      </c>
      <c r="K306" s="7" t="s">
        <v>1732</v>
      </c>
      <c r="L306" s="7" t="s">
        <v>349</v>
      </c>
      <c r="M306" s="7" t="s">
        <v>1964</v>
      </c>
    </row>
    <row r="307" spans="1:13" ht="16.2">
      <c r="A307" s="7">
        <v>30731</v>
      </c>
      <c r="B307" s="7" t="s">
        <v>1730</v>
      </c>
      <c r="C307" s="7" t="s">
        <v>284</v>
      </c>
      <c r="D307" s="45">
        <v>43092</v>
      </c>
      <c r="E307" s="7" t="s">
        <v>1361</v>
      </c>
      <c r="F307" s="7" t="s">
        <v>1200</v>
      </c>
      <c r="G307" s="7" t="s">
        <v>1965</v>
      </c>
      <c r="H307" s="46" t="str">
        <f t="shared" si="1"/>
        <v>Albatros F4  -  GKV/Enomics F3</v>
      </c>
      <c r="I307" s="40">
        <v>0.41666666666666669</v>
      </c>
      <c r="J307" s="7" t="s">
        <v>287</v>
      </c>
      <c r="K307" s="7" t="s">
        <v>1615</v>
      </c>
      <c r="L307" s="7" t="s">
        <v>349</v>
      </c>
      <c r="M307" s="7" t="s">
        <v>1958</v>
      </c>
    </row>
    <row r="308" spans="1:13" ht="16.2">
      <c r="A308" s="7">
        <v>30425</v>
      </c>
      <c r="B308" s="7" t="s">
        <v>1730</v>
      </c>
      <c r="C308" s="7" t="s">
        <v>284</v>
      </c>
      <c r="D308" s="47">
        <v>43106</v>
      </c>
      <c r="E308" s="7" t="s">
        <v>1361</v>
      </c>
      <c r="F308" s="7" t="s">
        <v>1200</v>
      </c>
      <c r="G308" s="7" t="s">
        <v>1966</v>
      </c>
      <c r="H308" s="46" t="str">
        <f t="shared" si="1"/>
        <v>Albatros F4  -  Merwede/Multiplaat F4</v>
      </c>
      <c r="I308" s="40">
        <v>0.51041666666666663</v>
      </c>
      <c r="J308" s="7" t="s">
        <v>305</v>
      </c>
      <c r="K308" s="7" t="s">
        <v>1615</v>
      </c>
      <c r="L308" s="7" t="s">
        <v>349</v>
      </c>
      <c r="M308" s="7" t="s">
        <v>788</v>
      </c>
    </row>
    <row r="309" spans="1:13" ht="16.2">
      <c r="A309" s="7">
        <v>30111</v>
      </c>
      <c r="B309" s="7" t="s">
        <v>1730</v>
      </c>
      <c r="C309" s="7" t="s">
        <v>284</v>
      </c>
      <c r="D309" s="47">
        <v>43120</v>
      </c>
      <c r="E309" s="7" t="s">
        <v>1361</v>
      </c>
      <c r="F309" s="7" t="s">
        <v>1200</v>
      </c>
      <c r="G309" s="7" t="s">
        <v>1526</v>
      </c>
      <c r="H309" s="46" t="str">
        <f t="shared" si="1"/>
        <v>Albatros F4  -  PKC/SWKGroep F5</v>
      </c>
      <c r="I309" s="40">
        <v>0.375</v>
      </c>
      <c r="J309" s="7" t="s">
        <v>287</v>
      </c>
      <c r="K309" s="7" t="s">
        <v>1615</v>
      </c>
      <c r="L309" s="7" t="s">
        <v>349</v>
      </c>
      <c r="M309" s="7" t="s">
        <v>14</v>
      </c>
    </row>
    <row r="310" spans="1:13" ht="16.2">
      <c r="A310" s="7">
        <v>29752</v>
      </c>
      <c r="B310" s="7" t="s">
        <v>1730</v>
      </c>
      <c r="C310" s="7" t="s">
        <v>284</v>
      </c>
      <c r="D310" s="47">
        <v>43148</v>
      </c>
      <c r="E310" s="7" t="s">
        <v>1361</v>
      </c>
      <c r="F310" s="7" t="s">
        <v>1200</v>
      </c>
      <c r="G310" s="7" t="s">
        <v>1967</v>
      </c>
      <c r="H310" s="46" t="str">
        <f t="shared" si="1"/>
        <v>Albatros F4  -  DeetosSnel F2</v>
      </c>
      <c r="I310" s="40">
        <v>0.375</v>
      </c>
      <c r="J310" s="7" t="s">
        <v>305</v>
      </c>
      <c r="K310" s="7" t="s">
        <v>1615</v>
      </c>
      <c r="L310" s="7" t="s">
        <v>349</v>
      </c>
      <c r="M310" s="7" t="s">
        <v>14</v>
      </c>
    </row>
    <row r="311" spans="1:13" ht="16.2">
      <c r="A311" s="7">
        <v>30684</v>
      </c>
      <c r="B311" s="7" t="s">
        <v>1682</v>
      </c>
      <c r="C311" s="7" t="s">
        <v>284</v>
      </c>
      <c r="D311" s="45">
        <v>43050</v>
      </c>
      <c r="E311" s="7" t="s">
        <v>1212</v>
      </c>
      <c r="F311" s="7" t="s">
        <v>1200</v>
      </c>
      <c r="G311" s="7" t="s">
        <v>1968</v>
      </c>
      <c r="H311" s="46" t="str">
        <f t="shared" si="1"/>
        <v>Albatros F3  -  GKV/Enomics F2</v>
      </c>
      <c r="I311" s="40">
        <v>0.41319444444444442</v>
      </c>
      <c r="J311" s="7" t="s">
        <v>287</v>
      </c>
      <c r="K311" s="7" t="s">
        <v>1732</v>
      </c>
      <c r="L311" s="7" t="s">
        <v>834</v>
      </c>
      <c r="M311" s="7" t="s">
        <v>1960</v>
      </c>
    </row>
    <row r="312" spans="1:13" ht="16.2">
      <c r="A312" s="7">
        <v>29957</v>
      </c>
      <c r="B312" s="7" t="s">
        <v>1682</v>
      </c>
      <c r="C312" s="7" t="s">
        <v>284</v>
      </c>
      <c r="D312" s="45">
        <v>43064</v>
      </c>
      <c r="E312" s="7" t="s">
        <v>1212</v>
      </c>
      <c r="F312" s="7" t="s">
        <v>1200</v>
      </c>
      <c r="G312" s="7" t="s">
        <v>1969</v>
      </c>
      <c r="H312" s="46" t="str">
        <f t="shared" si="1"/>
        <v>Albatros F3  -  Oranje Wit (D) F2</v>
      </c>
      <c r="I312" s="40">
        <v>0.375</v>
      </c>
      <c r="J312" s="7" t="s">
        <v>287</v>
      </c>
      <c r="K312" s="7" t="s">
        <v>1615</v>
      </c>
      <c r="L312" s="7" t="s">
        <v>834</v>
      </c>
      <c r="M312" s="7" t="s">
        <v>1955</v>
      </c>
    </row>
    <row r="313" spans="1:13" ht="16.2">
      <c r="A313" s="7">
        <v>30733</v>
      </c>
      <c r="B313" s="7" t="s">
        <v>1682</v>
      </c>
      <c r="C313" s="7" t="s">
        <v>284</v>
      </c>
      <c r="D313" s="47">
        <v>43078</v>
      </c>
      <c r="E313" s="7" t="s">
        <v>1212</v>
      </c>
      <c r="F313" s="7" t="s">
        <v>1200</v>
      </c>
      <c r="G313" s="7" t="s">
        <v>1970</v>
      </c>
      <c r="H313" s="46" t="str">
        <f t="shared" si="1"/>
        <v>Albatros F3  -  DVS '69 F1</v>
      </c>
      <c r="I313" s="40">
        <v>0.61458333333333337</v>
      </c>
      <c r="J313" s="7" t="s">
        <v>287</v>
      </c>
      <c r="K313" s="7" t="s">
        <v>1615</v>
      </c>
      <c r="L313" s="7" t="s">
        <v>834</v>
      </c>
      <c r="M313" s="7" t="s">
        <v>1960</v>
      </c>
    </row>
    <row r="314" spans="1:13" ht="16.2">
      <c r="A314" s="7">
        <v>30427</v>
      </c>
      <c r="B314" s="7" t="s">
        <v>1682</v>
      </c>
      <c r="C314" s="7" t="s">
        <v>284</v>
      </c>
      <c r="D314" s="47">
        <v>43106</v>
      </c>
      <c r="E314" s="7" t="s">
        <v>1212</v>
      </c>
      <c r="F314" s="7" t="s">
        <v>1200</v>
      </c>
      <c r="G314" s="7" t="s">
        <v>1971</v>
      </c>
      <c r="H314" s="46" t="str">
        <f t="shared" si="1"/>
        <v>Albatros F3  -  Movado F2</v>
      </c>
      <c r="I314" s="40">
        <v>0.41666666666666669</v>
      </c>
      <c r="J314" s="7" t="s">
        <v>287</v>
      </c>
      <c r="K314" s="7" t="s">
        <v>1615</v>
      </c>
      <c r="L314" s="7" t="s">
        <v>834</v>
      </c>
      <c r="M314" s="7" t="s">
        <v>288</v>
      </c>
    </row>
    <row r="315" spans="1:13" ht="16.2">
      <c r="A315" s="7">
        <v>30112</v>
      </c>
      <c r="B315" s="7" t="s">
        <v>1682</v>
      </c>
      <c r="C315" s="7" t="s">
        <v>284</v>
      </c>
      <c r="D315" s="47">
        <v>43120</v>
      </c>
      <c r="E315" s="7" t="s">
        <v>1212</v>
      </c>
      <c r="F315" s="7" t="s">
        <v>1200</v>
      </c>
      <c r="G315" s="7" t="s">
        <v>1972</v>
      </c>
      <c r="H315" s="46" t="str">
        <f t="shared" si="1"/>
        <v>Albatros F3  -  Triade F1</v>
      </c>
      <c r="I315" s="40">
        <v>0.41319444444444442</v>
      </c>
      <c r="J315" s="7" t="s">
        <v>287</v>
      </c>
      <c r="K315" s="7" t="s">
        <v>1615</v>
      </c>
      <c r="L315" s="7" t="s">
        <v>834</v>
      </c>
      <c r="M315" s="7" t="s">
        <v>14</v>
      </c>
    </row>
    <row r="316" spans="1:13" ht="16.2">
      <c r="A316" s="7">
        <v>30884</v>
      </c>
      <c r="B316" s="7" t="s">
        <v>1682</v>
      </c>
      <c r="C316" s="7" t="s">
        <v>284</v>
      </c>
      <c r="D316" s="47">
        <v>43134</v>
      </c>
      <c r="E316" s="7" t="s">
        <v>1212</v>
      </c>
      <c r="F316" s="7" t="s">
        <v>1200</v>
      </c>
      <c r="G316" s="7" t="s">
        <v>1973</v>
      </c>
      <c r="H316" s="46" t="str">
        <f t="shared" si="1"/>
        <v>Albatros F3  -  PKC/SWKGroep F8</v>
      </c>
      <c r="I316" s="40">
        <v>0.375</v>
      </c>
      <c r="J316" s="7" t="s">
        <v>373</v>
      </c>
      <c r="K316" s="7" t="s">
        <v>1615</v>
      </c>
      <c r="L316" s="7" t="s">
        <v>834</v>
      </c>
      <c r="M316" s="7" t="s">
        <v>14</v>
      </c>
    </row>
    <row r="317" spans="1:13" ht="16.2">
      <c r="A317" s="7">
        <v>29894</v>
      </c>
      <c r="B317" s="7" t="s">
        <v>1733</v>
      </c>
      <c r="C317" s="7" t="s">
        <v>284</v>
      </c>
      <c r="D317" s="45">
        <v>43057</v>
      </c>
      <c r="E317" s="7" t="s">
        <v>1217</v>
      </c>
      <c r="F317" s="7" t="s">
        <v>1200</v>
      </c>
      <c r="G317" s="7" t="s">
        <v>1478</v>
      </c>
      <c r="H317" s="46" t="str">
        <f t="shared" si="1"/>
        <v>Albatros F2  -  PKC/SWKGroep F2</v>
      </c>
      <c r="I317" s="40">
        <v>0.54166666666666663</v>
      </c>
      <c r="J317" s="7" t="s">
        <v>287</v>
      </c>
      <c r="K317" s="7" t="s">
        <v>1732</v>
      </c>
      <c r="L317" s="7" t="s">
        <v>843</v>
      </c>
      <c r="M317" s="7" t="s">
        <v>550</v>
      </c>
    </row>
    <row r="318" spans="1:13" ht="16.2">
      <c r="A318" s="7">
        <v>29995</v>
      </c>
      <c r="B318" s="7" t="s">
        <v>1733</v>
      </c>
      <c r="C318" s="7" t="s">
        <v>284</v>
      </c>
      <c r="D318" s="45">
        <v>43085</v>
      </c>
      <c r="E318" s="7" t="s">
        <v>1217</v>
      </c>
      <c r="F318" s="7" t="s">
        <v>1200</v>
      </c>
      <c r="G318" s="7" t="s">
        <v>1974</v>
      </c>
      <c r="H318" s="46" t="str">
        <f t="shared" si="1"/>
        <v>Albatros F2  -  Korbatjo F1</v>
      </c>
      <c r="I318" s="40">
        <v>0.41319444444444442</v>
      </c>
      <c r="J318" s="7" t="s">
        <v>287</v>
      </c>
      <c r="K318" s="7" t="s">
        <v>1732</v>
      </c>
      <c r="L318" s="7" t="s">
        <v>843</v>
      </c>
      <c r="M318" s="7" t="s">
        <v>1975</v>
      </c>
    </row>
    <row r="319" spans="1:13" ht="16.2">
      <c r="A319" s="7">
        <v>30819</v>
      </c>
      <c r="B319" s="7" t="s">
        <v>1733</v>
      </c>
      <c r="C319" s="7" t="s">
        <v>284</v>
      </c>
      <c r="D319" s="45">
        <v>43092</v>
      </c>
      <c r="E319" s="7" t="s">
        <v>1217</v>
      </c>
      <c r="F319" s="7" t="s">
        <v>1200</v>
      </c>
      <c r="G319" s="7" t="s">
        <v>1976</v>
      </c>
      <c r="H319" s="46" t="str">
        <f t="shared" si="1"/>
        <v>Albatros F2  -  Kinderdijk F2</v>
      </c>
      <c r="I319" s="40">
        <v>0.375</v>
      </c>
      <c r="J319" s="7" t="s">
        <v>287</v>
      </c>
      <c r="K319" s="7" t="s">
        <v>1615</v>
      </c>
      <c r="L319" s="7" t="s">
        <v>843</v>
      </c>
      <c r="M319" s="7" t="s">
        <v>1955</v>
      </c>
    </row>
    <row r="320" spans="1:13" ht="16.2">
      <c r="A320" s="7">
        <v>30049</v>
      </c>
      <c r="B320" s="7" t="s">
        <v>1733</v>
      </c>
      <c r="C320" s="7" t="s">
        <v>284</v>
      </c>
      <c r="D320" s="47">
        <v>43113</v>
      </c>
      <c r="E320" s="7" t="s">
        <v>1217</v>
      </c>
      <c r="F320" s="7" t="s">
        <v>1200</v>
      </c>
      <c r="G320" s="7" t="s">
        <v>1977</v>
      </c>
      <c r="H320" s="46" t="str">
        <f t="shared" si="1"/>
        <v>Albatros F2  -  ACKC F1</v>
      </c>
      <c r="I320" s="40">
        <v>0.41666666666666669</v>
      </c>
      <c r="J320" s="7" t="s">
        <v>287</v>
      </c>
      <c r="K320" s="7" t="s">
        <v>1732</v>
      </c>
      <c r="L320" s="7" t="s">
        <v>843</v>
      </c>
      <c r="M320" s="7" t="s">
        <v>1978</v>
      </c>
    </row>
    <row r="321" spans="1:13" ht="16.2">
      <c r="A321" s="7">
        <v>30569</v>
      </c>
      <c r="B321" s="7" t="s">
        <v>1733</v>
      </c>
      <c r="C321" s="7" t="s">
        <v>284</v>
      </c>
      <c r="D321" s="47">
        <v>43141</v>
      </c>
      <c r="E321" s="7" t="s">
        <v>1217</v>
      </c>
      <c r="F321" s="7" t="s">
        <v>1200</v>
      </c>
      <c r="G321" s="7" t="s">
        <v>1979</v>
      </c>
      <c r="H321" s="46" t="str">
        <f t="shared" si="1"/>
        <v>Albatros F2  -  HKC (Ha) F3</v>
      </c>
      <c r="I321" s="40">
        <v>0.41666666666666669</v>
      </c>
      <c r="J321" s="7" t="s">
        <v>287</v>
      </c>
      <c r="K321" s="7" t="s">
        <v>1732</v>
      </c>
      <c r="L321" s="7" t="s">
        <v>843</v>
      </c>
      <c r="M321" s="7" t="s">
        <v>14</v>
      </c>
    </row>
    <row r="322" spans="1:13" ht="16.2">
      <c r="A322" s="7">
        <v>31736</v>
      </c>
      <c r="B322" s="7" t="s">
        <v>1733</v>
      </c>
      <c r="C322" s="7" t="s">
        <v>284</v>
      </c>
      <c r="D322" s="47">
        <v>43169</v>
      </c>
      <c r="E322" s="7" t="s">
        <v>1217</v>
      </c>
      <c r="F322" s="7" t="s">
        <v>1200</v>
      </c>
      <c r="G322" s="7" t="s">
        <v>1980</v>
      </c>
      <c r="H322" s="46" t="str">
        <f t="shared" si="1"/>
        <v>Albatros F2  -  Oranje Wit (D) F1</v>
      </c>
      <c r="I322" s="40">
        <v>0.375</v>
      </c>
      <c r="J322" s="7" t="s">
        <v>287</v>
      </c>
      <c r="K322" s="7" t="s">
        <v>1732</v>
      </c>
      <c r="L322" s="7" t="s">
        <v>843</v>
      </c>
      <c r="M322" s="7" t="s">
        <v>14</v>
      </c>
    </row>
    <row r="323" spans="1:13" ht="16.2">
      <c r="A323" s="7">
        <v>29895</v>
      </c>
      <c r="B323" s="7" t="s">
        <v>1626</v>
      </c>
      <c r="C323" s="7" t="s">
        <v>284</v>
      </c>
      <c r="D323" s="45">
        <v>43057</v>
      </c>
      <c r="E323" s="7" t="s">
        <v>1366</v>
      </c>
      <c r="F323" s="7" t="s">
        <v>1200</v>
      </c>
      <c r="G323" s="7" t="s">
        <v>1981</v>
      </c>
      <c r="H323" s="46" t="str">
        <f t="shared" si="1"/>
        <v>Albatros F1  -  Vriendenschaar (H) F1</v>
      </c>
      <c r="I323" s="40">
        <v>0.54166666666666663</v>
      </c>
      <c r="J323" s="7" t="s">
        <v>287</v>
      </c>
      <c r="K323" s="7" t="s">
        <v>1615</v>
      </c>
      <c r="L323" s="7" t="s">
        <v>838</v>
      </c>
      <c r="M323" s="7" t="s">
        <v>558</v>
      </c>
    </row>
    <row r="324" spans="1:13" ht="16.2">
      <c r="A324" s="7">
        <v>31218</v>
      </c>
      <c r="B324" s="7" t="s">
        <v>1626</v>
      </c>
      <c r="C324" s="7" t="s">
        <v>284</v>
      </c>
      <c r="D324" s="47">
        <v>43071</v>
      </c>
      <c r="E324" s="7" t="s">
        <v>1366</v>
      </c>
      <c r="F324" s="7" t="s">
        <v>1200</v>
      </c>
      <c r="G324" s="7" t="s">
        <v>1982</v>
      </c>
      <c r="H324" s="46" t="str">
        <f t="shared" si="1"/>
        <v>Albatros F1  -  Movado F1</v>
      </c>
      <c r="I324" s="40">
        <v>0.375</v>
      </c>
      <c r="J324" s="7" t="s">
        <v>287</v>
      </c>
      <c r="K324" s="7" t="s">
        <v>1732</v>
      </c>
      <c r="L324" s="7" t="s">
        <v>838</v>
      </c>
      <c r="M324" s="7" t="s">
        <v>785</v>
      </c>
    </row>
    <row r="325" spans="1:13" ht="16.2">
      <c r="A325" s="7">
        <v>30050</v>
      </c>
      <c r="B325" s="7" t="s">
        <v>1626</v>
      </c>
      <c r="C325" s="7" t="s">
        <v>284</v>
      </c>
      <c r="D325" s="47">
        <v>43113</v>
      </c>
      <c r="E325" s="7" t="s">
        <v>1366</v>
      </c>
      <c r="F325" s="7" t="s">
        <v>1200</v>
      </c>
      <c r="G325" s="7" t="s">
        <v>1983</v>
      </c>
      <c r="H325" s="46" t="str">
        <f t="shared" si="1"/>
        <v>Albatros F1  -  GKV/Enomics F1</v>
      </c>
      <c r="I325" s="40">
        <v>0.39583333333333331</v>
      </c>
      <c r="J325" s="7" t="s">
        <v>373</v>
      </c>
      <c r="K325" s="7" t="s">
        <v>1615</v>
      </c>
      <c r="L325" s="7" t="s">
        <v>838</v>
      </c>
      <c r="M325" s="7" t="s">
        <v>399</v>
      </c>
    </row>
    <row r="326" spans="1:13" ht="16.2">
      <c r="A326" s="7">
        <v>30820</v>
      </c>
      <c r="B326" s="7" t="s">
        <v>1626</v>
      </c>
      <c r="C326" s="7" t="s">
        <v>284</v>
      </c>
      <c r="D326" s="47">
        <v>43127</v>
      </c>
      <c r="E326" s="7" t="s">
        <v>1366</v>
      </c>
      <c r="F326" s="7" t="s">
        <v>1200</v>
      </c>
      <c r="G326" s="7" t="s">
        <v>1984</v>
      </c>
      <c r="H326" s="46" t="str">
        <f t="shared" si="1"/>
        <v>Albatros F1  -  PKC/SWKGroep F1</v>
      </c>
      <c r="I326" s="40">
        <v>0.375</v>
      </c>
      <c r="J326" s="7" t="s">
        <v>373</v>
      </c>
      <c r="K326" s="7" t="s">
        <v>1615</v>
      </c>
      <c r="L326" s="7" t="s">
        <v>838</v>
      </c>
      <c r="M326" s="7" t="s">
        <v>14</v>
      </c>
    </row>
    <row r="327" spans="1:13" ht="16.2">
      <c r="A327" s="7">
        <v>30570</v>
      </c>
      <c r="B327" s="7" t="s">
        <v>1626</v>
      </c>
      <c r="C327" s="7" t="s">
        <v>284</v>
      </c>
      <c r="D327" s="47">
        <v>43141</v>
      </c>
      <c r="E327" s="7" t="s">
        <v>1366</v>
      </c>
      <c r="F327" s="7" t="s">
        <v>1200</v>
      </c>
      <c r="G327" s="7" t="s">
        <v>1985</v>
      </c>
      <c r="H327" s="46" t="str">
        <f t="shared" si="1"/>
        <v>Albatros F1  -  Voltreffers F1</v>
      </c>
      <c r="I327" s="40">
        <v>0.41666666666666669</v>
      </c>
      <c r="J327" s="7" t="s">
        <v>287</v>
      </c>
      <c r="K327" s="7" t="s">
        <v>1615</v>
      </c>
      <c r="L327" s="7" t="s">
        <v>838</v>
      </c>
      <c r="M327" s="7" t="s">
        <v>14</v>
      </c>
    </row>
    <row r="328" spans="1:13" ht="16.2">
      <c r="A328" s="7">
        <v>31737</v>
      </c>
      <c r="B328" s="7" t="s">
        <v>1626</v>
      </c>
      <c r="C328" s="7" t="s">
        <v>284</v>
      </c>
      <c r="D328" s="47">
        <v>43162</v>
      </c>
      <c r="E328" s="7" t="s">
        <v>1366</v>
      </c>
      <c r="F328" s="7" t="s">
        <v>1200</v>
      </c>
      <c r="G328" s="7" t="s">
        <v>1986</v>
      </c>
      <c r="H328" s="46" t="str">
        <f t="shared" si="1"/>
        <v>Albatros F1  -  Merwede/Multiplaat F1</v>
      </c>
      <c r="I328" s="40">
        <v>0.375</v>
      </c>
      <c r="J328" s="7" t="s">
        <v>287</v>
      </c>
      <c r="K328" s="7" t="s">
        <v>1615</v>
      </c>
      <c r="L328" s="7" t="s">
        <v>838</v>
      </c>
      <c r="M328" s="7" t="s">
        <v>14</v>
      </c>
    </row>
    <row r="329" spans="1:13" ht="16.2">
      <c r="A329" s="7">
        <v>33059</v>
      </c>
      <c r="B329" s="7" t="s">
        <v>1746</v>
      </c>
      <c r="C329" s="7" t="s">
        <v>284</v>
      </c>
      <c r="D329" s="45">
        <v>43064</v>
      </c>
      <c r="E329" s="7" t="s">
        <v>1223</v>
      </c>
      <c r="F329" s="7" t="s">
        <v>1200</v>
      </c>
      <c r="G329" s="7" t="s">
        <v>1987</v>
      </c>
      <c r="H329" s="46" t="str">
        <f t="shared" si="1"/>
        <v>Albatros E7  -  Avanti (P) E9</v>
      </c>
      <c r="I329" s="40">
        <v>0.375</v>
      </c>
      <c r="J329" s="7" t="s">
        <v>287</v>
      </c>
      <c r="K329" s="7" t="s">
        <v>1615</v>
      </c>
      <c r="L329" s="7" t="s">
        <v>799</v>
      </c>
      <c r="M329" s="7" t="s">
        <v>1975</v>
      </c>
    </row>
    <row r="330" spans="1:13" ht="16.2">
      <c r="A330" s="7">
        <v>34390</v>
      </c>
      <c r="B330" s="7" t="s">
        <v>1746</v>
      </c>
      <c r="C330" s="7" t="s">
        <v>284</v>
      </c>
      <c r="D330" s="47">
        <v>43078</v>
      </c>
      <c r="E330" s="7" t="s">
        <v>1223</v>
      </c>
      <c r="F330" s="7" t="s">
        <v>1200</v>
      </c>
      <c r="G330" s="7" t="s">
        <v>1988</v>
      </c>
      <c r="H330" s="46" t="str">
        <f t="shared" si="1"/>
        <v>Albatros E7  -  DVS '69 E3</v>
      </c>
      <c r="I330" s="40">
        <v>0.61458333333333337</v>
      </c>
      <c r="J330" s="7" t="s">
        <v>287</v>
      </c>
      <c r="K330" s="7" t="s">
        <v>1732</v>
      </c>
      <c r="L330" s="7" t="s">
        <v>799</v>
      </c>
      <c r="M330" s="7" t="s">
        <v>1989</v>
      </c>
    </row>
    <row r="331" spans="1:13" ht="16.2">
      <c r="A331" s="7">
        <v>33864</v>
      </c>
      <c r="B331" s="7" t="s">
        <v>1746</v>
      </c>
      <c r="C331" s="7" t="s">
        <v>284</v>
      </c>
      <c r="D331" s="47">
        <v>43106</v>
      </c>
      <c r="E331" s="7" t="s">
        <v>1223</v>
      </c>
      <c r="F331" s="7" t="s">
        <v>1200</v>
      </c>
      <c r="G331" s="7" t="s">
        <v>1990</v>
      </c>
      <c r="H331" s="46" t="str">
        <f t="shared" si="1"/>
        <v>Albatros E7  -  Nieuwerkerk E6</v>
      </c>
      <c r="I331" s="40">
        <v>0.41666666666666669</v>
      </c>
      <c r="J331" s="7" t="s">
        <v>287</v>
      </c>
      <c r="K331" s="7" t="s">
        <v>1615</v>
      </c>
      <c r="L331" s="7" t="s">
        <v>799</v>
      </c>
      <c r="M331" s="7" t="s">
        <v>1978</v>
      </c>
    </row>
    <row r="332" spans="1:13" ht="16.2">
      <c r="A332" s="7">
        <v>34671</v>
      </c>
      <c r="B332" s="7" t="s">
        <v>1746</v>
      </c>
      <c r="C332" s="7" t="s">
        <v>284</v>
      </c>
      <c r="D332" s="47">
        <v>43134</v>
      </c>
      <c r="E332" s="7" t="s">
        <v>1223</v>
      </c>
      <c r="F332" s="7" t="s">
        <v>1200</v>
      </c>
      <c r="G332" s="7" t="s">
        <v>1991</v>
      </c>
      <c r="H332" s="46" t="str">
        <f t="shared" si="1"/>
        <v>Albatros E7  -  OZC E3</v>
      </c>
      <c r="I332" s="40">
        <v>0.375</v>
      </c>
      <c r="J332" s="7" t="s">
        <v>373</v>
      </c>
      <c r="K332" s="7" t="s">
        <v>1615</v>
      </c>
      <c r="L332" s="7" t="s">
        <v>799</v>
      </c>
      <c r="M332" s="7" t="s">
        <v>14</v>
      </c>
    </row>
    <row r="333" spans="1:13" ht="16.2">
      <c r="A333" s="7">
        <v>37966</v>
      </c>
      <c r="B333" s="7" t="s">
        <v>1746</v>
      </c>
      <c r="C333" s="7" t="s">
        <v>284</v>
      </c>
      <c r="D333" s="47">
        <v>43148</v>
      </c>
      <c r="E333" s="7" t="s">
        <v>1223</v>
      </c>
      <c r="F333" s="7" t="s">
        <v>1200</v>
      </c>
      <c r="G333" s="7" t="s">
        <v>1992</v>
      </c>
      <c r="H333" s="46" t="str">
        <f t="shared" si="1"/>
        <v>Albatros E7  -  ODO E4</v>
      </c>
      <c r="I333" s="40">
        <v>0.41666666666666669</v>
      </c>
      <c r="J333" s="7" t="s">
        <v>305</v>
      </c>
      <c r="K333" s="7" t="s">
        <v>1618</v>
      </c>
      <c r="L333" s="7" t="s">
        <v>799</v>
      </c>
      <c r="M333" s="7" t="s">
        <v>14</v>
      </c>
    </row>
    <row r="334" spans="1:13" ht="16.2">
      <c r="A334" s="7">
        <v>33339</v>
      </c>
      <c r="B334" s="7" t="s">
        <v>1746</v>
      </c>
      <c r="C334" s="7" t="s">
        <v>284</v>
      </c>
      <c r="D334" s="47">
        <v>43162</v>
      </c>
      <c r="E334" s="7" t="s">
        <v>1223</v>
      </c>
      <c r="F334" s="7" t="s">
        <v>1200</v>
      </c>
      <c r="G334" s="7" t="s">
        <v>1993</v>
      </c>
      <c r="H334" s="46" t="str">
        <f t="shared" si="1"/>
        <v>Albatros E7  -  Fortuna/Delta Logistiek E8</v>
      </c>
      <c r="I334" s="40">
        <v>0.375</v>
      </c>
      <c r="J334" s="7" t="s">
        <v>287</v>
      </c>
      <c r="K334" s="7" t="s">
        <v>1615</v>
      </c>
      <c r="L334" s="7" t="s">
        <v>799</v>
      </c>
      <c r="M334" s="7" t="s">
        <v>14</v>
      </c>
    </row>
    <row r="335" spans="1:13" ht="16.2">
      <c r="A335" s="7">
        <v>33046</v>
      </c>
      <c r="B335" s="7" t="s">
        <v>1628</v>
      </c>
      <c r="C335" s="7" t="s">
        <v>284</v>
      </c>
      <c r="D335" s="45">
        <v>43057</v>
      </c>
      <c r="E335" s="7" t="s">
        <v>1372</v>
      </c>
      <c r="F335" s="7" t="s">
        <v>1200</v>
      </c>
      <c r="G335" s="7" t="s">
        <v>1994</v>
      </c>
      <c r="H335" s="46" t="str">
        <f t="shared" si="1"/>
        <v>Albatros E6  -  Kinderdijk E4</v>
      </c>
      <c r="I335" s="40">
        <v>0.54166666666666663</v>
      </c>
      <c r="J335" s="7" t="s">
        <v>287</v>
      </c>
      <c r="K335" s="7" t="s">
        <v>1615</v>
      </c>
      <c r="L335" s="7" t="s">
        <v>384</v>
      </c>
      <c r="M335" s="7" t="s">
        <v>788</v>
      </c>
    </row>
    <row r="336" spans="1:13" ht="16.2">
      <c r="A336" s="7">
        <v>33216</v>
      </c>
      <c r="B336" s="7" t="s">
        <v>1628</v>
      </c>
      <c r="C336" s="7" t="s">
        <v>284</v>
      </c>
      <c r="D336" s="45">
        <v>43085</v>
      </c>
      <c r="E336" s="7" t="s">
        <v>1372</v>
      </c>
      <c r="F336" s="7" t="s">
        <v>1200</v>
      </c>
      <c r="G336" s="7" t="s">
        <v>1373</v>
      </c>
      <c r="H336" s="46" t="str">
        <f t="shared" si="1"/>
        <v>Albatros E6  -  PKC/SWKGroep E7</v>
      </c>
      <c r="I336" s="40">
        <v>0.41319444444444442</v>
      </c>
      <c r="J336" s="7" t="s">
        <v>287</v>
      </c>
      <c r="K336" s="7" t="s">
        <v>1615</v>
      </c>
      <c r="L336" s="7" t="s">
        <v>384</v>
      </c>
      <c r="M336" s="7" t="s">
        <v>1964</v>
      </c>
    </row>
    <row r="337" spans="1:13" ht="16.2">
      <c r="A337" s="7">
        <v>34214</v>
      </c>
      <c r="B337" s="7" t="s">
        <v>1628</v>
      </c>
      <c r="C337" s="7" t="s">
        <v>284</v>
      </c>
      <c r="D337" s="45">
        <v>43092</v>
      </c>
      <c r="E337" s="7" t="s">
        <v>1372</v>
      </c>
      <c r="F337" s="7" t="s">
        <v>1200</v>
      </c>
      <c r="G337" s="7" t="s">
        <v>1995</v>
      </c>
      <c r="H337" s="46" t="str">
        <f t="shared" si="1"/>
        <v>Albatros E6  -  GKV/Enomics E3</v>
      </c>
      <c r="I337" s="40">
        <v>0.41666666666666669</v>
      </c>
      <c r="J337" s="7" t="s">
        <v>287</v>
      </c>
      <c r="K337" s="7" t="s">
        <v>1615</v>
      </c>
      <c r="L337" s="7" t="s">
        <v>384</v>
      </c>
      <c r="M337" s="7" t="s">
        <v>1978</v>
      </c>
    </row>
    <row r="338" spans="1:13" ht="16.2">
      <c r="A338" s="7">
        <v>33324</v>
      </c>
      <c r="B338" s="7" t="s">
        <v>1628</v>
      </c>
      <c r="C338" s="7" t="s">
        <v>284</v>
      </c>
      <c r="D338" s="47">
        <v>43113</v>
      </c>
      <c r="E338" s="7" t="s">
        <v>1372</v>
      </c>
      <c r="F338" s="7" t="s">
        <v>1200</v>
      </c>
      <c r="G338" s="7" t="s">
        <v>1996</v>
      </c>
      <c r="H338" s="46" t="str">
        <f t="shared" si="1"/>
        <v>Albatros E6  -  Vriendenschaar (H) E5</v>
      </c>
      <c r="I338" s="40">
        <v>0.375</v>
      </c>
      <c r="J338" s="7" t="s">
        <v>287</v>
      </c>
      <c r="K338" s="7" t="s">
        <v>1732</v>
      </c>
      <c r="L338" s="7" t="s">
        <v>384</v>
      </c>
      <c r="M338" s="7" t="s">
        <v>1960</v>
      </c>
    </row>
    <row r="339" spans="1:13" ht="16.2">
      <c r="A339" s="7">
        <v>34658</v>
      </c>
      <c r="B339" s="7" t="s">
        <v>1628</v>
      </c>
      <c r="C339" s="7" t="s">
        <v>284</v>
      </c>
      <c r="D339" s="47">
        <v>43127</v>
      </c>
      <c r="E339" s="7" t="s">
        <v>1372</v>
      </c>
      <c r="F339" s="7" t="s">
        <v>1200</v>
      </c>
      <c r="G339" s="7" t="s">
        <v>1997</v>
      </c>
      <c r="H339" s="46" t="str">
        <f t="shared" si="1"/>
        <v>Albatros E6  -  SKV E1</v>
      </c>
      <c r="I339" s="40">
        <v>0.41666666666666669</v>
      </c>
      <c r="J339" s="7" t="s">
        <v>373</v>
      </c>
      <c r="K339" s="7" t="s">
        <v>1615</v>
      </c>
      <c r="L339" s="7" t="s">
        <v>384</v>
      </c>
      <c r="M339" s="7" t="s">
        <v>14</v>
      </c>
    </row>
    <row r="340" spans="1:13" ht="16.2">
      <c r="A340" s="7">
        <v>36209</v>
      </c>
      <c r="B340" s="7" t="s">
        <v>1628</v>
      </c>
      <c r="C340" s="7" t="s">
        <v>284</v>
      </c>
      <c r="D340" s="47">
        <v>43169</v>
      </c>
      <c r="E340" s="7" t="s">
        <v>1372</v>
      </c>
      <c r="F340" s="7" t="s">
        <v>1200</v>
      </c>
      <c r="G340" s="7" t="s">
        <v>1998</v>
      </c>
      <c r="H340" s="46" t="str">
        <f t="shared" si="1"/>
        <v>Albatros E6  -  KCR E5</v>
      </c>
      <c r="I340" s="40">
        <v>0.41319444444444442</v>
      </c>
      <c r="J340" s="7" t="s">
        <v>287</v>
      </c>
      <c r="K340" s="7" t="s">
        <v>1732</v>
      </c>
      <c r="L340" s="7" t="s">
        <v>384</v>
      </c>
      <c r="M340" s="7" t="s">
        <v>14</v>
      </c>
    </row>
    <row r="341" spans="1:13" ht="16.2">
      <c r="A341" s="7">
        <v>34354</v>
      </c>
      <c r="B341" s="7" t="s">
        <v>1674</v>
      </c>
      <c r="C341" s="7" t="s">
        <v>284</v>
      </c>
      <c r="D341" s="45">
        <v>43050</v>
      </c>
      <c r="E341" s="7" t="s">
        <v>1374</v>
      </c>
      <c r="F341" s="7" t="s">
        <v>1200</v>
      </c>
      <c r="G341" s="7" t="s">
        <v>1435</v>
      </c>
      <c r="H341" s="46" t="str">
        <f t="shared" si="1"/>
        <v>Albatros E5  -  Kinderdijk E5</v>
      </c>
      <c r="I341" s="40">
        <v>0.375</v>
      </c>
      <c r="J341" s="7" t="s">
        <v>287</v>
      </c>
      <c r="K341" s="7" t="s">
        <v>1615</v>
      </c>
      <c r="L341" s="7" t="s">
        <v>751</v>
      </c>
      <c r="M341" s="7" t="s">
        <v>1989</v>
      </c>
    </row>
    <row r="342" spans="1:13" ht="16.2">
      <c r="A342" s="7">
        <v>33102</v>
      </c>
      <c r="B342" s="7" t="s">
        <v>1674</v>
      </c>
      <c r="C342" s="7" t="s">
        <v>284</v>
      </c>
      <c r="D342" s="45">
        <v>43064</v>
      </c>
      <c r="E342" s="7" t="s">
        <v>1374</v>
      </c>
      <c r="F342" s="7" t="s">
        <v>1200</v>
      </c>
      <c r="G342" s="7" t="s">
        <v>1999</v>
      </c>
      <c r="H342" s="46" t="str">
        <f t="shared" si="1"/>
        <v>Albatros E5  -  Twist E3</v>
      </c>
      <c r="I342" s="40">
        <v>0.41666666666666669</v>
      </c>
      <c r="J342" s="7" t="s">
        <v>287</v>
      </c>
      <c r="K342" s="7" t="s">
        <v>1615</v>
      </c>
      <c r="L342" s="7" t="s">
        <v>751</v>
      </c>
      <c r="M342" s="7" t="s">
        <v>550</v>
      </c>
    </row>
    <row r="343" spans="1:13" ht="16.2">
      <c r="A343" s="7">
        <v>33916</v>
      </c>
      <c r="B343" s="7" t="s">
        <v>1674</v>
      </c>
      <c r="C343" s="7" t="s">
        <v>284</v>
      </c>
      <c r="D343" s="47">
        <v>43106</v>
      </c>
      <c r="E343" s="7" t="s">
        <v>1374</v>
      </c>
      <c r="F343" s="7" t="s">
        <v>1200</v>
      </c>
      <c r="G343" s="7" t="s">
        <v>2000</v>
      </c>
      <c r="H343" s="46" t="str">
        <f t="shared" si="1"/>
        <v>Albatros E5  -  PKC/SWKGroep E8</v>
      </c>
      <c r="I343" s="40">
        <v>0.375</v>
      </c>
      <c r="J343" s="7" t="s">
        <v>287</v>
      </c>
      <c r="K343" s="7" t="s">
        <v>1615</v>
      </c>
      <c r="L343" s="7" t="s">
        <v>751</v>
      </c>
      <c r="M343" s="7" t="s">
        <v>1955</v>
      </c>
    </row>
    <row r="344" spans="1:13" ht="16.2">
      <c r="A344" s="7">
        <v>33384</v>
      </c>
      <c r="B344" s="7" t="s">
        <v>1674</v>
      </c>
      <c r="C344" s="7" t="s">
        <v>284</v>
      </c>
      <c r="D344" s="47">
        <v>43120</v>
      </c>
      <c r="E344" s="7" t="s">
        <v>1374</v>
      </c>
      <c r="F344" s="7" t="s">
        <v>1200</v>
      </c>
      <c r="G344" s="7" t="s">
        <v>1482</v>
      </c>
      <c r="H344" s="46" t="str">
        <f t="shared" si="1"/>
        <v>Albatros E5  -  SKV E2</v>
      </c>
      <c r="I344" s="40">
        <v>0.41319444444444442</v>
      </c>
      <c r="J344" s="7" t="s">
        <v>287</v>
      </c>
      <c r="K344" s="7" t="s">
        <v>1615</v>
      </c>
      <c r="L344" s="7" t="s">
        <v>751</v>
      </c>
      <c r="M344" s="7" t="s">
        <v>14</v>
      </c>
    </row>
    <row r="345" spans="1:13" ht="16.2">
      <c r="A345" s="7">
        <v>34722</v>
      </c>
      <c r="B345" s="7" t="s">
        <v>1674</v>
      </c>
      <c r="C345" s="7" t="s">
        <v>284</v>
      </c>
      <c r="D345" s="47">
        <v>43134</v>
      </c>
      <c r="E345" s="7" t="s">
        <v>1374</v>
      </c>
      <c r="F345" s="7" t="s">
        <v>1200</v>
      </c>
      <c r="G345" s="7" t="s">
        <v>2001</v>
      </c>
      <c r="H345" s="46" t="str">
        <f t="shared" si="1"/>
        <v>Albatros E5  -  Sperwers E1</v>
      </c>
      <c r="I345" s="40">
        <v>0.375</v>
      </c>
      <c r="J345" s="7" t="s">
        <v>373</v>
      </c>
      <c r="K345" s="7" t="s">
        <v>1618</v>
      </c>
      <c r="L345" s="7" t="s">
        <v>751</v>
      </c>
      <c r="M345" s="7" t="s">
        <v>14</v>
      </c>
    </row>
    <row r="346" spans="1:13" ht="16.2">
      <c r="A346" s="7">
        <v>32765</v>
      </c>
      <c r="B346" s="7" t="s">
        <v>1674</v>
      </c>
      <c r="C346" s="7" t="s">
        <v>284</v>
      </c>
      <c r="D346" s="47">
        <v>43148</v>
      </c>
      <c r="E346" s="7" t="s">
        <v>1374</v>
      </c>
      <c r="F346" s="7" t="s">
        <v>1200</v>
      </c>
      <c r="G346" s="7" t="s">
        <v>2002</v>
      </c>
      <c r="H346" s="46" t="str">
        <f t="shared" si="1"/>
        <v>Albatros E5  -  HKC (Ha) E5</v>
      </c>
      <c r="I346" s="40">
        <v>0.41666666666666669</v>
      </c>
      <c r="J346" s="7" t="s">
        <v>305</v>
      </c>
      <c r="K346" s="7" t="s">
        <v>1615</v>
      </c>
      <c r="L346" s="7" t="s">
        <v>751</v>
      </c>
      <c r="M346" s="7" t="s">
        <v>14</v>
      </c>
    </row>
    <row r="347" spans="1:13" ht="16.2">
      <c r="A347" s="7">
        <v>34355</v>
      </c>
      <c r="B347" s="7" t="s">
        <v>1632</v>
      </c>
      <c r="C347" s="7" t="s">
        <v>284</v>
      </c>
      <c r="D347" s="45">
        <v>43050</v>
      </c>
      <c r="E347" s="7" t="s">
        <v>1376</v>
      </c>
      <c r="F347" s="7" t="s">
        <v>1200</v>
      </c>
      <c r="G347" s="7" t="s">
        <v>1485</v>
      </c>
      <c r="H347" s="46" t="str">
        <f t="shared" si="1"/>
        <v>Albatros E4  -  Vriendenschaar (H) E2</v>
      </c>
      <c r="I347" s="40">
        <v>0.375</v>
      </c>
      <c r="J347" s="7" t="s">
        <v>287</v>
      </c>
      <c r="K347" s="7" t="s">
        <v>1732</v>
      </c>
      <c r="L347" s="7" t="s">
        <v>747</v>
      </c>
      <c r="M347" s="7" t="s">
        <v>1958</v>
      </c>
    </row>
    <row r="348" spans="1:13" ht="16.2">
      <c r="A348" s="7">
        <v>34723</v>
      </c>
      <c r="B348" s="7" t="s">
        <v>1632</v>
      </c>
      <c r="C348" s="7" t="s">
        <v>284</v>
      </c>
      <c r="D348" s="45">
        <v>43057</v>
      </c>
      <c r="E348" s="7" t="s">
        <v>1376</v>
      </c>
      <c r="F348" s="7" t="s">
        <v>1200</v>
      </c>
      <c r="G348" s="7" t="s">
        <v>2003</v>
      </c>
      <c r="H348" s="46" t="str">
        <f t="shared" si="1"/>
        <v>Albatros E4  -  NIO E3</v>
      </c>
      <c r="I348" s="40">
        <v>0.58333333333333337</v>
      </c>
      <c r="J348" s="7" t="s">
        <v>287</v>
      </c>
      <c r="K348" s="7" t="s">
        <v>1615</v>
      </c>
      <c r="L348" s="7" t="s">
        <v>747</v>
      </c>
      <c r="M348" s="7" t="s">
        <v>2004</v>
      </c>
    </row>
    <row r="349" spans="1:13" ht="16.2">
      <c r="A349" s="7">
        <v>33103</v>
      </c>
      <c r="B349" s="7" t="s">
        <v>1632</v>
      </c>
      <c r="C349" s="7" t="s">
        <v>284</v>
      </c>
      <c r="D349" s="45">
        <v>43064</v>
      </c>
      <c r="E349" s="7" t="s">
        <v>1376</v>
      </c>
      <c r="F349" s="7" t="s">
        <v>1200</v>
      </c>
      <c r="G349" s="7" t="s">
        <v>2005</v>
      </c>
      <c r="H349" s="46" t="str">
        <f t="shared" si="1"/>
        <v>Albatros E4  -  PKC/SWKGroep E6</v>
      </c>
      <c r="I349" s="40">
        <v>0.45833333333333331</v>
      </c>
      <c r="J349" s="7" t="s">
        <v>373</v>
      </c>
      <c r="K349" s="7" t="s">
        <v>1615</v>
      </c>
      <c r="L349" s="7" t="s">
        <v>747</v>
      </c>
      <c r="M349" s="7" t="s">
        <v>399</v>
      </c>
    </row>
    <row r="350" spans="1:13" ht="16.2">
      <c r="A350" s="7">
        <v>33917</v>
      </c>
      <c r="B350" s="7" t="s">
        <v>1632</v>
      </c>
      <c r="C350" s="7" t="s">
        <v>284</v>
      </c>
      <c r="D350" s="47">
        <v>43106</v>
      </c>
      <c r="E350" s="7" t="s">
        <v>1376</v>
      </c>
      <c r="F350" s="7" t="s">
        <v>1200</v>
      </c>
      <c r="G350" s="7" t="s">
        <v>2006</v>
      </c>
      <c r="H350" s="46" t="str">
        <f t="shared" si="1"/>
        <v>Albatros E4  -  Movado E1</v>
      </c>
      <c r="I350" s="40">
        <v>0.41666666666666669</v>
      </c>
      <c r="J350" s="7" t="s">
        <v>287</v>
      </c>
      <c r="K350" s="7" t="s">
        <v>1732</v>
      </c>
      <c r="L350" s="7" t="s">
        <v>747</v>
      </c>
      <c r="M350" s="7" t="s">
        <v>1958</v>
      </c>
    </row>
    <row r="351" spans="1:13" ht="16.2">
      <c r="A351" s="7">
        <v>33385</v>
      </c>
      <c r="B351" s="7" t="s">
        <v>1632</v>
      </c>
      <c r="C351" s="7" t="s">
        <v>284</v>
      </c>
      <c r="D351" s="47">
        <v>43120</v>
      </c>
      <c r="E351" s="7" t="s">
        <v>1376</v>
      </c>
      <c r="F351" s="7" t="s">
        <v>1200</v>
      </c>
      <c r="G351" s="7" t="s">
        <v>2007</v>
      </c>
      <c r="H351" s="46" t="str">
        <f t="shared" si="1"/>
        <v>Albatros E4  -  Kinderdijk E3</v>
      </c>
      <c r="I351" s="40">
        <v>0.375</v>
      </c>
      <c r="J351" s="7" t="s">
        <v>287</v>
      </c>
      <c r="K351" s="7" t="s">
        <v>1732</v>
      </c>
      <c r="L351" s="7" t="s">
        <v>747</v>
      </c>
      <c r="M351" s="7" t="s">
        <v>800</v>
      </c>
    </row>
    <row r="352" spans="1:13" ht="16.2">
      <c r="A352" s="7">
        <v>32766</v>
      </c>
      <c r="B352" s="7" t="s">
        <v>1632</v>
      </c>
      <c r="C352" s="7" t="s">
        <v>284</v>
      </c>
      <c r="D352" s="47">
        <v>43148</v>
      </c>
      <c r="E352" s="7" t="s">
        <v>1376</v>
      </c>
      <c r="F352" s="7" t="s">
        <v>1200</v>
      </c>
      <c r="G352" s="7" t="s">
        <v>1377</v>
      </c>
      <c r="H352" s="46" t="str">
        <f t="shared" si="1"/>
        <v>Albatros E4  -  HKC (Ha) E3</v>
      </c>
      <c r="I352" s="40">
        <v>0.41666666666666669</v>
      </c>
      <c r="J352" s="7" t="s">
        <v>305</v>
      </c>
      <c r="K352" s="7" t="s">
        <v>1615</v>
      </c>
      <c r="L352" s="7" t="s">
        <v>747</v>
      </c>
      <c r="M352" s="7" t="s">
        <v>14</v>
      </c>
    </row>
    <row r="353" spans="1:13" ht="16.2">
      <c r="A353" s="7">
        <v>33015</v>
      </c>
      <c r="B353" s="7" t="s">
        <v>1616</v>
      </c>
      <c r="C353" s="7" t="s">
        <v>284</v>
      </c>
      <c r="D353" s="45">
        <v>43057</v>
      </c>
      <c r="E353" s="7" t="s">
        <v>1378</v>
      </c>
      <c r="F353" s="7" t="s">
        <v>1200</v>
      </c>
      <c r="G353" s="7" t="s">
        <v>2008</v>
      </c>
      <c r="H353" s="46" t="str">
        <f t="shared" si="1"/>
        <v>Albatros E3  -  Nexus E2</v>
      </c>
      <c r="I353" s="40">
        <v>0.625</v>
      </c>
      <c r="J353" s="7" t="s">
        <v>287</v>
      </c>
      <c r="K353" s="7" t="s">
        <v>1732</v>
      </c>
      <c r="L353" s="7" t="s">
        <v>744</v>
      </c>
      <c r="M353" s="7" t="s">
        <v>1978</v>
      </c>
    </row>
    <row r="354" spans="1:13" ht="16.2">
      <c r="A354" s="7">
        <v>34184</v>
      </c>
      <c r="B354" s="7" t="s">
        <v>1616</v>
      </c>
      <c r="C354" s="7" t="s">
        <v>284</v>
      </c>
      <c r="D354" s="45">
        <v>43064</v>
      </c>
      <c r="E354" s="7" t="s">
        <v>1378</v>
      </c>
      <c r="F354" s="7" t="s">
        <v>1200</v>
      </c>
      <c r="G354" s="7" t="s">
        <v>2009</v>
      </c>
      <c r="H354" s="46" t="str">
        <f t="shared" si="1"/>
        <v>Albatros E3  -  Olympia (S) E2</v>
      </c>
      <c r="I354" s="40">
        <v>0.375</v>
      </c>
      <c r="J354" s="7" t="s">
        <v>287</v>
      </c>
      <c r="K354" s="7" t="s">
        <v>1732</v>
      </c>
      <c r="L354" s="7" t="s">
        <v>744</v>
      </c>
      <c r="M354" s="7" t="s">
        <v>800</v>
      </c>
    </row>
    <row r="355" spans="1:13" ht="16.2">
      <c r="A355" s="7">
        <v>35304</v>
      </c>
      <c r="B355" s="7" t="s">
        <v>1616</v>
      </c>
      <c r="C355" s="7" t="s">
        <v>284</v>
      </c>
      <c r="D355" s="47">
        <v>43071</v>
      </c>
      <c r="E355" s="7" t="s">
        <v>1378</v>
      </c>
      <c r="F355" s="7" t="s">
        <v>1200</v>
      </c>
      <c r="G355" s="7" t="s">
        <v>2010</v>
      </c>
      <c r="H355" s="46" t="str">
        <f t="shared" si="1"/>
        <v>Albatros E3  -  Merwede/Multiplaat E4</v>
      </c>
      <c r="I355" s="40">
        <v>0.375</v>
      </c>
      <c r="J355" s="7" t="s">
        <v>287</v>
      </c>
      <c r="K355" s="7" t="s">
        <v>1615</v>
      </c>
      <c r="L355" s="7" t="s">
        <v>744</v>
      </c>
      <c r="M355" s="7" t="s">
        <v>1989</v>
      </c>
    </row>
    <row r="356" spans="1:13" ht="16.2">
      <c r="A356" s="7">
        <v>33292</v>
      </c>
      <c r="B356" s="7" t="s">
        <v>1616</v>
      </c>
      <c r="C356" s="7" t="s">
        <v>284</v>
      </c>
      <c r="D356" s="47">
        <v>43113</v>
      </c>
      <c r="E356" s="7" t="s">
        <v>1378</v>
      </c>
      <c r="F356" s="7" t="s">
        <v>1200</v>
      </c>
      <c r="G356" s="7" t="s">
        <v>2011</v>
      </c>
      <c r="H356" s="46" t="str">
        <f t="shared" si="1"/>
        <v>Albatros E3  -  WION E1</v>
      </c>
      <c r="I356" s="40">
        <v>0.39583333333333331</v>
      </c>
      <c r="J356" s="7" t="s">
        <v>373</v>
      </c>
      <c r="K356" s="7" t="s">
        <v>1615</v>
      </c>
      <c r="L356" s="7" t="s">
        <v>744</v>
      </c>
      <c r="M356" s="7" t="s">
        <v>1964</v>
      </c>
    </row>
    <row r="357" spans="1:13" ht="16.2">
      <c r="A357" s="7">
        <v>34635</v>
      </c>
      <c r="B357" s="7" t="s">
        <v>1616</v>
      </c>
      <c r="C357" s="7" t="s">
        <v>284</v>
      </c>
      <c r="D357" s="47">
        <v>43127</v>
      </c>
      <c r="E357" s="7" t="s">
        <v>1378</v>
      </c>
      <c r="F357" s="7" t="s">
        <v>1200</v>
      </c>
      <c r="G357" s="7" t="s">
        <v>2012</v>
      </c>
      <c r="H357" s="46" t="str">
        <f t="shared" si="1"/>
        <v>Albatros E3  -  Ten Donck E1</v>
      </c>
      <c r="I357" s="40">
        <v>0.41666666666666669</v>
      </c>
      <c r="J357" s="7" t="s">
        <v>373</v>
      </c>
      <c r="K357" s="7" t="s">
        <v>1618</v>
      </c>
      <c r="L357" s="7" t="s">
        <v>744</v>
      </c>
      <c r="M357" s="7" t="s">
        <v>14</v>
      </c>
    </row>
    <row r="358" spans="1:13" ht="16.2">
      <c r="A358" s="7">
        <v>36183</v>
      </c>
      <c r="B358" s="7" t="s">
        <v>1616</v>
      </c>
      <c r="C358" s="7" t="s">
        <v>284</v>
      </c>
      <c r="D358" s="47">
        <v>43169</v>
      </c>
      <c r="E358" s="7" t="s">
        <v>1378</v>
      </c>
      <c r="F358" s="7" t="s">
        <v>1200</v>
      </c>
      <c r="G358" s="7" t="s">
        <v>2013</v>
      </c>
      <c r="H358" s="46" t="str">
        <f t="shared" si="1"/>
        <v>Albatros E3  -  PKC/SWKGroep E5</v>
      </c>
      <c r="I358" s="40">
        <v>0.375</v>
      </c>
      <c r="J358" s="7" t="s">
        <v>287</v>
      </c>
      <c r="K358" s="7" t="s">
        <v>1615</v>
      </c>
      <c r="L358" s="7" t="s">
        <v>744</v>
      </c>
      <c r="M358" s="7" t="s">
        <v>14</v>
      </c>
    </row>
    <row r="359" spans="1:13" ht="16.2">
      <c r="A359" s="7">
        <v>34356</v>
      </c>
      <c r="B359" s="7" t="s">
        <v>1630</v>
      </c>
      <c r="C359" s="7" t="s">
        <v>284</v>
      </c>
      <c r="D359" s="45">
        <v>43050</v>
      </c>
      <c r="E359" s="7" t="s">
        <v>1225</v>
      </c>
      <c r="F359" s="7" t="s">
        <v>1200</v>
      </c>
      <c r="G359" s="7" t="s">
        <v>1483</v>
      </c>
      <c r="H359" s="46" t="str">
        <f t="shared" si="1"/>
        <v>Albatros E2  -  Vriendenschaar (H) E3</v>
      </c>
      <c r="I359" s="40">
        <v>0.41319444444444442</v>
      </c>
      <c r="J359" s="7" t="s">
        <v>287</v>
      </c>
      <c r="K359" s="7" t="s">
        <v>1615</v>
      </c>
      <c r="L359" s="7" t="s">
        <v>741</v>
      </c>
      <c r="M359" s="7" t="s">
        <v>1975</v>
      </c>
    </row>
    <row r="360" spans="1:13" ht="16.2">
      <c r="A360" s="7">
        <v>33104</v>
      </c>
      <c r="B360" s="7" t="s">
        <v>1630</v>
      </c>
      <c r="C360" s="7" t="s">
        <v>284</v>
      </c>
      <c r="D360" s="45">
        <v>43064</v>
      </c>
      <c r="E360" s="7" t="s">
        <v>1225</v>
      </c>
      <c r="F360" s="7" t="s">
        <v>1200</v>
      </c>
      <c r="G360" s="7" t="s">
        <v>2014</v>
      </c>
      <c r="H360" s="46" t="str">
        <f t="shared" si="1"/>
        <v>Albatros E2  -  KCR E3</v>
      </c>
      <c r="I360" s="40">
        <v>0.41666666666666669</v>
      </c>
      <c r="J360" s="7" t="s">
        <v>287</v>
      </c>
      <c r="K360" s="7" t="s">
        <v>1615</v>
      </c>
      <c r="L360" s="7" t="s">
        <v>741</v>
      </c>
      <c r="M360" s="7" t="s">
        <v>775</v>
      </c>
    </row>
    <row r="361" spans="1:13" ht="16.2">
      <c r="A361" s="7">
        <v>34447</v>
      </c>
      <c r="B361" s="7" t="s">
        <v>1630</v>
      </c>
      <c r="C361" s="7" t="s">
        <v>284</v>
      </c>
      <c r="D361" s="45">
        <v>43092</v>
      </c>
      <c r="E361" s="7" t="s">
        <v>1225</v>
      </c>
      <c r="F361" s="7" t="s">
        <v>1200</v>
      </c>
      <c r="G361" s="7" t="s">
        <v>1375</v>
      </c>
      <c r="H361" s="46" t="str">
        <f t="shared" si="1"/>
        <v>Albatros E2  -  PKC/SWKGroep E4</v>
      </c>
      <c r="I361" s="40">
        <v>0.375</v>
      </c>
      <c r="J361" s="7" t="s">
        <v>287</v>
      </c>
      <c r="K361" s="7" t="s">
        <v>1615</v>
      </c>
      <c r="L361" s="7" t="s">
        <v>741</v>
      </c>
      <c r="M361" s="7" t="s">
        <v>775</v>
      </c>
    </row>
    <row r="362" spans="1:13" ht="16.2">
      <c r="A362" s="7">
        <v>33918</v>
      </c>
      <c r="B362" s="7" t="s">
        <v>1630</v>
      </c>
      <c r="C362" s="7" t="s">
        <v>284</v>
      </c>
      <c r="D362" s="47">
        <v>43106</v>
      </c>
      <c r="E362" s="7" t="s">
        <v>1225</v>
      </c>
      <c r="F362" s="7" t="s">
        <v>1200</v>
      </c>
      <c r="G362" s="7" t="s">
        <v>2015</v>
      </c>
      <c r="H362" s="46" t="str">
        <f t="shared" si="1"/>
        <v>Albatros E2  -  Merwede/Multiplaat E3</v>
      </c>
      <c r="I362" s="40">
        <v>0.51041666666666663</v>
      </c>
      <c r="J362" s="7" t="s">
        <v>305</v>
      </c>
      <c r="K362" s="7" t="s">
        <v>1615</v>
      </c>
      <c r="L362" s="7" t="s">
        <v>741</v>
      </c>
      <c r="M362" s="7" t="s">
        <v>1964</v>
      </c>
    </row>
    <row r="363" spans="1:13" ht="16.2">
      <c r="A363" s="7">
        <v>33386</v>
      </c>
      <c r="B363" s="7" t="s">
        <v>1630</v>
      </c>
      <c r="C363" s="7" t="s">
        <v>284</v>
      </c>
      <c r="D363" s="47">
        <v>43120</v>
      </c>
      <c r="E363" s="7" t="s">
        <v>1225</v>
      </c>
      <c r="F363" s="7" t="s">
        <v>1200</v>
      </c>
      <c r="G363" s="7" t="s">
        <v>2016</v>
      </c>
      <c r="H363" s="46" t="str">
        <f t="shared" si="1"/>
        <v>Albatros E2  -  Sporting Delta E2</v>
      </c>
      <c r="I363" s="40">
        <v>0.375</v>
      </c>
      <c r="J363" s="7" t="s">
        <v>287</v>
      </c>
      <c r="K363" s="7" t="s">
        <v>1615</v>
      </c>
      <c r="L363" s="7" t="s">
        <v>741</v>
      </c>
      <c r="M363" s="7" t="s">
        <v>1975</v>
      </c>
    </row>
    <row r="364" spans="1:13" ht="16.2">
      <c r="A364" s="7">
        <v>32767</v>
      </c>
      <c r="B364" s="7" t="s">
        <v>1630</v>
      </c>
      <c r="C364" s="7" t="s">
        <v>284</v>
      </c>
      <c r="D364" s="47">
        <v>43162</v>
      </c>
      <c r="E364" s="7" t="s">
        <v>1225</v>
      </c>
      <c r="F364" s="7" t="s">
        <v>1200</v>
      </c>
      <c r="G364" s="7" t="s">
        <v>2017</v>
      </c>
      <c r="H364" s="46" t="str">
        <f t="shared" si="1"/>
        <v>Albatros E2  -  HKC (Ha) E4</v>
      </c>
      <c r="I364" s="40">
        <v>0.375</v>
      </c>
      <c r="J364" s="7" t="s">
        <v>287</v>
      </c>
      <c r="K364" s="7" t="s">
        <v>1732</v>
      </c>
      <c r="L364" s="7" t="s">
        <v>741</v>
      </c>
      <c r="M364" s="7" t="s">
        <v>14</v>
      </c>
    </row>
    <row r="365" spans="1:13" ht="16.2">
      <c r="A365" s="7">
        <v>33016</v>
      </c>
      <c r="B365" s="7" t="s">
        <v>1643</v>
      </c>
      <c r="C365" s="7" t="s">
        <v>284</v>
      </c>
      <c r="D365" s="45">
        <v>43057</v>
      </c>
      <c r="E365" s="7" t="s">
        <v>1229</v>
      </c>
      <c r="F365" s="7" t="s">
        <v>1200</v>
      </c>
      <c r="G365" s="7" t="s">
        <v>1484</v>
      </c>
      <c r="H365" s="46" t="str">
        <f t="shared" si="1"/>
        <v>Albatros E1  -  GKV/Enomics E2</v>
      </c>
      <c r="I365" s="40">
        <v>0.58333333333333337</v>
      </c>
      <c r="J365" s="7" t="s">
        <v>287</v>
      </c>
      <c r="K365" s="7" t="s">
        <v>1732</v>
      </c>
      <c r="L365" s="7" t="s">
        <v>738</v>
      </c>
      <c r="M365" s="7" t="s">
        <v>423</v>
      </c>
    </row>
    <row r="366" spans="1:13" ht="16.2">
      <c r="A366" s="7">
        <v>35305</v>
      </c>
      <c r="B366" s="7" t="s">
        <v>1643</v>
      </c>
      <c r="C366" s="7" t="s">
        <v>284</v>
      </c>
      <c r="D366" s="47">
        <v>43071</v>
      </c>
      <c r="E366" s="7" t="s">
        <v>1229</v>
      </c>
      <c r="F366" s="7" t="s">
        <v>1200</v>
      </c>
      <c r="G366" s="7" t="s">
        <v>2018</v>
      </c>
      <c r="H366" s="46" t="str">
        <f t="shared" si="1"/>
        <v>Albatros E1  -  Oranje Wit (D) E2</v>
      </c>
      <c r="I366" s="40">
        <v>0.41319444444444442</v>
      </c>
      <c r="J366" s="7" t="s">
        <v>287</v>
      </c>
      <c r="K366" s="7" t="s">
        <v>1615</v>
      </c>
      <c r="L366" s="7" t="s">
        <v>738</v>
      </c>
      <c r="M366" s="7" t="s">
        <v>775</v>
      </c>
    </row>
    <row r="367" spans="1:13" ht="16.2">
      <c r="A367" s="7">
        <v>33187</v>
      </c>
      <c r="B367" s="7" t="s">
        <v>1643</v>
      </c>
      <c r="C367" s="7" t="s">
        <v>284</v>
      </c>
      <c r="D367" s="45">
        <v>43085</v>
      </c>
      <c r="E367" s="7" t="s">
        <v>1229</v>
      </c>
      <c r="F367" s="7" t="s">
        <v>1200</v>
      </c>
      <c r="G367" s="7" t="s">
        <v>2019</v>
      </c>
      <c r="H367" s="46" t="str">
        <f t="shared" si="1"/>
        <v>Albatros E1  -  Vitesse (Ba) E3</v>
      </c>
      <c r="I367" s="40">
        <v>0.375</v>
      </c>
      <c r="J367" s="7" t="s">
        <v>287</v>
      </c>
      <c r="K367" s="7" t="s">
        <v>1732</v>
      </c>
      <c r="L367" s="7" t="s">
        <v>738</v>
      </c>
      <c r="M367" s="7" t="s">
        <v>558</v>
      </c>
    </row>
    <row r="368" spans="1:13" ht="16.2">
      <c r="A368" s="7">
        <v>33293</v>
      </c>
      <c r="B368" s="7" t="s">
        <v>1643</v>
      </c>
      <c r="C368" s="7" t="s">
        <v>284</v>
      </c>
      <c r="D368" s="47">
        <v>43113</v>
      </c>
      <c r="E368" s="7" t="s">
        <v>1229</v>
      </c>
      <c r="F368" s="7" t="s">
        <v>1200</v>
      </c>
      <c r="G368" s="7" t="s">
        <v>1379</v>
      </c>
      <c r="H368" s="46" t="str">
        <f t="shared" si="1"/>
        <v>Albatros E1  -  HKC (Ha) E2</v>
      </c>
      <c r="I368" s="40">
        <v>0.375</v>
      </c>
      <c r="J368" s="7" t="s">
        <v>287</v>
      </c>
      <c r="K368" s="7" t="s">
        <v>1615</v>
      </c>
      <c r="L368" s="7" t="s">
        <v>738</v>
      </c>
      <c r="M368" s="7" t="s">
        <v>775</v>
      </c>
    </row>
    <row r="369" spans="1:13" ht="16.2">
      <c r="A369" s="7">
        <v>36184</v>
      </c>
      <c r="B369" s="7" t="s">
        <v>1643</v>
      </c>
      <c r="C369" s="7" t="s">
        <v>284</v>
      </c>
      <c r="D369" s="47">
        <v>43127</v>
      </c>
      <c r="E369" s="7" t="s">
        <v>1229</v>
      </c>
      <c r="F369" s="7" t="s">
        <v>1200</v>
      </c>
      <c r="G369" s="7" t="s">
        <v>2020</v>
      </c>
      <c r="H369" s="46" t="str">
        <f t="shared" si="1"/>
        <v>Albatros E1  -  Merwede/Multiplaat E1</v>
      </c>
      <c r="I369" s="40">
        <v>0.375</v>
      </c>
      <c r="J369" s="7" t="s">
        <v>373</v>
      </c>
      <c r="K369" s="7" t="s">
        <v>1618</v>
      </c>
      <c r="L369" s="7" t="s">
        <v>738</v>
      </c>
      <c r="M369" s="7" t="s">
        <v>14</v>
      </c>
    </row>
    <row r="370" spans="1:13" ht="16.2">
      <c r="A370" s="7">
        <v>34636</v>
      </c>
      <c r="B370" s="7" t="s">
        <v>1643</v>
      </c>
      <c r="C370" s="7" t="s">
        <v>284</v>
      </c>
      <c r="D370" s="47">
        <v>43176</v>
      </c>
      <c r="E370" s="7" t="s">
        <v>1229</v>
      </c>
      <c r="F370" s="7" t="s">
        <v>1200</v>
      </c>
      <c r="G370" s="7" t="s">
        <v>2021</v>
      </c>
      <c r="H370" s="46" t="str">
        <f t="shared" si="1"/>
        <v>Albatros E1  -  PKC/SWKGroep E3</v>
      </c>
      <c r="I370" s="40">
        <v>0.375</v>
      </c>
      <c r="J370" s="7" t="s">
        <v>287</v>
      </c>
      <c r="K370" s="7" t="s">
        <v>1732</v>
      </c>
      <c r="L370" s="7" t="s">
        <v>738</v>
      </c>
      <c r="M370" s="7" t="s">
        <v>14</v>
      </c>
    </row>
    <row r="371" spans="1:13" ht="16.2">
      <c r="A371" s="7">
        <v>26594</v>
      </c>
      <c r="B371" s="7" t="s">
        <v>1637</v>
      </c>
      <c r="C371" s="7" t="s">
        <v>284</v>
      </c>
      <c r="D371" s="45">
        <v>43064</v>
      </c>
      <c r="E371" s="7" t="s">
        <v>1368</v>
      </c>
      <c r="F371" s="7" t="s">
        <v>1200</v>
      </c>
      <c r="G371" s="7" t="s">
        <v>2022</v>
      </c>
      <c r="H371" s="46" t="str">
        <f t="shared" si="1"/>
        <v>Albatros D4  -  KCR D3</v>
      </c>
      <c r="I371" s="40">
        <v>0.45833333333333331</v>
      </c>
      <c r="J371" s="7" t="s">
        <v>287</v>
      </c>
      <c r="K371" s="7" t="s">
        <v>1615</v>
      </c>
      <c r="L371" s="7" t="s">
        <v>938</v>
      </c>
      <c r="M371" s="7" t="s">
        <v>506</v>
      </c>
    </row>
    <row r="372" spans="1:13" ht="16.2">
      <c r="A372" s="7">
        <v>27519</v>
      </c>
      <c r="B372" s="7" t="s">
        <v>1637</v>
      </c>
      <c r="C372" s="7" t="s">
        <v>284</v>
      </c>
      <c r="D372" s="47">
        <v>43078</v>
      </c>
      <c r="E372" s="7" t="s">
        <v>1368</v>
      </c>
      <c r="F372" s="7" t="s">
        <v>1200</v>
      </c>
      <c r="G372" s="7" t="s">
        <v>2023</v>
      </c>
      <c r="H372" s="46" t="str">
        <f t="shared" si="1"/>
        <v>Albatros D4  -  Korbis D3</v>
      </c>
      <c r="I372" s="40">
        <v>0.65277777777777779</v>
      </c>
      <c r="J372" s="7" t="s">
        <v>287</v>
      </c>
      <c r="K372" s="7" t="s">
        <v>1615</v>
      </c>
      <c r="L372" s="7" t="s">
        <v>938</v>
      </c>
      <c r="M372" s="7" t="s">
        <v>493</v>
      </c>
    </row>
    <row r="373" spans="1:13" ht="16.2">
      <c r="A373" s="7">
        <v>27146</v>
      </c>
      <c r="B373" s="7" t="s">
        <v>1637</v>
      </c>
      <c r="C373" s="7" t="s">
        <v>284</v>
      </c>
      <c r="D373" s="47">
        <v>43106</v>
      </c>
      <c r="E373" s="7" t="s">
        <v>1368</v>
      </c>
      <c r="F373" s="7" t="s">
        <v>1200</v>
      </c>
      <c r="G373" s="7" t="s">
        <v>2024</v>
      </c>
      <c r="H373" s="46" t="str">
        <f t="shared" si="1"/>
        <v>Albatros D4  -  Vriendenschaar (B) D2</v>
      </c>
      <c r="I373" s="40">
        <v>0.45833333333333331</v>
      </c>
      <c r="J373" s="7" t="s">
        <v>287</v>
      </c>
      <c r="K373" s="7" t="s">
        <v>1615</v>
      </c>
      <c r="L373" s="7" t="s">
        <v>938</v>
      </c>
      <c r="M373" s="7" t="s">
        <v>493</v>
      </c>
    </row>
    <row r="374" spans="1:13" ht="16.2">
      <c r="A374" s="7">
        <v>26782</v>
      </c>
      <c r="B374" s="7" t="s">
        <v>1637</v>
      </c>
      <c r="C374" s="7" t="s">
        <v>284</v>
      </c>
      <c r="D374" s="47">
        <v>43134</v>
      </c>
      <c r="E374" s="7" t="s">
        <v>1368</v>
      </c>
      <c r="F374" s="7" t="s">
        <v>1200</v>
      </c>
      <c r="G374" s="7" t="s">
        <v>2025</v>
      </c>
      <c r="H374" s="46" t="str">
        <f t="shared" si="1"/>
        <v>Albatros D4  -  Nieuwerkerk D4</v>
      </c>
      <c r="I374" s="40">
        <v>0.41666666666666669</v>
      </c>
      <c r="J374" s="7" t="s">
        <v>373</v>
      </c>
      <c r="K374" s="7" t="s">
        <v>1615</v>
      </c>
      <c r="L374" s="7" t="s">
        <v>938</v>
      </c>
      <c r="M374" s="7" t="s">
        <v>14</v>
      </c>
    </row>
    <row r="375" spans="1:13" ht="16.2">
      <c r="A375" s="7">
        <v>26349</v>
      </c>
      <c r="B375" s="7" t="s">
        <v>1637</v>
      </c>
      <c r="C375" s="7" t="s">
        <v>284</v>
      </c>
      <c r="D375" s="47">
        <v>43148</v>
      </c>
      <c r="E375" s="7" t="s">
        <v>1368</v>
      </c>
      <c r="F375" s="7" t="s">
        <v>1200</v>
      </c>
      <c r="G375" s="7" t="s">
        <v>2026</v>
      </c>
      <c r="H375" s="46" t="str">
        <f t="shared" si="1"/>
        <v>Albatros D4  -  OZC D1</v>
      </c>
      <c r="I375" s="40">
        <v>0.61458333333333337</v>
      </c>
      <c r="J375" s="7" t="s">
        <v>287</v>
      </c>
      <c r="K375" s="7" t="s">
        <v>1615</v>
      </c>
      <c r="L375" s="7" t="s">
        <v>938</v>
      </c>
      <c r="M375" s="7" t="s">
        <v>14</v>
      </c>
    </row>
    <row r="376" spans="1:13" ht="16.2">
      <c r="A376" s="7">
        <v>27706</v>
      </c>
      <c r="B376" s="7" t="s">
        <v>1637</v>
      </c>
      <c r="C376" s="7" t="s">
        <v>284</v>
      </c>
      <c r="D376" s="47">
        <v>43176</v>
      </c>
      <c r="E376" s="7" t="s">
        <v>1368</v>
      </c>
      <c r="F376" s="7" t="s">
        <v>1200</v>
      </c>
      <c r="G376" s="7" t="s">
        <v>1576</v>
      </c>
      <c r="H376" s="46" t="str">
        <f t="shared" si="1"/>
        <v>Albatros D4  -  PKC/SWKGroep D4</v>
      </c>
      <c r="I376" s="40">
        <v>0.5</v>
      </c>
      <c r="J376" s="7" t="s">
        <v>373</v>
      </c>
      <c r="K376" s="7" t="s">
        <v>1615</v>
      </c>
      <c r="L376" s="7" t="s">
        <v>14</v>
      </c>
      <c r="M376" s="7" t="s">
        <v>14</v>
      </c>
    </row>
    <row r="377" spans="1:13" ht="16.2">
      <c r="A377" s="7">
        <v>27442</v>
      </c>
      <c r="B377" s="7" t="s">
        <v>1633</v>
      </c>
      <c r="C377" s="7" t="s">
        <v>284</v>
      </c>
      <c r="D377" s="45">
        <v>43050</v>
      </c>
      <c r="E377" s="7" t="s">
        <v>1370</v>
      </c>
      <c r="F377" s="7" t="s">
        <v>1200</v>
      </c>
      <c r="G377" s="7" t="s">
        <v>2027</v>
      </c>
      <c r="H377" s="46" t="str">
        <f t="shared" si="1"/>
        <v>Albatros D3  -  DSO (K) D2</v>
      </c>
      <c r="I377" s="40">
        <v>0.4548611111111111</v>
      </c>
      <c r="J377" s="7" t="s">
        <v>287</v>
      </c>
      <c r="K377" s="7" t="s">
        <v>1615</v>
      </c>
      <c r="L377" s="7" t="s">
        <v>928</v>
      </c>
      <c r="M377" s="7" t="s">
        <v>2028</v>
      </c>
    </row>
    <row r="378" spans="1:13" ht="16.2">
      <c r="A378" s="7">
        <v>26582</v>
      </c>
      <c r="B378" s="7" t="s">
        <v>1633</v>
      </c>
      <c r="C378" s="7" t="s">
        <v>284</v>
      </c>
      <c r="D378" s="45">
        <v>43064</v>
      </c>
      <c r="E378" s="7" t="s">
        <v>1370</v>
      </c>
      <c r="F378" s="7" t="s">
        <v>1200</v>
      </c>
      <c r="G378" s="7" t="s">
        <v>2029</v>
      </c>
      <c r="H378" s="46" t="str">
        <f t="shared" si="1"/>
        <v>Albatros D3  -  KCR D2</v>
      </c>
      <c r="I378" s="40">
        <v>0.5</v>
      </c>
      <c r="J378" s="7" t="s">
        <v>373</v>
      </c>
      <c r="K378" s="7" t="s">
        <v>1615</v>
      </c>
      <c r="L378" s="7" t="s">
        <v>928</v>
      </c>
      <c r="M378" s="7" t="s">
        <v>584</v>
      </c>
    </row>
    <row r="379" spans="1:13" ht="16.2">
      <c r="A379" s="7">
        <v>27138</v>
      </c>
      <c r="B379" s="7" t="s">
        <v>1633</v>
      </c>
      <c r="C379" s="7" t="s">
        <v>284</v>
      </c>
      <c r="D379" s="47">
        <v>43106</v>
      </c>
      <c r="E379" s="7" t="s">
        <v>1370</v>
      </c>
      <c r="F379" s="7" t="s">
        <v>1200</v>
      </c>
      <c r="G379" s="7" t="s">
        <v>2030</v>
      </c>
      <c r="H379" s="46" t="str">
        <f t="shared" si="1"/>
        <v>Albatros D3  -  Merwede/Multiplaat D3</v>
      </c>
      <c r="I379" s="40">
        <v>0.5</v>
      </c>
      <c r="J379" s="7" t="s">
        <v>287</v>
      </c>
      <c r="K379" s="7" t="s">
        <v>1615</v>
      </c>
      <c r="L379" s="7" t="s">
        <v>928</v>
      </c>
      <c r="M379" s="7" t="s">
        <v>558</v>
      </c>
    </row>
    <row r="380" spans="1:13" ht="16.2">
      <c r="A380" s="7">
        <v>26772</v>
      </c>
      <c r="B380" s="7" t="s">
        <v>1633</v>
      </c>
      <c r="C380" s="7" t="s">
        <v>284</v>
      </c>
      <c r="D380" s="47">
        <v>43120</v>
      </c>
      <c r="E380" s="7" t="s">
        <v>1370</v>
      </c>
      <c r="F380" s="7" t="s">
        <v>1200</v>
      </c>
      <c r="G380" s="7" t="s">
        <v>2031</v>
      </c>
      <c r="H380" s="46" t="str">
        <f t="shared" si="1"/>
        <v>Albatros D3  -  Feijenoord D1</v>
      </c>
      <c r="I380" s="40">
        <v>0.49652777777777779</v>
      </c>
      <c r="J380" s="7" t="s">
        <v>287</v>
      </c>
      <c r="K380" s="7" t="s">
        <v>1615</v>
      </c>
      <c r="L380" s="7" t="s">
        <v>928</v>
      </c>
      <c r="M380" s="7" t="s">
        <v>550</v>
      </c>
    </row>
    <row r="381" spans="1:13" ht="16.2">
      <c r="A381" s="7">
        <v>26339</v>
      </c>
      <c r="B381" s="7" t="s">
        <v>1633</v>
      </c>
      <c r="C381" s="7" t="s">
        <v>284</v>
      </c>
      <c r="D381" s="47">
        <v>43148</v>
      </c>
      <c r="E381" s="7" t="s">
        <v>1370</v>
      </c>
      <c r="F381" s="7" t="s">
        <v>1200</v>
      </c>
      <c r="G381" s="7" t="s">
        <v>2032</v>
      </c>
      <c r="H381" s="46" t="str">
        <f t="shared" si="1"/>
        <v>Albatros D3  -  Vriendenschaar (H) D3</v>
      </c>
      <c r="I381" s="40">
        <v>0.45833333333333331</v>
      </c>
      <c r="J381" s="7" t="s">
        <v>373</v>
      </c>
      <c r="K381" s="7" t="s">
        <v>1615</v>
      </c>
      <c r="L381" s="7" t="s">
        <v>928</v>
      </c>
      <c r="M381" s="7" t="s">
        <v>14</v>
      </c>
    </row>
    <row r="382" spans="1:13" ht="16.2">
      <c r="A382" s="7">
        <v>27508</v>
      </c>
      <c r="B382" s="7" t="s">
        <v>1633</v>
      </c>
      <c r="C382" s="7" t="s">
        <v>284</v>
      </c>
      <c r="D382" s="47">
        <v>43155</v>
      </c>
      <c r="E382" s="7" t="s">
        <v>1370</v>
      </c>
      <c r="F382" s="7" t="s">
        <v>1200</v>
      </c>
      <c r="G382" s="7" t="s">
        <v>2033</v>
      </c>
      <c r="H382" s="46" t="str">
        <f t="shared" si="1"/>
        <v>Albatros D3  -  Sporting Delta D3</v>
      </c>
      <c r="I382" s="40">
        <v>0.375</v>
      </c>
      <c r="J382" s="7" t="s">
        <v>287</v>
      </c>
      <c r="K382" s="7" t="s">
        <v>1615</v>
      </c>
      <c r="L382" s="7" t="s">
        <v>928</v>
      </c>
      <c r="M382" s="7" t="s">
        <v>14</v>
      </c>
    </row>
    <row r="383" spans="1:13" ht="16.2">
      <c r="A383" s="7">
        <v>27453</v>
      </c>
      <c r="B383" s="7" t="s">
        <v>1763</v>
      </c>
      <c r="C383" s="7" t="s">
        <v>284</v>
      </c>
      <c r="D383" s="45">
        <v>43050</v>
      </c>
      <c r="E383" s="7" t="s">
        <v>1327</v>
      </c>
      <c r="F383" s="7" t="s">
        <v>1200</v>
      </c>
      <c r="G383" s="7" t="s">
        <v>2034</v>
      </c>
      <c r="H383" s="46" t="str">
        <f t="shared" si="1"/>
        <v>Albatros D2  -  Kinderdijk D2</v>
      </c>
      <c r="I383" s="40">
        <v>0.49652777777777779</v>
      </c>
      <c r="J383" s="7" t="s">
        <v>287</v>
      </c>
      <c r="K383" s="7" t="s">
        <v>1615</v>
      </c>
      <c r="L383" s="7" t="s">
        <v>934</v>
      </c>
      <c r="M383" s="7" t="s">
        <v>423</v>
      </c>
    </row>
    <row r="384" spans="1:13" ht="16.2">
      <c r="A384" s="7">
        <v>26595</v>
      </c>
      <c r="B384" s="7" t="s">
        <v>1763</v>
      </c>
      <c r="C384" s="7" t="s">
        <v>284</v>
      </c>
      <c r="D384" s="45">
        <v>43064</v>
      </c>
      <c r="E384" s="7" t="s">
        <v>1327</v>
      </c>
      <c r="F384" s="7" t="s">
        <v>1200</v>
      </c>
      <c r="G384" s="7" t="s">
        <v>2035</v>
      </c>
      <c r="H384" s="46" t="str">
        <f t="shared" si="1"/>
        <v>Albatros D2  -  Oranje Wit (D) D2</v>
      </c>
      <c r="I384" s="40">
        <v>0.54166666666666663</v>
      </c>
      <c r="J384" s="7" t="s">
        <v>287</v>
      </c>
      <c r="K384" s="7" t="s">
        <v>1615</v>
      </c>
      <c r="L384" s="7" t="s">
        <v>934</v>
      </c>
      <c r="M384" s="7" t="s">
        <v>493</v>
      </c>
    </row>
    <row r="385" spans="1:13" ht="16.2">
      <c r="A385" s="7">
        <v>26783</v>
      </c>
      <c r="B385" s="7" t="s">
        <v>1763</v>
      </c>
      <c r="C385" s="7" t="s">
        <v>284</v>
      </c>
      <c r="D385" s="47">
        <v>43120</v>
      </c>
      <c r="E385" s="7" t="s">
        <v>1327</v>
      </c>
      <c r="F385" s="7" t="s">
        <v>1200</v>
      </c>
      <c r="G385" s="7" t="s">
        <v>2036</v>
      </c>
      <c r="H385" s="46" t="str">
        <f t="shared" si="1"/>
        <v>Albatros D2  -  HKC (Ha) D1</v>
      </c>
      <c r="I385" s="40">
        <v>0.375</v>
      </c>
      <c r="J385" s="7" t="s">
        <v>373</v>
      </c>
      <c r="K385" s="7" t="s">
        <v>1615</v>
      </c>
      <c r="L385" s="7" t="s">
        <v>934</v>
      </c>
      <c r="M385" s="7" t="s">
        <v>558</v>
      </c>
    </row>
    <row r="386" spans="1:13" ht="16.2">
      <c r="A386" s="7">
        <v>26350</v>
      </c>
      <c r="B386" s="7" t="s">
        <v>1763</v>
      </c>
      <c r="C386" s="7" t="s">
        <v>284</v>
      </c>
      <c r="D386" s="47">
        <v>43148</v>
      </c>
      <c r="E386" s="7" t="s">
        <v>1327</v>
      </c>
      <c r="F386" s="7" t="s">
        <v>1200</v>
      </c>
      <c r="G386" s="7" t="s">
        <v>1433</v>
      </c>
      <c r="H386" s="46" t="str">
        <f t="shared" si="1"/>
        <v>Albatros D2  -  DeetosSnel D2</v>
      </c>
      <c r="I386" s="40">
        <v>0.41666666666666669</v>
      </c>
      <c r="J386" s="7" t="s">
        <v>373</v>
      </c>
      <c r="K386" s="7" t="s">
        <v>1615</v>
      </c>
      <c r="L386" s="7" t="s">
        <v>934</v>
      </c>
      <c r="M386" s="7" t="s">
        <v>14</v>
      </c>
    </row>
    <row r="387" spans="1:13" ht="16.2">
      <c r="A387" s="7">
        <v>27520</v>
      </c>
      <c r="B387" s="7" t="s">
        <v>1763</v>
      </c>
      <c r="C387" s="7" t="s">
        <v>284</v>
      </c>
      <c r="D387" s="47">
        <v>43155</v>
      </c>
      <c r="E387" s="7" t="s">
        <v>1327</v>
      </c>
      <c r="F387" s="7" t="s">
        <v>1200</v>
      </c>
      <c r="G387" s="7" t="s">
        <v>2037</v>
      </c>
      <c r="H387" s="46" t="str">
        <f t="shared" si="1"/>
        <v>Albatros D2  -  GKV/Enomics D2</v>
      </c>
      <c r="I387" s="40">
        <v>0.41666666666666669</v>
      </c>
      <c r="J387" s="7" t="s">
        <v>287</v>
      </c>
      <c r="K387" s="7" t="s">
        <v>1615</v>
      </c>
      <c r="L387" s="7" t="s">
        <v>934</v>
      </c>
      <c r="M387" s="7" t="s">
        <v>14</v>
      </c>
    </row>
    <row r="388" spans="1:13" ht="16.2">
      <c r="A388" s="7">
        <v>27707</v>
      </c>
      <c r="B388" s="7" t="s">
        <v>1763</v>
      </c>
      <c r="C388" s="7" t="s">
        <v>284</v>
      </c>
      <c r="D388" s="47">
        <v>43176</v>
      </c>
      <c r="E388" s="7" t="s">
        <v>1327</v>
      </c>
      <c r="F388" s="7" t="s">
        <v>1200</v>
      </c>
      <c r="G388" s="7" t="s">
        <v>2038</v>
      </c>
      <c r="H388" s="46" t="str">
        <f t="shared" si="1"/>
        <v>Albatros D2  -  ACKC D1</v>
      </c>
      <c r="I388" s="40">
        <v>0.70833333333333337</v>
      </c>
      <c r="J388" s="7" t="s">
        <v>287</v>
      </c>
      <c r="K388" s="7" t="s">
        <v>1615</v>
      </c>
      <c r="L388" s="7" t="s">
        <v>934</v>
      </c>
      <c r="M388" s="7" t="s">
        <v>14</v>
      </c>
    </row>
    <row r="389" spans="1:13" ht="16.2">
      <c r="A389" s="7">
        <v>21715</v>
      </c>
      <c r="B389" s="7" t="s">
        <v>1635</v>
      </c>
      <c r="C389" s="7" t="s">
        <v>284</v>
      </c>
      <c r="D389" s="45">
        <v>43050</v>
      </c>
      <c r="E389" s="7" t="s">
        <v>1353</v>
      </c>
      <c r="F389" s="7" t="s">
        <v>1200</v>
      </c>
      <c r="G389" s="7" t="s">
        <v>2039</v>
      </c>
      <c r="H389" s="46" t="str">
        <f t="shared" si="1"/>
        <v>Albatros D1  -  DeetosSnel D1</v>
      </c>
      <c r="I389" s="40">
        <v>0.53819444444444442</v>
      </c>
      <c r="J389" s="7" t="s">
        <v>287</v>
      </c>
      <c r="K389" s="7" t="s">
        <v>1615</v>
      </c>
      <c r="L389" s="7" t="s">
        <v>298</v>
      </c>
      <c r="M389" s="7" t="s">
        <v>289</v>
      </c>
    </row>
    <row r="390" spans="1:13" ht="16.2">
      <c r="A390" s="7">
        <v>21645</v>
      </c>
      <c r="B390" s="7" t="s">
        <v>1635</v>
      </c>
      <c r="C390" s="7" t="s">
        <v>284</v>
      </c>
      <c r="D390" s="45">
        <v>43064</v>
      </c>
      <c r="E390" s="7" t="s">
        <v>1353</v>
      </c>
      <c r="F390" s="7" t="s">
        <v>1200</v>
      </c>
      <c r="G390" s="7" t="s">
        <v>2040</v>
      </c>
      <c r="H390" s="46" t="str">
        <f t="shared" si="1"/>
        <v>Albatros D1  -  GKV/Enomics D1</v>
      </c>
      <c r="I390" s="40">
        <v>0.58333333333333337</v>
      </c>
      <c r="J390" s="7" t="s">
        <v>287</v>
      </c>
      <c r="K390" s="7" t="s">
        <v>1615</v>
      </c>
      <c r="L390" s="7" t="s">
        <v>606</v>
      </c>
      <c r="M390" s="7" t="s">
        <v>289</v>
      </c>
    </row>
    <row r="391" spans="1:13" ht="16.2">
      <c r="A391" s="7">
        <v>21720</v>
      </c>
      <c r="B391" s="7" t="s">
        <v>1635</v>
      </c>
      <c r="C391" s="7" t="s">
        <v>284</v>
      </c>
      <c r="D391" s="47">
        <v>43078</v>
      </c>
      <c r="E391" s="7" t="s">
        <v>1353</v>
      </c>
      <c r="F391" s="7" t="s">
        <v>1200</v>
      </c>
      <c r="G391" s="7" t="s">
        <v>2041</v>
      </c>
      <c r="H391" s="46" t="str">
        <f t="shared" si="1"/>
        <v>Albatros D1  -  DSC D1</v>
      </c>
      <c r="I391" s="40">
        <v>0.69444444444444442</v>
      </c>
      <c r="J391" s="7" t="s">
        <v>287</v>
      </c>
      <c r="K391" s="7" t="s">
        <v>1615</v>
      </c>
      <c r="L391" s="7" t="s">
        <v>566</v>
      </c>
      <c r="M391" s="7" t="s">
        <v>289</v>
      </c>
    </row>
    <row r="392" spans="1:13" ht="16.2">
      <c r="A392" s="7">
        <v>21690</v>
      </c>
      <c r="B392" s="7" t="s">
        <v>1635</v>
      </c>
      <c r="C392" s="7" t="s">
        <v>284</v>
      </c>
      <c r="D392" s="47">
        <v>43106</v>
      </c>
      <c r="E392" s="7" t="s">
        <v>1353</v>
      </c>
      <c r="F392" s="7" t="s">
        <v>1200</v>
      </c>
      <c r="G392" s="7" t="s">
        <v>2042</v>
      </c>
      <c r="H392" s="46" t="str">
        <f t="shared" si="1"/>
        <v>Albatros D1  -  Oranje Wit (D) D1</v>
      </c>
      <c r="I392" s="40">
        <v>0.54166666666666663</v>
      </c>
      <c r="J392" s="7" t="s">
        <v>287</v>
      </c>
      <c r="K392" s="7" t="s">
        <v>1615</v>
      </c>
      <c r="L392" s="7" t="s">
        <v>606</v>
      </c>
      <c r="M392" s="7" t="s">
        <v>289</v>
      </c>
    </row>
    <row r="393" spans="1:13" ht="16.2">
      <c r="A393" s="7">
        <v>21660</v>
      </c>
      <c r="B393" s="7" t="s">
        <v>1635</v>
      </c>
      <c r="C393" s="7" t="s">
        <v>284</v>
      </c>
      <c r="D393" s="47">
        <v>43120</v>
      </c>
      <c r="E393" s="7" t="s">
        <v>1353</v>
      </c>
      <c r="F393" s="7" t="s">
        <v>1200</v>
      </c>
      <c r="G393" s="7" t="s">
        <v>1568</v>
      </c>
      <c r="H393" s="46" t="str">
        <f t="shared" si="1"/>
        <v>Albatros D1  -  Vitesse (Ba) D1</v>
      </c>
      <c r="I393" s="40">
        <v>0.41666666666666669</v>
      </c>
      <c r="J393" s="7" t="s">
        <v>373</v>
      </c>
      <c r="K393" s="7" t="s">
        <v>1615</v>
      </c>
      <c r="L393" s="7" t="s">
        <v>584</v>
      </c>
      <c r="M393" s="7" t="s">
        <v>289</v>
      </c>
    </row>
    <row r="394" spans="1:13" ht="16.2">
      <c r="A394" s="7">
        <v>21735</v>
      </c>
      <c r="B394" s="7" t="s">
        <v>1635</v>
      </c>
      <c r="C394" s="7" t="s">
        <v>284</v>
      </c>
      <c r="D394" s="47">
        <v>43134</v>
      </c>
      <c r="E394" s="7" t="s">
        <v>1353</v>
      </c>
      <c r="F394" s="7" t="s">
        <v>1200</v>
      </c>
      <c r="G394" s="7" t="s">
        <v>2043</v>
      </c>
      <c r="H394" s="46" t="str">
        <f t="shared" si="1"/>
        <v>Albatros D1  -  NKV D1</v>
      </c>
      <c r="I394" s="40">
        <v>0.625</v>
      </c>
      <c r="J394" s="7" t="s">
        <v>287</v>
      </c>
      <c r="K394" s="7" t="s">
        <v>1615</v>
      </c>
      <c r="L394" s="7" t="s">
        <v>606</v>
      </c>
      <c r="M394" s="7" t="s">
        <v>289</v>
      </c>
    </row>
    <row r="395" spans="1:13" ht="16.2">
      <c r="A395" s="7">
        <v>21625</v>
      </c>
      <c r="B395" s="7" t="s">
        <v>1635</v>
      </c>
      <c r="C395" s="7" t="s">
        <v>284</v>
      </c>
      <c r="D395" s="47">
        <v>43148</v>
      </c>
      <c r="E395" s="7" t="s">
        <v>1353</v>
      </c>
      <c r="F395" s="7" t="s">
        <v>1200</v>
      </c>
      <c r="G395" s="7" t="s">
        <v>2044</v>
      </c>
      <c r="H395" s="46" t="str">
        <f t="shared" si="1"/>
        <v>Albatros D1  -  Vriendenschaar (H) D1</v>
      </c>
      <c r="I395" s="40">
        <v>0.375</v>
      </c>
      <c r="J395" s="7" t="s">
        <v>373</v>
      </c>
      <c r="K395" s="7" t="s">
        <v>1615</v>
      </c>
      <c r="L395" s="7" t="s">
        <v>584</v>
      </c>
      <c r="M395" s="7" t="s">
        <v>289</v>
      </c>
    </row>
    <row r="396" spans="1:13" ht="16.2">
      <c r="A396" s="7">
        <v>24529</v>
      </c>
      <c r="B396" s="7" t="s">
        <v>1715</v>
      </c>
      <c r="C396" s="7" t="s">
        <v>284</v>
      </c>
      <c r="D396" s="47">
        <v>43071</v>
      </c>
      <c r="E396" s="7" t="s">
        <v>2045</v>
      </c>
      <c r="F396" s="7" t="s">
        <v>1200</v>
      </c>
      <c r="G396" s="7" t="s">
        <v>2046</v>
      </c>
      <c r="H396" s="46" t="str">
        <f t="shared" si="1"/>
        <v>Albatros C5  -  Merwede/Multiplaat C4</v>
      </c>
      <c r="I396" s="40">
        <v>0.49652777777777779</v>
      </c>
      <c r="J396" s="7" t="s">
        <v>287</v>
      </c>
      <c r="K396" s="7" t="s">
        <v>1615</v>
      </c>
      <c r="L396" s="7" t="s">
        <v>2047</v>
      </c>
      <c r="M396" s="7" t="s">
        <v>301</v>
      </c>
    </row>
    <row r="397" spans="1:13" ht="16.2">
      <c r="A397" s="7">
        <v>23285</v>
      </c>
      <c r="B397" s="7" t="s">
        <v>1715</v>
      </c>
      <c r="C397" s="7" t="s">
        <v>284</v>
      </c>
      <c r="D397" s="45">
        <v>43085</v>
      </c>
      <c r="E397" s="7" t="s">
        <v>2045</v>
      </c>
      <c r="F397" s="7" t="s">
        <v>1200</v>
      </c>
      <c r="G397" s="7" t="s">
        <v>2048</v>
      </c>
      <c r="H397" s="46" t="str">
        <f t="shared" si="1"/>
        <v>Albatros C5  -  Dijkvogels C2</v>
      </c>
      <c r="I397" s="40">
        <v>0.58333333333333337</v>
      </c>
      <c r="J397" s="7" t="s">
        <v>305</v>
      </c>
      <c r="K397" s="7" t="s">
        <v>1615</v>
      </c>
      <c r="L397" s="7" t="s">
        <v>2047</v>
      </c>
      <c r="M397" s="7" t="s">
        <v>550</v>
      </c>
    </row>
    <row r="398" spans="1:13" ht="16.2">
      <c r="A398" s="7">
        <v>24112</v>
      </c>
      <c r="B398" s="7" t="s">
        <v>1715</v>
      </c>
      <c r="C398" s="7" t="s">
        <v>284</v>
      </c>
      <c r="D398" s="45">
        <v>43092</v>
      </c>
      <c r="E398" s="7" t="s">
        <v>2045</v>
      </c>
      <c r="F398" s="7" t="s">
        <v>1200</v>
      </c>
      <c r="G398" s="7" t="s">
        <v>2049</v>
      </c>
      <c r="H398" s="46" t="str">
        <f t="shared" si="1"/>
        <v>Albatros C5  -  Phoenix C2</v>
      </c>
      <c r="I398" s="40">
        <v>0.58333333333333337</v>
      </c>
      <c r="J398" s="7" t="s">
        <v>287</v>
      </c>
      <c r="K398" s="7" t="s">
        <v>1615</v>
      </c>
      <c r="L398" s="7" t="s">
        <v>2047</v>
      </c>
      <c r="M398" s="7" t="s">
        <v>606</v>
      </c>
    </row>
    <row r="399" spans="1:13" ht="16.2">
      <c r="A399" s="7">
        <v>23335</v>
      </c>
      <c r="B399" s="7" t="s">
        <v>1715</v>
      </c>
      <c r="C399" s="7" t="s">
        <v>284</v>
      </c>
      <c r="D399" s="47">
        <v>43113</v>
      </c>
      <c r="E399" s="7" t="s">
        <v>2045</v>
      </c>
      <c r="F399" s="7" t="s">
        <v>1200</v>
      </c>
      <c r="G399" s="7" t="s">
        <v>2050</v>
      </c>
      <c r="H399" s="46" t="str">
        <f t="shared" si="1"/>
        <v>Albatros C5  -  Kinderdijk C3</v>
      </c>
      <c r="I399" s="40">
        <v>0.45833333333333331</v>
      </c>
      <c r="J399" s="7" t="s">
        <v>287</v>
      </c>
      <c r="K399" s="7" t="s">
        <v>1615</v>
      </c>
      <c r="L399" s="7" t="s">
        <v>2047</v>
      </c>
      <c r="M399" s="7" t="s">
        <v>506</v>
      </c>
    </row>
    <row r="400" spans="1:13" ht="16.2">
      <c r="A400" s="7">
        <v>23855</v>
      </c>
      <c r="B400" s="7" t="s">
        <v>1715</v>
      </c>
      <c r="C400" s="7" t="s">
        <v>284</v>
      </c>
      <c r="D400" s="47">
        <v>43141</v>
      </c>
      <c r="E400" s="7" t="s">
        <v>2045</v>
      </c>
      <c r="F400" s="7" t="s">
        <v>1200</v>
      </c>
      <c r="G400" s="7" t="s">
        <v>2051</v>
      </c>
      <c r="H400" s="46" t="str">
        <f t="shared" si="1"/>
        <v>Albatros C5  -  Avanti (P) C5</v>
      </c>
      <c r="I400" s="40">
        <v>0.52083333333333337</v>
      </c>
      <c r="J400" s="7" t="s">
        <v>305</v>
      </c>
      <c r="K400" s="7" t="s">
        <v>1615</v>
      </c>
      <c r="L400" s="7" t="s">
        <v>2047</v>
      </c>
      <c r="M400" s="7" t="s">
        <v>14</v>
      </c>
    </row>
    <row r="401" spans="1:13" ht="16.2">
      <c r="A401" s="7">
        <v>25037</v>
      </c>
      <c r="B401" s="7" t="s">
        <v>1715</v>
      </c>
      <c r="C401" s="7" t="s">
        <v>284</v>
      </c>
      <c r="D401" s="47">
        <v>43169</v>
      </c>
      <c r="E401" s="7" t="s">
        <v>2045</v>
      </c>
      <c r="F401" s="7" t="s">
        <v>1200</v>
      </c>
      <c r="G401" s="7" t="s">
        <v>2052</v>
      </c>
      <c r="H401" s="46" t="str">
        <f t="shared" si="1"/>
        <v>Albatros C5  -  RWA C2</v>
      </c>
      <c r="I401" s="40">
        <v>0.4548611111111111</v>
      </c>
      <c r="J401" s="7" t="s">
        <v>287</v>
      </c>
      <c r="K401" s="7" t="s">
        <v>1615</v>
      </c>
      <c r="L401" s="7" t="s">
        <v>2047</v>
      </c>
      <c r="M401" s="7" t="s">
        <v>14</v>
      </c>
    </row>
    <row r="402" spans="1:13" ht="16.2">
      <c r="A402" s="7">
        <v>23912</v>
      </c>
      <c r="B402" s="7" t="s">
        <v>1684</v>
      </c>
      <c r="C402" s="7" t="s">
        <v>284</v>
      </c>
      <c r="D402" s="45">
        <v>43050</v>
      </c>
      <c r="E402" s="7" t="s">
        <v>2053</v>
      </c>
      <c r="F402" s="7" t="s">
        <v>1200</v>
      </c>
      <c r="G402" s="7" t="s">
        <v>2054</v>
      </c>
      <c r="H402" s="46" t="str">
        <f t="shared" si="1"/>
        <v>Albatros C4  -  Oranje Wit (D) C4</v>
      </c>
      <c r="I402" s="40">
        <v>0.5</v>
      </c>
      <c r="J402" s="7" t="s">
        <v>305</v>
      </c>
      <c r="K402" s="7" t="s">
        <v>1615</v>
      </c>
      <c r="L402" s="7" t="s">
        <v>2055</v>
      </c>
      <c r="M402" s="7" t="s">
        <v>1489</v>
      </c>
    </row>
    <row r="403" spans="1:13" ht="16.2">
      <c r="A403" s="7">
        <v>23191</v>
      </c>
      <c r="B403" s="7" t="s">
        <v>1684</v>
      </c>
      <c r="C403" s="7" t="s">
        <v>284</v>
      </c>
      <c r="D403" s="45">
        <v>43064</v>
      </c>
      <c r="E403" s="7" t="s">
        <v>2053</v>
      </c>
      <c r="F403" s="7" t="s">
        <v>1200</v>
      </c>
      <c r="G403" s="7" t="s">
        <v>1583</v>
      </c>
      <c r="H403" s="46" t="str">
        <f t="shared" si="1"/>
        <v>Albatros C4  -  PKC/SWKGroep C4</v>
      </c>
      <c r="I403" s="40">
        <v>0.625</v>
      </c>
      <c r="J403" s="7" t="s">
        <v>287</v>
      </c>
      <c r="K403" s="7" t="s">
        <v>1615</v>
      </c>
      <c r="L403" s="7" t="s">
        <v>2055</v>
      </c>
      <c r="M403" s="7" t="s">
        <v>1489</v>
      </c>
    </row>
    <row r="404" spans="1:13" ht="16.2">
      <c r="A404" s="7">
        <v>23968</v>
      </c>
      <c r="B404" s="7" t="s">
        <v>1684</v>
      </c>
      <c r="C404" s="7" t="s">
        <v>284</v>
      </c>
      <c r="D404" s="45">
        <v>43092</v>
      </c>
      <c r="E404" s="7" t="s">
        <v>2053</v>
      </c>
      <c r="F404" s="7" t="s">
        <v>1200</v>
      </c>
      <c r="G404" s="7" t="s">
        <v>2056</v>
      </c>
      <c r="H404" s="46" t="str">
        <f t="shared" si="1"/>
        <v>Albatros C4  -  DVS '69 C1</v>
      </c>
      <c r="I404" s="40">
        <v>0.625</v>
      </c>
      <c r="J404" s="7" t="s">
        <v>287</v>
      </c>
      <c r="K404" s="7" t="s">
        <v>1615</v>
      </c>
      <c r="L404" s="7" t="s">
        <v>2055</v>
      </c>
      <c r="M404" s="7" t="s">
        <v>493</v>
      </c>
    </row>
    <row r="405" spans="1:13" ht="16.2">
      <c r="A405" s="7">
        <v>23658</v>
      </c>
      <c r="B405" s="7" t="s">
        <v>1684</v>
      </c>
      <c r="C405" s="7" t="s">
        <v>284</v>
      </c>
      <c r="D405" s="47">
        <v>43106</v>
      </c>
      <c r="E405" s="7" t="s">
        <v>2053</v>
      </c>
      <c r="F405" s="7" t="s">
        <v>1200</v>
      </c>
      <c r="G405" s="7" t="s">
        <v>2057</v>
      </c>
      <c r="H405" s="46" t="str">
        <f t="shared" si="1"/>
        <v>Albatros C4  -  ADO C2</v>
      </c>
      <c r="I405" s="40">
        <v>0.59375</v>
      </c>
      <c r="J405" s="7" t="s">
        <v>305</v>
      </c>
      <c r="K405" s="7" t="s">
        <v>1615</v>
      </c>
      <c r="L405" s="7" t="s">
        <v>2055</v>
      </c>
      <c r="M405" s="7" t="s">
        <v>550</v>
      </c>
    </row>
    <row r="406" spans="1:13" ht="16.2">
      <c r="A406" s="7">
        <v>23342</v>
      </c>
      <c r="B406" s="7" t="s">
        <v>1684</v>
      </c>
      <c r="C406" s="7" t="s">
        <v>284</v>
      </c>
      <c r="D406" s="47">
        <v>43120</v>
      </c>
      <c r="E406" s="7" t="s">
        <v>2053</v>
      </c>
      <c r="F406" s="7" t="s">
        <v>1200</v>
      </c>
      <c r="G406" s="7" t="s">
        <v>2058</v>
      </c>
      <c r="H406" s="46" t="str">
        <f t="shared" si="1"/>
        <v>Albatros C4  -  Triade C1</v>
      </c>
      <c r="I406" s="40">
        <v>0.57986111111111116</v>
      </c>
      <c r="J406" s="7" t="s">
        <v>287</v>
      </c>
      <c r="K406" s="7" t="s">
        <v>1615</v>
      </c>
      <c r="L406" s="7" t="s">
        <v>2055</v>
      </c>
      <c r="M406" s="7" t="s">
        <v>14</v>
      </c>
    </row>
    <row r="407" spans="1:13" ht="16.2">
      <c r="A407" s="7">
        <v>22986</v>
      </c>
      <c r="B407" s="7" t="s">
        <v>1684</v>
      </c>
      <c r="C407" s="7" t="s">
        <v>284</v>
      </c>
      <c r="D407" s="47">
        <v>43155</v>
      </c>
      <c r="E407" s="7" t="s">
        <v>2053</v>
      </c>
      <c r="F407" s="7" t="s">
        <v>1200</v>
      </c>
      <c r="G407" s="7" t="s">
        <v>2059</v>
      </c>
      <c r="H407" s="46" t="str">
        <f t="shared" si="1"/>
        <v>Albatros C4  -  HKC (Ha) C2</v>
      </c>
      <c r="I407" s="40">
        <v>0.45833333333333331</v>
      </c>
      <c r="J407" s="7" t="s">
        <v>287</v>
      </c>
      <c r="K407" s="7" t="s">
        <v>1615</v>
      </c>
      <c r="L407" s="7" t="s">
        <v>2055</v>
      </c>
      <c r="M407" s="7" t="s">
        <v>14</v>
      </c>
    </row>
    <row r="408" spans="1:13" ht="16.2">
      <c r="A408" s="7">
        <v>23963</v>
      </c>
      <c r="B408" s="7" t="s">
        <v>1645</v>
      </c>
      <c r="C408" s="7" t="s">
        <v>284</v>
      </c>
      <c r="D408" s="45">
        <v>43050</v>
      </c>
      <c r="E408" s="7" t="s">
        <v>1380</v>
      </c>
      <c r="F408" s="7" t="s">
        <v>1200</v>
      </c>
      <c r="G408" s="7" t="s">
        <v>2060</v>
      </c>
      <c r="H408" s="46" t="str">
        <f t="shared" si="1"/>
        <v>Albatros C3  -  DES (D) C2</v>
      </c>
      <c r="I408" s="40">
        <v>0.54166666666666663</v>
      </c>
      <c r="J408" s="7" t="s">
        <v>305</v>
      </c>
      <c r="K408" s="7" t="s">
        <v>1615</v>
      </c>
      <c r="L408" s="7" t="s">
        <v>543</v>
      </c>
      <c r="M408" s="7" t="s">
        <v>506</v>
      </c>
    </row>
    <row r="409" spans="1:13" ht="16.2">
      <c r="A409" s="7">
        <v>23237</v>
      </c>
      <c r="B409" s="7" t="s">
        <v>1645</v>
      </c>
      <c r="C409" s="7" t="s">
        <v>284</v>
      </c>
      <c r="D409" s="45">
        <v>43064</v>
      </c>
      <c r="E409" s="7" t="s">
        <v>1380</v>
      </c>
      <c r="F409" s="7" t="s">
        <v>1200</v>
      </c>
      <c r="G409" s="7" t="s">
        <v>2061</v>
      </c>
      <c r="H409" s="46" t="str">
        <f t="shared" si="1"/>
        <v>Albatros C3  -  Excelsior (D) C1</v>
      </c>
      <c r="I409" s="40">
        <v>0.66666666666666663</v>
      </c>
      <c r="J409" s="7" t="s">
        <v>287</v>
      </c>
      <c r="K409" s="7" t="s">
        <v>1615</v>
      </c>
      <c r="L409" s="7" t="s">
        <v>543</v>
      </c>
      <c r="M409" s="7" t="s">
        <v>2028</v>
      </c>
    </row>
    <row r="410" spans="1:13" ht="16.2">
      <c r="A410" s="7">
        <v>24015</v>
      </c>
      <c r="B410" s="7" t="s">
        <v>1645</v>
      </c>
      <c r="C410" s="7" t="s">
        <v>284</v>
      </c>
      <c r="D410" s="47">
        <v>43078</v>
      </c>
      <c r="E410" s="7" t="s">
        <v>1380</v>
      </c>
      <c r="F410" s="7" t="s">
        <v>1200</v>
      </c>
      <c r="G410" s="7" t="s">
        <v>2062</v>
      </c>
      <c r="H410" s="46" t="str">
        <f t="shared" si="1"/>
        <v>Albatros C3  -  't Capproen C1</v>
      </c>
      <c r="I410" s="40">
        <v>0.73611111111111116</v>
      </c>
      <c r="J410" s="7" t="s">
        <v>287</v>
      </c>
      <c r="K410" s="7" t="s">
        <v>1615</v>
      </c>
      <c r="L410" s="7" t="s">
        <v>543</v>
      </c>
      <c r="M410" s="7" t="s">
        <v>2028</v>
      </c>
    </row>
    <row r="411" spans="1:13" ht="16.2">
      <c r="A411" s="7">
        <v>23709</v>
      </c>
      <c r="B411" s="7" t="s">
        <v>1645</v>
      </c>
      <c r="C411" s="7" t="s">
        <v>284</v>
      </c>
      <c r="D411" s="47">
        <v>43106</v>
      </c>
      <c r="E411" s="7" t="s">
        <v>1380</v>
      </c>
      <c r="F411" s="7" t="s">
        <v>1200</v>
      </c>
      <c r="G411" s="7" t="s">
        <v>2063</v>
      </c>
      <c r="H411" s="46" t="str">
        <f t="shared" si="1"/>
        <v>Albatros C3  -  Fortuna/Delta Logistiek C4</v>
      </c>
      <c r="I411" s="40">
        <v>0.55208333333333337</v>
      </c>
      <c r="J411" s="7" t="s">
        <v>305</v>
      </c>
      <c r="K411" s="7" t="s">
        <v>1615</v>
      </c>
      <c r="L411" s="7" t="s">
        <v>543</v>
      </c>
      <c r="M411" s="7" t="s">
        <v>338</v>
      </c>
    </row>
    <row r="412" spans="1:13" ht="16.2">
      <c r="A412" s="7">
        <v>23390</v>
      </c>
      <c r="B412" s="7" t="s">
        <v>1645</v>
      </c>
      <c r="C412" s="7" t="s">
        <v>284</v>
      </c>
      <c r="D412" s="47">
        <v>43120</v>
      </c>
      <c r="E412" s="7" t="s">
        <v>1380</v>
      </c>
      <c r="F412" s="7" t="s">
        <v>1200</v>
      </c>
      <c r="G412" s="7" t="s">
        <v>2064</v>
      </c>
      <c r="H412" s="46" t="str">
        <f t="shared" si="1"/>
        <v>Albatros C3  -  ONDO (G) C2</v>
      </c>
      <c r="I412" s="40">
        <v>0.53819444444444442</v>
      </c>
      <c r="J412" s="7" t="s">
        <v>287</v>
      </c>
      <c r="K412" s="7" t="s">
        <v>1615</v>
      </c>
      <c r="L412" s="7" t="s">
        <v>543</v>
      </c>
      <c r="M412" s="7" t="s">
        <v>2028</v>
      </c>
    </row>
    <row r="413" spans="1:13" ht="16.2">
      <c r="A413" s="7">
        <v>24168</v>
      </c>
      <c r="B413" s="7" t="s">
        <v>1645</v>
      </c>
      <c r="C413" s="7" t="s">
        <v>284</v>
      </c>
      <c r="D413" s="47">
        <v>43176</v>
      </c>
      <c r="E413" s="7" t="s">
        <v>1380</v>
      </c>
      <c r="F413" s="7" t="s">
        <v>1200</v>
      </c>
      <c r="G413" s="7" t="s">
        <v>2065</v>
      </c>
      <c r="H413" s="46" t="str">
        <f t="shared" si="1"/>
        <v>Albatros C3  -  Vitesse (Ba) C3</v>
      </c>
      <c r="I413" s="40">
        <v>0.66666666666666663</v>
      </c>
      <c r="J413" s="7" t="s">
        <v>287</v>
      </c>
      <c r="K413" s="7" t="s">
        <v>1615</v>
      </c>
      <c r="L413" s="7" t="s">
        <v>543</v>
      </c>
      <c r="M413" s="7" t="s">
        <v>14</v>
      </c>
    </row>
    <row r="414" spans="1:13" ht="16.2">
      <c r="A414" s="7">
        <v>23186</v>
      </c>
      <c r="B414" s="7" t="s">
        <v>1647</v>
      </c>
      <c r="C414" s="7" t="s">
        <v>284</v>
      </c>
      <c r="D414" s="45">
        <v>43057</v>
      </c>
      <c r="E414" s="7" t="s">
        <v>1382</v>
      </c>
      <c r="F414" s="7" t="s">
        <v>1200</v>
      </c>
      <c r="G414" s="7" t="s">
        <v>2066</v>
      </c>
      <c r="H414" s="46" t="str">
        <f t="shared" si="1"/>
        <v>Albatros C2  -  OZC C1</v>
      </c>
      <c r="I414" s="40">
        <v>0.45833333333333331</v>
      </c>
      <c r="J414" s="7" t="s">
        <v>287</v>
      </c>
      <c r="K414" s="7" t="s">
        <v>1615</v>
      </c>
      <c r="L414" s="7" t="s">
        <v>517</v>
      </c>
      <c r="M414" s="7" t="s">
        <v>301</v>
      </c>
    </row>
    <row r="415" spans="1:13" ht="16.2">
      <c r="A415" s="7">
        <v>24530</v>
      </c>
      <c r="B415" s="7" t="s">
        <v>1647</v>
      </c>
      <c r="C415" s="7" t="s">
        <v>284</v>
      </c>
      <c r="D415" s="47">
        <v>43071</v>
      </c>
      <c r="E415" s="7" t="s">
        <v>1382</v>
      </c>
      <c r="F415" s="7" t="s">
        <v>1200</v>
      </c>
      <c r="G415" s="7" t="s">
        <v>2067</v>
      </c>
      <c r="H415" s="46" t="str">
        <f t="shared" si="1"/>
        <v>Albatros C2  -  Vitesse (Ba) C2</v>
      </c>
      <c r="I415" s="40">
        <v>0.60416666666666663</v>
      </c>
      <c r="J415" s="7" t="s">
        <v>373</v>
      </c>
      <c r="K415" s="7" t="s">
        <v>1615</v>
      </c>
      <c r="L415" s="7" t="s">
        <v>517</v>
      </c>
      <c r="M415" s="7" t="s">
        <v>506</v>
      </c>
    </row>
    <row r="416" spans="1:13" ht="16.2">
      <c r="A416" s="7">
        <v>23286</v>
      </c>
      <c r="B416" s="7" t="s">
        <v>1647</v>
      </c>
      <c r="C416" s="7" t="s">
        <v>284</v>
      </c>
      <c r="D416" s="45">
        <v>43085</v>
      </c>
      <c r="E416" s="7" t="s">
        <v>1382</v>
      </c>
      <c r="F416" s="7" t="s">
        <v>1200</v>
      </c>
      <c r="G416" s="7" t="s">
        <v>2068</v>
      </c>
      <c r="H416" s="46" t="str">
        <f t="shared" si="1"/>
        <v>Albatros C2  -  Fortuna/Delta Logistiek C3</v>
      </c>
      <c r="I416" s="40">
        <v>0.54166666666666663</v>
      </c>
      <c r="J416" s="7" t="s">
        <v>305</v>
      </c>
      <c r="K416" s="7" t="s">
        <v>1615</v>
      </c>
      <c r="L416" s="7" t="s">
        <v>517</v>
      </c>
      <c r="M416" s="7" t="s">
        <v>423</v>
      </c>
    </row>
    <row r="417" spans="1:13" ht="16.2">
      <c r="A417" s="7">
        <v>24113</v>
      </c>
      <c r="B417" s="7" t="s">
        <v>1647</v>
      </c>
      <c r="C417" s="7" t="s">
        <v>284</v>
      </c>
      <c r="D417" s="47">
        <v>43106</v>
      </c>
      <c r="E417" s="7" t="s">
        <v>1382</v>
      </c>
      <c r="F417" s="7" t="s">
        <v>1200</v>
      </c>
      <c r="G417" s="7" t="s">
        <v>2069</v>
      </c>
      <c r="H417" s="46" t="str">
        <f t="shared" si="1"/>
        <v>Albatros C2  -  Maassluis C2</v>
      </c>
      <c r="I417" s="40">
        <v>0.58333333333333337</v>
      </c>
      <c r="J417" s="7" t="s">
        <v>287</v>
      </c>
      <c r="K417" s="7" t="s">
        <v>1615</v>
      </c>
      <c r="L417" s="7" t="s">
        <v>517</v>
      </c>
      <c r="M417" s="7" t="s">
        <v>1489</v>
      </c>
    </row>
    <row r="418" spans="1:13" ht="16.2">
      <c r="A418" s="7">
        <v>23856</v>
      </c>
      <c r="B418" s="7" t="s">
        <v>1647</v>
      </c>
      <c r="C418" s="7" t="s">
        <v>284</v>
      </c>
      <c r="D418" s="47">
        <v>43141</v>
      </c>
      <c r="E418" s="7" t="s">
        <v>1382</v>
      </c>
      <c r="F418" s="7" t="s">
        <v>1200</v>
      </c>
      <c r="G418" s="7" t="s">
        <v>2070</v>
      </c>
      <c r="H418" s="46" t="str">
        <f t="shared" si="1"/>
        <v>Albatros C2  -  Olympia (S) C1</v>
      </c>
      <c r="I418" s="40">
        <v>0.60416666666666663</v>
      </c>
      <c r="J418" s="7" t="s">
        <v>305</v>
      </c>
      <c r="K418" s="7" t="s">
        <v>1615</v>
      </c>
      <c r="L418" s="7" t="s">
        <v>517</v>
      </c>
      <c r="M418" s="7" t="s">
        <v>14</v>
      </c>
    </row>
    <row r="419" spans="1:13" ht="16.2">
      <c r="A419" s="7">
        <v>25038</v>
      </c>
      <c r="B419" s="7" t="s">
        <v>1647</v>
      </c>
      <c r="C419" s="7" t="s">
        <v>284</v>
      </c>
      <c r="D419" s="47">
        <v>43169</v>
      </c>
      <c r="E419" s="7" t="s">
        <v>1382</v>
      </c>
      <c r="F419" s="7" t="s">
        <v>1200</v>
      </c>
      <c r="G419" s="7" t="s">
        <v>2071</v>
      </c>
      <c r="H419" s="46" t="str">
        <f t="shared" si="1"/>
        <v>Albatros C2  -  RWA C1</v>
      </c>
      <c r="I419" s="40">
        <v>0.49652777777777779</v>
      </c>
      <c r="J419" s="7" t="s">
        <v>287</v>
      </c>
      <c r="K419" s="7" t="s">
        <v>1615</v>
      </c>
      <c r="L419" s="7" t="s">
        <v>517</v>
      </c>
      <c r="M419" s="7" t="s">
        <v>14</v>
      </c>
    </row>
    <row r="420" spans="1:13" ht="16.2">
      <c r="A420" s="7">
        <v>21072</v>
      </c>
      <c r="B420" s="7" t="s">
        <v>1649</v>
      </c>
      <c r="C420" s="7" t="s">
        <v>284</v>
      </c>
      <c r="D420" s="47">
        <v>43071</v>
      </c>
      <c r="E420" s="7" t="s">
        <v>1351</v>
      </c>
      <c r="F420" s="7" t="s">
        <v>1200</v>
      </c>
      <c r="G420" s="7" t="s">
        <v>2072</v>
      </c>
      <c r="H420" s="46" t="str">
        <f t="shared" si="1"/>
        <v>Albatros C1  -  Oranje Wit (D) C2</v>
      </c>
      <c r="I420" s="40">
        <v>0.53819444444444442</v>
      </c>
      <c r="J420" s="7" t="s">
        <v>287</v>
      </c>
      <c r="K420" s="7" t="s">
        <v>1615</v>
      </c>
      <c r="L420" s="7" t="s">
        <v>567</v>
      </c>
      <c r="M420" s="7" t="s">
        <v>289</v>
      </c>
    </row>
    <row r="421" spans="1:13" ht="16.2">
      <c r="A421" s="7">
        <v>20896</v>
      </c>
      <c r="B421" s="7" t="s">
        <v>1649</v>
      </c>
      <c r="C421" s="7" t="s">
        <v>284</v>
      </c>
      <c r="D421" s="45">
        <v>43085</v>
      </c>
      <c r="E421" s="7" t="s">
        <v>1351</v>
      </c>
      <c r="F421" s="7" t="s">
        <v>1200</v>
      </c>
      <c r="G421" s="7" t="s">
        <v>2073</v>
      </c>
      <c r="H421" s="46" t="str">
        <f t="shared" si="1"/>
        <v>Albatros C1  -  Vitesse (Ba) C1</v>
      </c>
      <c r="I421" s="40">
        <v>0.57986111111111116</v>
      </c>
      <c r="J421" s="7" t="s">
        <v>287</v>
      </c>
      <c r="K421" s="7" t="s">
        <v>1615</v>
      </c>
      <c r="L421" s="7" t="s">
        <v>301</v>
      </c>
      <c r="M421" s="7" t="s">
        <v>289</v>
      </c>
    </row>
    <row r="422" spans="1:13" ht="16.2">
      <c r="A422" s="7">
        <v>21105</v>
      </c>
      <c r="B422" s="7" t="s">
        <v>1649</v>
      </c>
      <c r="C422" s="7" t="s">
        <v>284</v>
      </c>
      <c r="D422" s="47">
        <v>43120</v>
      </c>
      <c r="E422" s="7" t="s">
        <v>1351</v>
      </c>
      <c r="F422" s="7" t="s">
        <v>1200</v>
      </c>
      <c r="G422" s="7" t="s">
        <v>2074</v>
      </c>
      <c r="H422" s="46" t="str">
        <f t="shared" si="1"/>
        <v>Albatros C1  -  Fortis C1</v>
      </c>
      <c r="I422" s="40">
        <v>0.4548611111111111</v>
      </c>
      <c r="J422" s="7" t="s">
        <v>287</v>
      </c>
      <c r="K422" s="7" t="s">
        <v>1615</v>
      </c>
      <c r="L422" s="7" t="s">
        <v>606</v>
      </c>
      <c r="M422" s="7" t="s">
        <v>289</v>
      </c>
    </row>
    <row r="423" spans="1:13" ht="16.2">
      <c r="A423" s="7">
        <v>21000</v>
      </c>
      <c r="B423" s="7" t="s">
        <v>1649</v>
      </c>
      <c r="C423" s="7" t="s">
        <v>284</v>
      </c>
      <c r="D423" s="47">
        <v>43127</v>
      </c>
      <c r="E423" s="7" t="s">
        <v>1351</v>
      </c>
      <c r="F423" s="7" t="s">
        <v>1200</v>
      </c>
      <c r="G423" s="7" t="s">
        <v>2075</v>
      </c>
      <c r="H423" s="46" t="str">
        <f t="shared" si="1"/>
        <v>Albatros C1  -  Sporting Delta C1</v>
      </c>
      <c r="I423" s="40">
        <v>0.45833333333333331</v>
      </c>
      <c r="J423" s="7" t="s">
        <v>373</v>
      </c>
      <c r="K423" s="7" t="s">
        <v>1615</v>
      </c>
      <c r="L423" s="7" t="s">
        <v>606</v>
      </c>
      <c r="M423" s="7" t="s">
        <v>289</v>
      </c>
    </row>
    <row r="424" spans="1:13" ht="16.2">
      <c r="A424" s="7">
        <v>21187</v>
      </c>
      <c r="B424" s="7" t="s">
        <v>1649</v>
      </c>
      <c r="C424" s="7" t="s">
        <v>284</v>
      </c>
      <c r="D424" s="47">
        <v>43141</v>
      </c>
      <c r="E424" s="7" t="s">
        <v>1351</v>
      </c>
      <c r="F424" s="7" t="s">
        <v>1200</v>
      </c>
      <c r="G424" s="7" t="s">
        <v>2076</v>
      </c>
      <c r="H424" s="46" t="str">
        <f t="shared" si="1"/>
        <v>Albatros C1  -  TOP (A) C1</v>
      </c>
      <c r="I424" s="40">
        <v>0.64583333333333337</v>
      </c>
      <c r="J424" s="7" t="s">
        <v>305</v>
      </c>
      <c r="K424" s="7" t="s">
        <v>1615</v>
      </c>
      <c r="L424" s="7" t="s">
        <v>338</v>
      </c>
      <c r="M424" s="7" t="s">
        <v>289</v>
      </c>
    </row>
    <row r="425" spans="1:13" ht="16.2">
      <c r="A425" s="7">
        <v>21043</v>
      </c>
      <c r="B425" s="7" t="s">
        <v>1649</v>
      </c>
      <c r="C425" s="7" t="s">
        <v>284</v>
      </c>
      <c r="D425" s="47">
        <v>43169</v>
      </c>
      <c r="E425" s="7" t="s">
        <v>1351</v>
      </c>
      <c r="F425" s="7" t="s">
        <v>1200</v>
      </c>
      <c r="G425" s="7" t="s">
        <v>2077</v>
      </c>
      <c r="H425" s="46" t="str">
        <f t="shared" si="1"/>
        <v>Albatros C1  -  Tilburg C1</v>
      </c>
      <c r="I425" s="40">
        <v>0.53819444444444442</v>
      </c>
      <c r="J425" s="7" t="s">
        <v>287</v>
      </c>
      <c r="K425" s="7" t="s">
        <v>1615</v>
      </c>
      <c r="L425" s="7" t="s">
        <v>567</v>
      </c>
      <c r="M425" s="7" t="s">
        <v>289</v>
      </c>
    </row>
    <row r="426" spans="1:13" ht="16.2">
      <c r="A426" s="7">
        <v>18738</v>
      </c>
      <c r="B426" s="7" t="s">
        <v>1614</v>
      </c>
      <c r="C426" s="7" t="s">
        <v>284</v>
      </c>
      <c r="D426" s="45">
        <v>43050</v>
      </c>
      <c r="E426" s="7" t="s">
        <v>1235</v>
      </c>
      <c r="F426" s="7" t="s">
        <v>1200</v>
      </c>
      <c r="G426" s="7" t="s">
        <v>2078</v>
      </c>
      <c r="H426" s="46" t="str">
        <f t="shared" si="1"/>
        <v>Albatros B4  -  Oranje Wit (D) B5</v>
      </c>
      <c r="I426" s="40">
        <v>0.57986111111111116</v>
      </c>
      <c r="J426" s="7" t="s">
        <v>287</v>
      </c>
      <c r="K426" s="7" t="s">
        <v>1615</v>
      </c>
      <c r="L426" s="7" t="s">
        <v>479</v>
      </c>
      <c r="M426" s="7" t="s">
        <v>445</v>
      </c>
    </row>
    <row r="427" spans="1:13" ht="16.2">
      <c r="A427" s="7">
        <v>18117</v>
      </c>
      <c r="B427" s="7" t="s">
        <v>1614</v>
      </c>
      <c r="C427" s="7" t="s">
        <v>284</v>
      </c>
      <c r="D427" s="45">
        <v>43064</v>
      </c>
      <c r="E427" s="7" t="s">
        <v>1235</v>
      </c>
      <c r="F427" s="7" t="s">
        <v>1200</v>
      </c>
      <c r="G427" s="7" t="s">
        <v>2079</v>
      </c>
      <c r="H427" s="46" t="str">
        <f t="shared" si="1"/>
        <v>Albatros B4  -  ONDO (G) B5</v>
      </c>
      <c r="I427" s="40">
        <v>0.70833333333333337</v>
      </c>
      <c r="J427" s="7" t="s">
        <v>287</v>
      </c>
      <c r="K427" s="7" t="s">
        <v>1615</v>
      </c>
      <c r="L427" s="7" t="s">
        <v>479</v>
      </c>
      <c r="M427" s="7" t="s">
        <v>2080</v>
      </c>
    </row>
    <row r="428" spans="1:13" ht="16.2">
      <c r="A428" s="7">
        <v>18785</v>
      </c>
      <c r="B428" s="7" t="s">
        <v>1614</v>
      </c>
      <c r="C428" s="7" t="s">
        <v>284</v>
      </c>
      <c r="D428" s="47">
        <v>43078</v>
      </c>
      <c r="E428" s="7" t="s">
        <v>1235</v>
      </c>
      <c r="F428" s="7" t="s">
        <v>1200</v>
      </c>
      <c r="G428" s="7" t="s">
        <v>2081</v>
      </c>
      <c r="H428" s="46" t="str">
        <f t="shared" si="1"/>
        <v>Albatros B4  -  Conventus B3</v>
      </c>
      <c r="I428" s="40">
        <v>0.72916666666666663</v>
      </c>
      <c r="J428" s="7" t="s">
        <v>305</v>
      </c>
      <c r="K428" s="7" t="s">
        <v>1615</v>
      </c>
      <c r="L428" s="7" t="s">
        <v>479</v>
      </c>
      <c r="M428" s="7" t="s">
        <v>2082</v>
      </c>
    </row>
    <row r="429" spans="1:13" ht="16.2">
      <c r="A429" s="7">
        <v>17940</v>
      </c>
      <c r="B429" s="7" t="s">
        <v>1614</v>
      </c>
      <c r="C429" s="7" t="s">
        <v>284</v>
      </c>
      <c r="D429" s="45">
        <v>43092</v>
      </c>
      <c r="E429" s="7" t="s">
        <v>1235</v>
      </c>
      <c r="F429" s="7" t="s">
        <v>1200</v>
      </c>
      <c r="G429" s="7" t="s">
        <v>2083</v>
      </c>
      <c r="H429" s="46" t="str">
        <f t="shared" si="1"/>
        <v>Albatros B4  -  Nieuwerkerk B3</v>
      </c>
      <c r="I429" s="40">
        <v>0.66666666666666663</v>
      </c>
      <c r="J429" s="7" t="s">
        <v>287</v>
      </c>
      <c r="K429" s="7" t="s">
        <v>1615</v>
      </c>
      <c r="L429" s="7" t="s">
        <v>479</v>
      </c>
      <c r="M429" s="7" t="s">
        <v>423</v>
      </c>
    </row>
    <row r="430" spans="1:13" ht="16.2">
      <c r="A430" s="7">
        <v>18255</v>
      </c>
      <c r="B430" s="7" t="s">
        <v>1614</v>
      </c>
      <c r="C430" s="7" t="s">
        <v>284</v>
      </c>
      <c r="D430" s="47">
        <v>43120</v>
      </c>
      <c r="E430" s="7" t="s">
        <v>1235</v>
      </c>
      <c r="F430" s="7" t="s">
        <v>1200</v>
      </c>
      <c r="G430" s="7" t="s">
        <v>1532</v>
      </c>
      <c r="H430" s="46" t="str">
        <f t="shared" si="1"/>
        <v>Albatros B4  -  ZKV (Zu) B1</v>
      </c>
      <c r="I430" s="40">
        <v>0.45833333333333331</v>
      </c>
      <c r="J430" s="7" t="s">
        <v>373</v>
      </c>
      <c r="K430" s="7" t="s">
        <v>1615</v>
      </c>
      <c r="L430" s="7" t="s">
        <v>479</v>
      </c>
      <c r="M430" s="7" t="s">
        <v>456</v>
      </c>
    </row>
    <row r="431" spans="1:13" ht="16.2">
      <c r="A431" s="7">
        <v>18915</v>
      </c>
      <c r="B431" s="7" t="s">
        <v>1614</v>
      </c>
      <c r="C431" s="7" t="s">
        <v>284</v>
      </c>
      <c r="D431" s="47">
        <v>43176</v>
      </c>
      <c r="E431" s="7" t="s">
        <v>1235</v>
      </c>
      <c r="F431" s="7" t="s">
        <v>1200</v>
      </c>
      <c r="G431" s="7" t="s">
        <v>2084</v>
      </c>
      <c r="H431" s="46" t="str">
        <f t="shared" si="1"/>
        <v>Albatros B4  -  OZC B2</v>
      </c>
      <c r="I431" s="40">
        <v>0.79166666666666663</v>
      </c>
      <c r="J431" s="7" t="s">
        <v>287</v>
      </c>
      <c r="K431" s="7" t="s">
        <v>1615</v>
      </c>
      <c r="L431" s="7" t="s">
        <v>479</v>
      </c>
      <c r="M431" s="7" t="s">
        <v>14</v>
      </c>
    </row>
    <row r="432" spans="1:13" ht="16.2">
      <c r="A432" s="7">
        <v>37504</v>
      </c>
      <c r="B432" s="7" t="s">
        <v>1655</v>
      </c>
      <c r="C432" s="7" t="s">
        <v>284</v>
      </c>
      <c r="D432" s="45">
        <v>43057</v>
      </c>
      <c r="E432" s="7" t="s">
        <v>1384</v>
      </c>
      <c r="F432" s="7" t="s">
        <v>1200</v>
      </c>
      <c r="G432" s="7" t="s">
        <v>2085</v>
      </c>
      <c r="H432" s="46" t="str">
        <f t="shared" si="1"/>
        <v>Albatros B3  -  VIOS (W) B1</v>
      </c>
      <c r="I432" s="40">
        <v>0.5</v>
      </c>
      <c r="J432" s="7" t="s">
        <v>287</v>
      </c>
      <c r="K432" s="7" t="s">
        <v>1615</v>
      </c>
      <c r="L432" s="7" t="s">
        <v>444</v>
      </c>
      <c r="M432" s="7" t="s">
        <v>456</v>
      </c>
    </row>
    <row r="433" spans="1:13" ht="16.2">
      <c r="A433" s="7">
        <v>37505</v>
      </c>
      <c r="B433" s="7" t="s">
        <v>1655</v>
      </c>
      <c r="C433" s="7" t="s">
        <v>284</v>
      </c>
      <c r="D433" s="45">
        <v>43064</v>
      </c>
      <c r="E433" s="7" t="s">
        <v>1384</v>
      </c>
      <c r="F433" s="7" t="s">
        <v>1200</v>
      </c>
      <c r="G433" s="7" t="s">
        <v>2086</v>
      </c>
      <c r="H433" s="46" t="str">
        <f t="shared" si="1"/>
        <v>Albatros B3  -  Good Luck B1</v>
      </c>
      <c r="I433" s="40">
        <v>0.5</v>
      </c>
      <c r="J433" s="7" t="s">
        <v>287</v>
      </c>
      <c r="K433" s="7" t="s">
        <v>1615</v>
      </c>
      <c r="L433" s="7" t="s">
        <v>444</v>
      </c>
      <c r="M433" s="7" t="s">
        <v>456</v>
      </c>
    </row>
    <row r="434" spans="1:13" ht="16.2">
      <c r="A434" s="7">
        <v>37508</v>
      </c>
      <c r="B434" s="7" t="s">
        <v>1655</v>
      </c>
      <c r="C434" s="7" t="s">
        <v>284</v>
      </c>
      <c r="D434" s="47">
        <v>43113</v>
      </c>
      <c r="E434" s="7" t="s">
        <v>1384</v>
      </c>
      <c r="F434" s="7" t="s">
        <v>1200</v>
      </c>
      <c r="G434" s="7" t="s">
        <v>2087</v>
      </c>
      <c r="H434" s="46" t="str">
        <f t="shared" si="1"/>
        <v>Albatros B3  -  Focus B1</v>
      </c>
      <c r="I434" s="40">
        <v>0.52777777777777779</v>
      </c>
      <c r="J434" s="7" t="s">
        <v>373</v>
      </c>
      <c r="K434" s="7" t="s">
        <v>1615</v>
      </c>
      <c r="L434" s="7" t="s">
        <v>444</v>
      </c>
      <c r="M434" s="7" t="s">
        <v>2082</v>
      </c>
    </row>
    <row r="435" spans="1:13" ht="16.2">
      <c r="A435" s="7">
        <v>37521</v>
      </c>
      <c r="B435" s="7" t="s">
        <v>1655</v>
      </c>
      <c r="C435" s="7" t="s">
        <v>284</v>
      </c>
      <c r="D435" s="47">
        <v>43134</v>
      </c>
      <c r="E435" s="7" t="s">
        <v>1384</v>
      </c>
      <c r="F435" s="7" t="s">
        <v>1200</v>
      </c>
      <c r="G435" s="7" t="s">
        <v>2088</v>
      </c>
      <c r="H435" s="46" t="str">
        <f t="shared" si="1"/>
        <v>Albatros B3  -  't Capproen B2</v>
      </c>
      <c r="I435" s="40">
        <v>0.45833333333333331</v>
      </c>
      <c r="J435" s="7" t="s">
        <v>373</v>
      </c>
      <c r="K435" s="7" t="s">
        <v>1615</v>
      </c>
      <c r="L435" s="7" t="s">
        <v>444</v>
      </c>
      <c r="M435" s="7" t="s">
        <v>14</v>
      </c>
    </row>
    <row r="436" spans="1:13" ht="16.2">
      <c r="A436" s="7">
        <v>37511</v>
      </c>
      <c r="B436" s="7" t="s">
        <v>1655</v>
      </c>
      <c r="C436" s="7" t="s">
        <v>284</v>
      </c>
      <c r="D436" s="47">
        <v>43141</v>
      </c>
      <c r="E436" s="7" t="s">
        <v>1384</v>
      </c>
      <c r="F436" s="7" t="s">
        <v>1200</v>
      </c>
      <c r="G436" s="7" t="s">
        <v>2089</v>
      </c>
      <c r="H436" s="46" t="str">
        <f t="shared" si="1"/>
        <v>Albatros B3  -  DeetosSnel B3</v>
      </c>
      <c r="I436" s="40">
        <v>0.5625</v>
      </c>
      <c r="J436" s="7" t="s">
        <v>305</v>
      </c>
      <c r="K436" s="7" t="s">
        <v>1615</v>
      </c>
      <c r="L436" s="7" t="s">
        <v>444</v>
      </c>
      <c r="M436" s="7" t="s">
        <v>14</v>
      </c>
    </row>
    <row r="437" spans="1:13" ht="16.2">
      <c r="A437" s="7">
        <v>37512</v>
      </c>
      <c r="B437" s="7" t="s">
        <v>1655</v>
      </c>
      <c r="C437" s="7" t="s">
        <v>284</v>
      </c>
      <c r="D437" s="47">
        <v>43176</v>
      </c>
      <c r="E437" s="7" t="s">
        <v>1384</v>
      </c>
      <c r="F437" s="7" t="s">
        <v>1200</v>
      </c>
      <c r="G437" s="7" t="s">
        <v>2090</v>
      </c>
      <c r="H437" s="46" t="str">
        <f t="shared" si="1"/>
        <v>Albatros B3  -  SKV B1</v>
      </c>
      <c r="I437" s="40">
        <v>0.75</v>
      </c>
      <c r="J437" s="7" t="s">
        <v>287</v>
      </c>
      <c r="K437" s="7" t="s">
        <v>1615</v>
      </c>
      <c r="L437" s="7" t="s">
        <v>444</v>
      </c>
      <c r="M437" s="7" t="s">
        <v>14</v>
      </c>
    </row>
    <row r="438" spans="1:13" ht="16.2">
      <c r="A438" s="7">
        <v>18739</v>
      </c>
      <c r="B438" s="7" t="s">
        <v>1739</v>
      </c>
      <c r="C438" s="7" t="s">
        <v>284</v>
      </c>
      <c r="D438" s="45">
        <v>43050</v>
      </c>
      <c r="E438" s="7" t="s">
        <v>1386</v>
      </c>
      <c r="F438" s="7" t="s">
        <v>1200</v>
      </c>
      <c r="G438" s="7" t="s">
        <v>2091</v>
      </c>
      <c r="H438" s="46" t="str">
        <f t="shared" si="1"/>
        <v>Albatros B2  -  DSO (K) B1</v>
      </c>
      <c r="I438" s="40">
        <v>0.58333333333333337</v>
      </c>
      <c r="J438" s="7" t="s">
        <v>305</v>
      </c>
      <c r="K438" s="7" t="s">
        <v>1615</v>
      </c>
      <c r="L438" s="7" t="s">
        <v>417</v>
      </c>
      <c r="M438" s="7" t="s">
        <v>456</v>
      </c>
    </row>
    <row r="439" spans="1:13" ht="16.2">
      <c r="A439" s="7">
        <v>18916</v>
      </c>
      <c r="B439" s="7" t="s">
        <v>1739</v>
      </c>
      <c r="C439" s="7" t="s">
        <v>284</v>
      </c>
      <c r="D439" s="47">
        <v>43078</v>
      </c>
      <c r="E439" s="7" t="s">
        <v>1386</v>
      </c>
      <c r="F439" s="7" t="s">
        <v>1200</v>
      </c>
      <c r="G439" s="7" t="s">
        <v>2092</v>
      </c>
      <c r="H439" s="46" t="str">
        <f t="shared" si="1"/>
        <v>Albatros B2  -  Oranje Zwart/De Hoekse B1</v>
      </c>
      <c r="I439" s="40">
        <v>0.77777777777777779</v>
      </c>
      <c r="J439" s="7" t="s">
        <v>287</v>
      </c>
      <c r="K439" s="7" t="s">
        <v>1615</v>
      </c>
      <c r="L439" s="7" t="s">
        <v>417</v>
      </c>
      <c r="M439" s="7" t="s">
        <v>298</v>
      </c>
    </row>
    <row r="440" spans="1:13" ht="16.2">
      <c r="A440" s="7">
        <v>18118</v>
      </c>
      <c r="B440" s="7" t="s">
        <v>1739</v>
      </c>
      <c r="C440" s="7" t="s">
        <v>284</v>
      </c>
      <c r="D440" s="45">
        <v>43092</v>
      </c>
      <c r="E440" s="7" t="s">
        <v>1386</v>
      </c>
      <c r="F440" s="7" t="s">
        <v>1200</v>
      </c>
      <c r="G440" s="7" t="s">
        <v>2093</v>
      </c>
      <c r="H440" s="46" t="str">
        <f t="shared" si="1"/>
        <v>Albatros B2  -  PKC/SWKGroep B4</v>
      </c>
      <c r="I440" s="40">
        <v>0.70833333333333337</v>
      </c>
      <c r="J440" s="7" t="s">
        <v>287</v>
      </c>
      <c r="K440" s="7" t="s">
        <v>1615</v>
      </c>
      <c r="L440" s="7" t="s">
        <v>417</v>
      </c>
      <c r="M440" s="7" t="s">
        <v>445</v>
      </c>
    </row>
    <row r="441" spans="1:13" ht="16.2">
      <c r="A441" s="7">
        <v>18256</v>
      </c>
      <c r="B441" s="7" t="s">
        <v>1739</v>
      </c>
      <c r="C441" s="7" t="s">
        <v>284</v>
      </c>
      <c r="D441" s="47">
        <v>43106</v>
      </c>
      <c r="E441" s="7" t="s">
        <v>1386</v>
      </c>
      <c r="F441" s="7" t="s">
        <v>1200</v>
      </c>
      <c r="G441" s="7" t="s">
        <v>1473</v>
      </c>
      <c r="H441" s="46" t="str">
        <f t="shared" si="1"/>
        <v>Albatros B2  -  DeetosSnel B2</v>
      </c>
      <c r="I441" s="40">
        <v>0.625</v>
      </c>
      <c r="J441" s="7" t="s">
        <v>287</v>
      </c>
      <c r="K441" s="7" t="s">
        <v>1615</v>
      </c>
      <c r="L441" s="7" t="s">
        <v>417</v>
      </c>
      <c r="M441" s="7" t="s">
        <v>445</v>
      </c>
    </row>
    <row r="442" spans="1:13" ht="16.2">
      <c r="A442" s="7">
        <v>17941</v>
      </c>
      <c r="B442" s="7" t="s">
        <v>1739</v>
      </c>
      <c r="C442" s="7" t="s">
        <v>284</v>
      </c>
      <c r="D442" s="47">
        <v>43148</v>
      </c>
      <c r="E442" s="7" t="s">
        <v>1386</v>
      </c>
      <c r="F442" s="7" t="s">
        <v>1200</v>
      </c>
      <c r="G442" s="7" t="s">
        <v>2094</v>
      </c>
      <c r="H442" s="46" t="str">
        <f t="shared" si="1"/>
        <v>Albatros B2  -  OZC B1</v>
      </c>
      <c r="I442" s="40">
        <v>0.45833333333333331</v>
      </c>
      <c r="J442" s="7" t="s">
        <v>305</v>
      </c>
      <c r="K442" s="7" t="s">
        <v>1615</v>
      </c>
      <c r="L442" s="7" t="s">
        <v>417</v>
      </c>
      <c r="M442" s="7" t="s">
        <v>14</v>
      </c>
    </row>
    <row r="443" spans="1:13" ht="16.2">
      <c r="A443" s="7">
        <v>18786</v>
      </c>
      <c r="B443" s="7" t="s">
        <v>1739</v>
      </c>
      <c r="C443" s="7" t="s">
        <v>284</v>
      </c>
      <c r="D443" s="47">
        <v>43155</v>
      </c>
      <c r="E443" s="7" t="s">
        <v>1386</v>
      </c>
      <c r="F443" s="7" t="s">
        <v>1200</v>
      </c>
      <c r="G443" s="7" t="s">
        <v>2095</v>
      </c>
      <c r="H443" s="46" t="str">
        <f t="shared" si="1"/>
        <v>Albatros B2  -  Conventus B1</v>
      </c>
      <c r="I443" s="40">
        <v>0.5</v>
      </c>
      <c r="J443" s="7" t="s">
        <v>287</v>
      </c>
      <c r="K443" s="7" t="s">
        <v>1615</v>
      </c>
      <c r="L443" s="7" t="s">
        <v>417</v>
      </c>
      <c r="M443" s="7" t="s">
        <v>14</v>
      </c>
    </row>
    <row r="444" spans="1:13" ht="16.2">
      <c r="A444" s="7">
        <v>19803</v>
      </c>
      <c r="B444" s="7" t="s">
        <v>1651</v>
      </c>
      <c r="C444" s="7" t="s">
        <v>284</v>
      </c>
      <c r="D444" s="45">
        <v>43057</v>
      </c>
      <c r="E444" s="7" t="s">
        <v>1355</v>
      </c>
      <c r="F444" s="7" t="s">
        <v>1200</v>
      </c>
      <c r="G444" s="7" t="s">
        <v>2096</v>
      </c>
      <c r="H444" s="46" t="str">
        <f t="shared" si="1"/>
        <v>Albatros B1  -  KOAG B1</v>
      </c>
      <c r="I444" s="40">
        <v>0.57291666666666663</v>
      </c>
      <c r="J444" s="7" t="s">
        <v>373</v>
      </c>
      <c r="K444" s="7" t="s">
        <v>1615</v>
      </c>
      <c r="L444" s="7" t="s">
        <v>328</v>
      </c>
      <c r="M444" s="7" t="s">
        <v>289</v>
      </c>
    </row>
    <row r="445" spans="1:13" ht="16.2">
      <c r="A445" s="7">
        <v>20000</v>
      </c>
      <c r="B445" s="7" t="s">
        <v>1651</v>
      </c>
      <c r="C445" s="7" t="s">
        <v>284</v>
      </c>
      <c r="D445" s="47">
        <v>43071</v>
      </c>
      <c r="E445" s="7" t="s">
        <v>1355</v>
      </c>
      <c r="F445" s="7" t="s">
        <v>1200</v>
      </c>
      <c r="G445" s="7" t="s">
        <v>2097</v>
      </c>
      <c r="H445" s="46" t="str">
        <f t="shared" si="1"/>
        <v>Albatros B1  -  KCR B1</v>
      </c>
      <c r="I445" s="40">
        <v>0.57986111111111116</v>
      </c>
      <c r="J445" s="7" t="s">
        <v>287</v>
      </c>
      <c r="K445" s="7" t="s">
        <v>1615</v>
      </c>
      <c r="L445" s="7" t="s">
        <v>567</v>
      </c>
      <c r="M445" s="7" t="s">
        <v>289</v>
      </c>
    </row>
    <row r="446" spans="1:13" ht="16.2">
      <c r="A446" s="7">
        <v>19819</v>
      </c>
      <c r="B446" s="7" t="s">
        <v>1651</v>
      </c>
      <c r="C446" s="7" t="s">
        <v>284</v>
      </c>
      <c r="D446" s="45">
        <v>43085</v>
      </c>
      <c r="E446" s="7" t="s">
        <v>1355</v>
      </c>
      <c r="F446" s="7" t="s">
        <v>1200</v>
      </c>
      <c r="G446" s="7" t="s">
        <v>2098</v>
      </c>
      <c r="H446" s="46" t="str">
        <f t="shared" si="1"/>
        <v>Albatros B1  -  Kinderdijk B1</v>
      </c>
      <c r="I446" s="40">
        <v>0.5</v>
      </c>
      <c r="J446" s="7" t="s">
        <v>305</v>
      </c>
      <c r="K446" s="7" t="s">
        <v>1615</v>
      </c>
      <c r="L446" s="7" t="s">
        <v>606</v>
      </c>
      <c r="M446" s="7" t="s">
        <v>289</v>
      </c>
    </row>
    <row r="447" spans="1:13" ht="16.2">
      <c r="A447" s="7">
        <v>19827</v>
      </c>
      <c r="B447" s="7" t="s">
        <v>1651</v>
      </c>
      <c r="C447" s="7" t="s">
        <v>284</v>
      </c>
      <c r="D447" s="47">
        <v>43113</v>
      </c>
      <c r="E447" s="7" t="s">
        <v>1355</v>
      </c>
      <c r="F447" s="7" t="s">
        <v>1200</v>
      </c>
      <c r="G447" s="7" t="s">
        <v>1356</v>
      </c>
      <c r="H447" s="46" t="str">
        <f t="shared" si="1"/>
        <v>Albatros B1  -  Oranje Wit (D) B2</v>
      </c>
      <c r="I447" s="40">
        <v>0.63194444444444442</v>
      </c>
      <c r="J447" s="7" t="s">
        <v>287</v>
      </c>
      <c r="K447" s="7" t="s">
        <v>1615</v>
      </c>
      <c r="L447" s="7" t="s">
        <v>606</v>
      </c>
      <c r="M447" s="7" t="s">
        <v>289</v>
      </c>
    </row>
    <row r="448" spans="1:13" ht="16.2">
      <c r="A448" s="7">
        <v>19940</v>
      </c>
      <c r="B448" s="7" t="s">
        <v>1651</v>
      </c>
      <c r="C448" s="7" t="s">
        <v>284</v>
      </c>
      <c r="D448" s="47">
        <v>43127</v>
      </c>
      <c r="E448" s="7" t="s">
        <v>1355</v>
      </c>
      <c r="F448" s="7" t="s">
        <v>1200</v>
      </c>
      <c r="G448" s="7" t="s">
        <v>2099</v>
      </c>
      <c r="H448" s="46" t="str">
        <f t="shared" si="1"/>
        <v>Albatros B1  -  Vitesse (Ba) B1</v>
      </c>
      <c r="I448" s="40">
        <v>0.5</v>
      </c>
      <c r="J448" s="7" t="s">
        <v>373</v>
      </c>
      <c r="K448" s="7" t="s">
        <v>1615</v>
      </c>
      <c r="L448" s="7" t="s">
        <v>606</v>
      </c>
      <c r="M448" s="7" t="s">
        <v>289</v>
      </c>
    </row>
    <row r="449" spans="1:13" ht="16.2">
      <c r="A449" s="7">
        <v>19902</v>
      </c>
      <c r="B449" s="7" t="s">
        <v>1651</v>
      </c>
      <c r="C449" s="7" t="s">
        <v>284</v>
      </c>
      <c r="D449" s="47">
        <v>43141</v>
      </c>
      <c r="E449" s="7" t="s">
        <v>1355</v>
      </c>
      <c r="F449" s="7" t="s">
        <v>1200</v>
      </c>
      <c r="G449" s="7" t="s">
        <v>1569</v>
      </c>
      <c r="H449" s="46" t="str">
        <f t="shared" si="1"/>
        <v>Albatros B1  -  TOP (A) B1</v>
      </c>
      <c r="I449" s="40">
        <v>0.53819444444444442</v>
      </c>
      <c r="J449" s="7" t="s">
        <v>287</v>
      </c>
      <c r="K449" s="7" t="s">
        <v>1615</v>
      </c>
      <c r="L449" s="7" t="s">
        <v>566</v>
      </c>
      <c r="M449" s="7" t="s">
        <v>289</v>
      </c>
    </row>
    <row r="450" spans="1:13" ht="16.2">
      <c r="A450" s="7">
        <v>20071</v>
      </c>
      <c r="B450" s="7" t="s">
        <v>1651</v>
      </c>
      <c r="C450" s="7" t="s">
        <v>284</v>
      </c>
      <c r="D450" s="47">
        <v>43169</v>
      </c>
      <c r="E450" s="7" t="s">
        <v>1355</v>
      </c>
      <c r="F450" s="7" t="s">
        <v>1200</v>
      </c>
      <c r="G450" s="7" t="s">
        <v>2100</v>
      </c>
      <c r="H450" s="46" t="str">
        <f t="shared" si="1"/>
        <v>Albatros B1  -  PKC/SWKGroep B2</v>
      </c>
      <c r="I450" s="40">
        <v>0.57986111111111116</v>
      </c>
      <c r="J450" s="7" t="s">
        <v>287</v>
      </c>
      <c r="K450" s="7" t="s">
        <v>1615</v>
      </c>
      <c r="L450" s="7" t="s">
        <v>567</v>
      </c>
      <c r="M450" s="7" t="s">
        <v>289</v>
      </c>
    </row>
    <row r="451" spans="1:13" ht="16.2">
      <c r="A451" s="7">
        <v>15859</v>
      </c>
      <c r="B451" s="7" t="s">
        <v>1664</v>
      </c>
      <c r="C451" s="7" t="s">
        <v>284</v>
      </c>
      <c r="D451" s="45">
        <v>43057</v>
      </c>
      <c r="E451" s="7" t="s">
        <v>1388</v>
      </c>
      <c r="F451" s="7" t="s">
        <v>1200</v>
      </c>
      <c r="G451" s="7" t="s">
        <v>2101</v>
      </c>
      <c r="H451" s="46" t="str">
        <f t="shared" si="1"/>
        <v>Albatros A4  -  Oranje Zwart/De Hoekse A1</v>
      </c>
      <c r="I451" s="40">
        <v>0.76388888888888884</v>
      </c>
      <c r="J451" s="7" t="s">
        <v>287</v>
      </c>
      <c r="K451" s="7" t="s">
        <v>1615</v>
      </c>
      <c r="L451" s="7" t="s">
        <v>566</v>
      </c>
      <c r="M451" s="7" t="s">
        <v>2082</v>
      </c>
    </row>
    <row r="452" spans="1:13" ht="16.2">
      <c r="A452" s="7">
        <v>16881</v>
      </c>
      <c r="B452" s="7" t="s">
        <v>1664</v>
      </c>
      <c r="C452" s="7" t="s">
        <v>284</v>
      </c>
      <c r="D452" s="47">
        <v>43071</v>
      </c>
      <c r="E452" s="7" t="s">
        <v>1388</v>
      </c>
      <c r="F452" s="7" t="s">
        <v>1200</v>
      </c>
      <c r="G452" s="7" t="s">
        <v>2102</v>
      </c>
      <c r="H452" s="46" t="str">
        <f t="shared" si="1"/>
        <v>Albatros A4  -  Sporting Delta A4</v>
      </c>
      <c r="I452" s="40">
        <v>0.8125</v>
      </c>
      <c r="J452" s="7" t="s">
        <v>287</v>
      </c>
      <c r="K452" s="7" t="s">
        <v>1615</v>
      </c>
      <c r="L452" s="7" t="s">
        <v>584</v>
      </c>
      <c r="M452" s="7" t="s">
        <v>338</v>
      </c>
    </row>
    <row r="453" spans="1:13" ht="16.2">
      <c r="A453" s="7">
        <v>15969</v>
      </c>
      <c r="B453" s="7" t="s">
        <v>1664</v>
      </c>
      <c r="C453" s="7" t="s">
        <v>284</v>
      </c>
      <c r="D453" s="45">
        <v>43092</v>
      </c>
      <c r="E453" s="7" t="s">
        <v>1388</v>
      </c>
      <c r="F453" s="7" t="s">
        <v>1200</v>
      </c>
      <c r="G453" s="7" t="s">
        <v>2103</v>
      </c>
      <c r="H453" s="46" t="str">
        <f t="shared" si="1"/>
        <v>Albatros A4  -  Korbatjo A2</v>
      </c>
      <c r="I453" s="40">
        <v>0.75</v>
      </c>
      <c r="J453" s="7" t="s">
        <v>287</v>
      </c>
      <c r="K453" s="7" t="s">
        <v>1615</v>
      </c>
      <c r="L453" s="7" t="s">
        <v>338</v>
      </c>
      <c r="M453" s="7" t="s">
        <v>1489</v>
      </c>
    </row>
    <row r="454" spans="1:13" ht="16.2">
      <c r="A454" s="7">
        <v>15935</v>
      </c>
      <c r="B454" s="7" t="s">
        <v>1664</v>
      </c>
      <c r="C454" s="7" t="s">
        <v>284</v>
      </c>
      <c r="D454" s="47">
        <v>43106</v>
      </c>
      <c r="E454" s="7" t="s">
        <v>1388</v>
      </c>
      <c r="F454" s="7" t="s">
        <v>1200</v>
      </c>
      <c r="G454" s="7" t="s">
        <v>2104</v>
      </c>
      <c r="H454" s="46" t="str">
        <f t="shared" si="1"/>
        <v>Albatros A4  -  HKC (Ha) A3</v>
      </c>
      <c r="I454" s="40">
        <v>0.63541666666666663</v>
      </c>
      <c r="J454" s="7" t="s">
        <v>305</v>
      </c>
      <c r="K454" s="7" t="s">
        <v>1615</v>
      </c>
      <c r="L454" s="7" t="s">
        <v>301</v>
      </c>
      <c r="M454" s="7" t="s">
        <v>2082</v>
      </c>
    </row>
    <row r="455" spans="1:13" ht="16.2">
      <c r="A455" s="7">
        <v>16552</v>
      </c>
      <c r="B455" s="7" t="s">
        <v>1664</v>
      </c>
      <c r="C455" s="7" t="s">
        <v>284</v>
      </c>
      <c r="D455" s="47">
        <v>43127</v>
      </c>
      <c r="E455" s="7" t="s">
        <v>1388</v>
      </c>
      <c r="F455" s="7" t="s">
        <v>1200</v>
      </c>
      <c r="G455" s="7" t="s">
        <v>2105</v>
      </c>
      <c r="H455" s="46" t="str">
        <f t="shared" si="1"/>
        <v>Albatros A4  -  Ventura Sport A3</v>
      </c>
      <c r="I455" s="40">
        <v>0.77777777777777779</v>
      </c>
      <c r="J455" s="7" t="s">
        <v>305</v>
      </c>
      <c r="K455" s="7" t="s">
        <v>1615</v>
      </c>
      <c r="L455" s="7" t="s">
        <v>288</v>
      </c>
      <c r="M455" s="7" t="s">
        <v>14</v>
      </c>
    </row>
    <row r="456" spans="1:13" ht="16.2">
      <c r="A456" s="7">
        <v>17272</v>
      </c>
      <c r="B456" s="7" t="s">
        <v>1664</v>
      </c>
      <c r="C456" s="7" t="s">
        <v>284</v>
      </c>
      <c r="D456" s="47">
        <v>43169</v>
      </c>
      <c r="E456" s="7" t="s">
        <v>1388</v>
      </c>
      <c r="F456" s="7" t="s">
        <v>1200</v>
      </c>
      <c r="G456" s="7" t="s">
        <v>2106</v>
      </c>
      <c r="H456" s="46" t="str">
        <f t="shared" si="1"/>
        <v>Albatros A4  -  PKC/SWKGroep A8</v>
      </c>
      <c r="I456" s="40">
        <v>0.55902777777777779</v>
      </c>
      <c r="J456" s="7" t="s">
        <v>305</v>
      </c>
      <c r="K456" s="7" t="s">
        <v>1615</v>
      </c>
      <c r="L456" s="7" t="s">
        <v>584</v>
      </c>
      <c r="M456" s="7" t="s">
        <v>14</v>
      </c>
    </row>
    <row r="457" spans="1:13" ht="16.2">
      <c r="A457" s="7">
        <v>16882</v>
      </c>
      <c r="B457" s="7" t="s">
        <v>1676</v>
      </c>
      <c r="C457" s="7" t="s">
        <v>284</v>
      </c>
      <c r="D457" s="47">
        <v>43071</v>
      </c>
      <c r="E457" s="7" t="s">
        <v>1238</v>
      </c>
      <c r="F457" s="7" t="s">
        <v>1200</v>
      </c>
      <c r="G457" s="7" t="s">
        <v>2107</v>
      </c>
      <c r="H457" s="46" t="str">
        <f t="shared" si="1"/>
        <v>Albatros A3  -  Eureka A1</v>
      </c>
      <c r="I457" s="40">
        <v>0.55555555555555558</v>
      </c>
      <c r="J457" s="7" t="s">
        <v>373</v>
      </c>
      <c r="K457" s="7" t="s">
        <v>1615</v>
      </c>
      <c r="L457" s="7" t="s">
        <v>288</v>
      </c>
      <c r="M457" s="7" t="s">
        <v>425</v>
      </c>
    </row>
    <row r="458" spans="1:13" ht="16.2">
      <c r="A458" s="7">
        <v>15936</v>
      </c>
      <c r="B458" s="7" t="s">
        <v>1676</v>
      </c>
      <c r="C458" s="7" t="s">
        <v>284</v>
      </c>
      <c r="D458" s="47">
        <v>43106</v>
      </c>
      <c r="E458" s="7" t="s">
        <v>1238</v>
      </c>
      <c r="F458" s="7" t="s">
        <v>1200</v>
      </c>
      <c r="G458" s="7" t="s">
        <v>2108</v>
      </c>
      <c r="H458" s="46" t="str">
        <f t="shared" si="1"/>
        <v>Albatros A3  -  Avanti (P) A5</v>
      </c>
      <c r="I458" s="40">
        <v>0.66666666666666663</v>
      </c>
      <c r="J458" s="7" t="s">
        <v>287</v>
      </c>
      <c r="K458" s="7" t="s">
        <v>1615</v>
      </c>
      <c r="L458" s="7" t="s">
        <v>298</v>
      </c>
      <c r="M458" s="7" t="s">
        <v>423</v>
      </c>
    </row>
    <row r="459" spans="1:13" ht="16.2">
      <c r="A459" s="7">
        <v>15970</v>
      </c>
      <c r="B459" s="7" t="s">
        <v>1676</v>
      </c>
      <c r="C459" s="7" t="s">
        <v>284</v>
      </c>
      <c r="D459" s="47">
        <v>43113</v>
      </c>
      <c r="E459" s="7" t="s">
        <v>1238</v>
      </c>
      <c r="F459" s="7" t="s">
        <v>1200</v>
      </c>
      <c r="G459" s="7" t="s">
        <v>2109</v>
      </c>
      <c r="H459" s="46" t="str">
        <f t="shared" si="1"/>
        <v>Albatros A3  -  Dijkvogels A3</v>
      </c>
      <c r="I459" s="40">
        <v>0.57291666666666663</v>
      </c>
      <c r="J459" s="7" t="s">
        <v>373</v>
      </c>
      <c r="K459" s="7" t="s">
        <v>1615</v>
      </c>
      <c r="L459" s="7" t="s">
        <v>567</v>
      </c>
      <c r="M459" s="7" t="s">
        <v>298</v>
      </c>
    </row>
    <row r="460" spans="1:13" ht="16.2">
      <c r="A460" s="7">
        <v>16553</v>
      </c>
      <c r="B460" s="7" t="s">
        <v>1676</v>
      </c>
      <c r="C460" s="7" t="s">
        <v>284</v>
      </c>
      <c r="D460" s="47">
        <v>43127</v>
      </c>
      <c r="E460" s="7" t="s">
        <v>1238</v>
      </c>
      <c r="F460" s="7" t="s">
        <v>1200</v>
      </c>
      <c r="G460" s="7" t="s">
        <v>2110</v>
      </c>
      <c r="H460" s="46" t="str">
        <f t="shared" si="1"/>
        <v>Albatros A3  -  Maassluis A3</v>
      </c>
      <c r="I460" s="40">
        <v>0.8125</v>
      </c>
      <c r="J460" s="7" t="s">
        <v>287</v>
      </c>
      <c r="K460" s="7" t="s">
        <v>1615</v>
      </c>
      <c r="L460" s="7" t="s">
        <v>338</v>
      </c>
      <c r="M460" s="7" t="s">
        <v>14</v>
      </c>
    </row>
    <row r="461" spans="1:13" ht="16.2">
      <c r="A461" s="7">
        <v>16358</v>
      </c>
      <c r="B461" s="7" t="s">
        <v>1676</v>
      </c>
      <c r="C461" s="7" t="s">
        <v>284</v>
      </c>
      <c r="D461" s="47">
        <v>43141</v>
      </c>
      <c r="E461" s="7" t="s">
        <v>1238</v>
      </c>
      <c r="F461" s="7" t="s">
        <v>1200</v>
      </c>
      <c r="G461" s="7" t="s">
        <v>2111</v>
      </c>
      <c r="H461" s="46" t="str">
        <f t="shared" si="1"/>
        <v>Albatros A3  -  Nieuwerkerk A3</v>
      </c>
      <c r="I461" s="40">
        <v>0.8125</v>
      </c>
      <c r="J461" s="7" t="s">
        <v>287</v>
      </c>
      <c r="K461" s="7" t="s">
        <v>1615</v>
      </c>
      <c r="L461" s="7" t="s">
        <v>584</v>
      </c>
      <c r="M461" s="7" t="s">
        <v>14</v>
      </c>
    </row>
    <row r="462" spans="1:13" ht="16.2">
      <c r="A462" s="7">
        <v>17273</v>
      </c>
      <c r="B462" s="7" t="s">
        <v>1676</v>
      </c>
      <c r="C462" s="7" t="s">
        <v>284</v>
      </c>
      <c r="D462" s="47">
        <v>43169</v>
      </c>
      <c r="E462" s="7" t="s">
        <v>1238</v>
      </c>
      <c r="F462" s="7" t="s">
        <v>1200</v>
      </c>
      <c r="G462" s="7" t="s">
        <v>2112</v>
      </c>
      <c r="H462" s="46" t="str">
        <f t="shared" si="1"/>
        <v>Albatros A3  -  Twist A2</v>
      </c>
      <c r="I462" s="40">
        <v>0.60763888888888884</v>
      </c>
      <c r="J462" s="7" t="s">
        <v>305</v>
      </c>
      <c r="K462" s="7" t="s">
        <v>1615</v>
      </c>
      <c r="L462" s="7" t="s">
        <v>567</v>
      </c>
      <c r="M462" s="7" t="s">
        <v>14</v>
      </c>
    </row>
    <row r="463" spans="1:13" ht="16.2">
      <c r="A463" s="7">
        <v>19213</v>
      </c>
      <c r="B463" s="7" t="s">
        <v>1113</v>
      </c>
      <c r="C463" s="7" t="s">
        <v>284</v>
      </c>
      <c r="D463" s="45">
        <v>43050</v>
      </c>
      <c r="E463" s="7" t="s">
        <v>1242</v>
      </c>
      <c r="F463" s="7" t="s">
        <v>1200</v>
      </c>
      <c r="G463" s="7" t="s">
        <v>2113</v>
      </c>
      <c r="H463" s="46" t="str">
        <f t="shared" si="1"/>
        <v>Albatros A2  -  Twist A1</v>
      </c>
      <c r="I463" s="40">
        <v>0.8125</v>
      </c>
      <c r="J463" s="7" t="s">
        <v>287</v>
      </c>
      <c r="K463" s="7" t="s">
        <v>1615</v>
      </c>
      <c r="L463" s="7" t="s">
        <v>338</v>
      </c>
      <c r="M463" s="7" t="s">
        <v>289</v>
      </c>
    </row>
    <row r="464" spans="1:13" ht="16.2">
      <c r="A464" s="7">
        <v>19226</v>
      </c>
      <c r="B464" s="7" t="s">
        <v>1113</v>
      </c>
      <c r="C464" s="7" t="s">
        <v>284</v>
      </c>
      <c r="D464" s="47">
        <v>43071</v>
      </c>
      <c r="E464" s="7" t="s">
        <v>1242</v>
      </c>
      <c r="F464" s="7" t="s">
        <v>1200</v>
      </c>
      <c r="G464" s="7" t="s">
        <v>2114</v>
      </c>
      <c r="H464" s="46" t="str">
        <f t="shared" si="1"/>
        <v>Albatros A2  -  Reeuwijk A1</v>
      </c>
      <c r="I464" s="40">
        <v>0.86458333333333337</v>
      </c>
      <c r="J464" s="7" t="s">
        <v>287</v>
      </c>
      <c r="K464" s="7" t="s">
        <v>1615</v>
      </c>
      <c r="L464" s="7" t="s">
        <v>584</v>
      </c>
      <c r="M464" s="7" t="s">
        <v>289</v>
      </c>
    </row>
    <row r="465" spans="1:13" ht="16.2">
      <c r="A465" s="7">
        <v>18810</v>
      </c>
      <c r="B465" s="7" t="s">
        <v>1113</v>
      </c>
      <c r="C465" s="7" t="s">
        <v>284</v>
      </c>
      <c r="D465" s="45">
        <v>43085</v>
      </c>
      <c r="E465" s="7" t="s">
        <v>1242</v>
      </c>
      <c r="F465" s="7" t="s">
        <v>1200</v>
      </c>
      <c r="G465" s="7" t="s">
        <v>2115</v>
      </c>
      <c r="H465" s="46" t="str">
        <f t="shared" si="1"/>
        <v>Albatros A2  -  Sporting Delta A2</v>
      </c>
      <c r="I465" s="40">
        <v>0.8125</v>
      </c>
      <c r="J465" s="7" t="s">
        <v>287</v>
      </c>
      <c r="K465" s="7" t="s">
        <v>1615</v>
      </c>
      <c r="L465" s="7" t="s">
        <v>584</v>
      </c>
      <c r="M465" s="7" t="s">
        <v>289</v>
      </c>
    </row>
    <row r="466" spans="1:13" ht="16.2">
      <c r="A466" s="7">
        <v>19304</v>
      </c>
      <c r="B466" s="7" t="s">
        <v>1113</v>
      </c>
      <c r="C466" s="7" t="s">
        <v>284</v>
      </c>
      <c r="D466" s="47">
        <v>43120</v>
      </c>
      <c r="E466" s="7" t="s">
        <v>1242</v>
      </c>
      <c r="F466" s="7" t="s">
        <v>1200</v>
      </c>
      <c r="G466" s="7" t="s">
        <v>2116</v>
      </c>
      <c r="H466" s="46" t="str">
        <f t="shared" si="1"/>
        <v>Albatros A2  -  DVS '69 A1</v>
      </c>
      <c r="I466" s="40">
        <v>0.8125</v>
      </c>
      <c r="J466" s="7" t="s">
        <v>287</v>
      </c>
      <c r="K466" s="7" t="s">
        <v>1615</v>
      </c>
      <c r="L466" s="7" t="s">
        <v>566</v>
      </c>
      <c r="M466" s="7" t="s">
        <v>289</v>
      </c>
    </row>
    <row r="467" spans="1:13" ht="16.2">
      <c r="A467" s="7">
        <v>19057</v>
      </c>
      <c r="B467" s="7" t="s">
        <v>1113</v>
      </c>
      <c r="C467" s="7" t="s">
        <v>284</v>
      </c>
      <c r="D467" s="47">
        <v>43127</v>
      </c>
      <c r="E467" s="7" t="s">
        <v>1242</v>
      </c>
      <c r="F467" s="7" t="s">
        <v>1200</v>
      </c>
      <c r="G467" s="7" t="s">
        <v>2117</v>
      </c>
      <c r="H467" s="46" t="str">
        <f t="shared" si="1"/>
        <v>Albatros A2  -  Kinderdijk A2</v>
      </c>
      <c r="I467" s="40">
        <v>0.82638888888888884</v>
      </c>
      <c r="J467" s="7" t="s">
        <v>305</v>
      </c>
      <c r="K467" s="7" t="s">
        <v>1615</v>
      </c>
      <c r="L467" s="7" t="s">
        <v>288</v>
      </c>
      <c r="M467" s="7" t="s">
        <v>289</v>
      </c>
    </row>
    <row r="468" spans="1:13" ht="16.2">
      <c r="A468" s="7">
        <v>19499</v>
      </c>
      <c r="B468" s="7" t="s">
        <v>1113</v>
      </c>
      <c r="C468" s="7" t="s">
        <v>284</v>
      </c>
      <c r="D468" s="47">
        <v>43141</v>
      </c>
      <c r="E468" s="7" t="s">
        <v>1242</v>
      </c>
      <c r="F468" s="7" t="s">
        <v>1200</v>
      </c>
      <c r="G468" s="7" t="s">
        <v>2118</v>
      </c>
      <c r="H468" s="46" t="str">
        <f t="shared" si="1"/>
        <v>Albatros A2  -  KCC/SO natural A3</v>
      </c>
      <c r="I468" s="40">
        <v>0.57986111111111116</v>
      </c>
      <c r="J468" s="7" t="s">
        <v>287</v>
      </c>
      <c r="K468" s="7" t="s">
        <v>1615</v>
      </c>
      <c r="L468" s="7" t="s">
        <v>566</v>
      </c>
      <c r="M468" s="7" t="s">
        <v>289</v>
      </c>
    </row>
    <row r="469" spans="1:13" ht="16.2">
      <c r="A469" s="7">
        <v>19161</v>
      </c>
      <c r="B469" s="7" t="s">
        <v>1113</v>
      </c>
      <c r="C469" s="7" t="s">
        <v>284</v>
      </c>
      <c r="D469" s="47">
        <v>43169</v>
      </c>
      <c r="E469" s="7" t="s">
        <v>1242</v>
      </c>
      <c r="F469" s="7" t="s">
        <v>1200</v>
      </c>
      <c r="G469" s="7" t="s">
        <v>2119</v>
      </c>
      <c r="H469" s="46" t="str">
        <f t="shared" si="1"/>
        <v>Albatros A2  -  ADO A1</v>
      </c>
      <c r="I469" s="40">
        <v>0.51041666666666663</v>
      </c>
      <c r="J469" s="7" t="s">
        <v>305</v>
      </c>
      <c r="K469" s="7" t="s">
        <v>1615</v>
      </c>
      <c r="L469" s="7" t="s">
        <v>584</v>
      </c>
      <c r="M469" s="7" t="s">
        <v>289</v>
      </c>
    </row>
    <row r="470" spans="1:13" ht="16.2">
      <c r="A470" s="7">
        <v>18290</v>
      </c>
      <c r="B470" s="7" t="s">
        <v>1670</v>
      </c>
      <c r="C470" s="7" t="s">
        <v>284</v>
      </c>
      <c r="D470" s="45">
        <v>43050</v>
      </c>
      <c r="E470" s="7" t="s">
        <v>1240</v>
      </c>
      <c r="F470" s="7" t="s">
        <v>1200</v>
      </c>
      <c r="G470" s="7" t="s">
        <v>2120</v>
      </c>
      <c r="H470" s="46" t="str">
        <f t="shared" si="1"/>
        <v>Albatros A1  -  Die Haghe A1</v>
      </c>
      <c r="I470" s="40">
        <v>0.62847222222222221</v>
      </c>
      <c r="J470" s="7" t="s">
        <v>287</v>
      </c>
      <c r="K470" s="7" t="s">
        <v>1615</v>
      </c>
      <c r="L470" s="7" t="s">
        <v>288</v>
      </c>
      <c r="M470" s="7" t="s">
        <v>289</v>
      </c>
    </row>
    <row r="471" spans="1:13" ht="16.2">
      <c r="A471" s="7">
        <v>18294</v>
      </c>
      <c r="B471" s="7" t="s">
        <v>1670</v>
      </c>
      <c r="C471" s="7" t="s">
        <v>284</v>
      </c>
      <c r="D471" s="47">
        <v>43071</v>
      </c>
      <c r="E471" s="7" t="s">
        <v>1240</v>
      </c>
      <c r="F471" s="7" t="s">
        <v>1200</v>
      </c>
      <c r="G471" s="7" t="s">
        <v>1494</v>
      </c>
      <c r="H471" s="46" t="str">
        <f t="shared" si="1"/>
        <v>Albatros A1  -  PKC/SWKGroep A2</v>
      </c>
      <c r="I471" s="40">
        <v>0.62847222222222221</v>
      </c>
      <c r="J471" s="7" t="s">
        <v>287</v>
      </c>
      <c r="K471" s="7" t="s">
        <v>1615</v>
      </c>
      <c r="L471" s="7" t="s">
        <v>567</v>
      </c>
      <c r="M471" s="7" t="s">
        <v>289</v>
      </c>
    </row>
    <row r="472" spans="1:13" ht="16.2">
      <c r="A472" s="7">
        <v>18174</v>
      </c>
      <c r="B472" s="7" t="s">
        <v>1670</v>
      </c>
      <c r="C472" s="7" t="s">
        <v>284</v>
      </c>
      <c r="D472" s="45">
        <v>43085</v>
      </c>
      <c r="E472" s="7" t="s">
        <v>1240</v>
      </c>
      <c r="F472" s="7" t="s">
        <v>1200</v>
      </c>
      <c r="G472" s="7" t="s">
        <v>2121</v>
      </c>
      <c r="H472" s="46" t="str">
        <f t="shared" si="1"/>
        <v>Albatros A1  -  Sporting Delta A1</v>
      </c>
      <c r="I472" s="40">
        <v>0.62847222222222221</v>
      </c>
      <c r="J472" s="7" t="s">
        <v>287</v>
      </c>
      <c r="K472" s="7" t="s">
        <v>1615</v>
      </c>
      <c r="L472" s="7" t="s">
        <v>301</v>
      </c>
      <c r="M472" s="7" t="s">
        <v>289</v>
      </c>
    </row>
    <row r="473" spans="1:13" ht="16.2">
      <c r="A473" s="7">
        <v>18316</v>
      </c>
      <c r="B473" s="7" t="s">
        <v>1670</v>
      </c>
      <c r="C473" s="7" t="s">
        <v>284</v>
      </c>
      <c r="D473" s="47">
        <v>43120</v>
      </c>
      <c r="E473" s="7" t="s">
        <v>1240</v>
      </c>
      <c r="F473" s="7" t="s">
        <v>1200</v>
      </c>
      <c r="G473" s="7" t="s">
        <v>2122</v>
      </c>
      <c r="H473" s="46" t="str">
        <f t="shared" si="1"/>
        <v>Albatros A1  -  Fortuna/Delta Logistiek A2</v>
      </c>
      <c r="I473" s="40">
        <v>0.62847222222222221</v>
      </c>
      <c r="J473" s="7" t="s">
        <v>287</v>
      </c>
      <c r="K473" s="7" t="s">
        <v>1615</v>
      </c>
      <c r="L473" s="7" t="s">
        <v>288</v>
      </c>
      <c r="M473" s="7" t="s">
        <v>289</v>
      </c>
    </row>
    <row r="474" spans="1:13" ht="16.2">
      <c r="A474" s="7">
        <v>18244</v>
      </c>
      <c r="B474" s="7" t="s">
        <v>1670</v>
      </c>
      <c r="C474" s="7" t="s">
        <v>284</v>
      </c>
      <c r="D474" s="47">
        <v>43127</v>
      </c>
      <c r="E474" s="7" t="s">
        <v>1240</v>
      </c>
      <c r="F474" s="7" t="s">
        <v>1200</v>
      </c>
      <c r="G474" s="7" t="s">
        <v>1241</v>
      </c>
      <c r="H474" s="46" t="str">
        <f t="shared" si="1"/>
        <v>Albatros A1  -  KCC/SO natural A1</v>
      </c>
      <c r="I474" s="40">
        <v>0.62847222222222221</v>
      </c>
      <c r="J474" s="7" t="s">
        <v>287</v>
      </c>
      <c r="K474" s="7" t="s">
        <v>1615</v>
      </c>
      <c r="L474" s="7" t="s">
        <v>301</v>
      </c>
      <c r="M474" s="7" t="s">
        <v>289</v>
      </c>
    </row>
    <row r="475" spans="1:13" ht="16.2">
      <c r="A475" s="7">
        <v>18373</v>
      </c>
      <c r="B475" s="7" t="s">
        <v>1670</v>
      </c>
      <c r="C475" s="7" t="s">
        <v>284</v>
      </c>
      <c r="D475" s="47">
        <v>43141</v>
      </c>
      <c r="E475" s="7" t="s">
        <v>1240</v>
      </c>
      <c r="F475" s="7" t="s">
        <v>1200</v>
      </c>
      <c r="G475" s="7" t="s">
        <v>2123</v>
      </c>
      <c r="H475" s="46" t="str">
        <f t="shared" si="1"/>
        <v>Albatros A1  -  Tempo A1</v>
      </c>
      <c r="I475" s="40">
        <v>0.62847222222222221</v>
      </c>
      <c r="J475" s="7" t="s">
        <v>287</v>
      </c>
      <c r="K475" s="7" t="s">
        <v>1615</v>
      </c>
      <c r="L475" s="7" t="s">
        <v>566</v>
      </c>
      <c r="M475" s="7" t="s">
        <v>289</v>
      </c>
    </row>
    <row r="476" spans="1:13" ht="16.2">
      <c r="A476" s="7">
        <v>18274</v>
      </c>
      <c r="B476" s="7" t="s">
        <v>1670</v>
      </c>
      <c r="C476" s="7" t="s">
        <v>284</v>
      </c>
      <c r="D476" s="47">
        <v>43169</v>
      </c>
      <c r="E476" s="7" t="s">
        <v>1240</v>
      </c>
      <c r="F476" s="7" t="s">
        <v>1200</v>
      </c>
      <c r="G476" s="7" t="s">
        <v>2124</v>
      </c>
      <c r="H476" s="46" t="str">
        <f t="shared" si="1"/>
        <v>Albatros A1  -  Valto A1</v>
      </c>
      <c r="I476" s="40">
        <v>0.62847222222222221</v>
      </c>
      <c r="J476" s="7" t="s">
        <v>287</v>
      </c>
      <c r="K476" s="7" t="s">
        <v>1615</v>
      </c>
      <c r="L476" s="7" t="s">
        <v>301</v>
      </c>
      <c r="M476" s="7" t="s">
        <v>289</v>
      </c>
    </row>
    <row r="477" spans="1:13" ht="16.2">
      <c r="A477" s="7">
        <v>21534</v>
      </c>
      <c r="B477" s="7" t="s">
        <v>1653</v>
      </c>
      <c r="C477" s="7" t="s">
        <v>284</v>
      </c>
      <c r="D477" s="47">
        <v>43113</v>
      </c>
      <c r="E477" s="7" t="s">
        <v>2125</v>
      </c>
      <c r="F477" s="7" t="s">
        <v>1200</v>
      </c>
      <c r="G477" s="7" t="s">
        <v>1261</v>
      </c>
      <c r="H477" s="46" t="str">
        <f t="shared" si="1"/>
        <v>ADO 4  -  Albatros 8</v>
      </c>
      <c r="I477" s="40">
        <v>0.63888888888888884</v>
      </c>
      <c r="J477" s="7" t="s">
        <v>430</v>
      </c>
      <c r="K477" s="7" t="s">
        <v>1615</v>
      </c>
      <c r="L477" s="7" t="s">
        <v>14</v>
      </c>
      <c r="M477" s="7" t="s">
        <v>14</v>
      </c>
    </row>
    <row r="478" spans="1:13" ht="16.2">
      <c r="A478" s="7">
        <v>30988</v>
      </c>
      <c r="B478" s="7" t="s">
        <v>1624</v>
      </c>
      <c r="C478" s="7" t="s">
        <v>284</v>
      </c>
      <c r="D478" s="47">
        <v>43176</v>
      </c>
      <c r="E478" s="7" t="s">
        <v>2126</v>
      </c>
      <c r="F478" s="7" t="s">
        <v>1200</v>
      </c>
      <c r="G478" s="7" t="s">
        <v>1402</v>
      </c>
      <c r="H478" s="46" t="str">
        <f t="shared" si="1"/>
        <v>ADO F2  -  Albatros F5</v>
      </c>
      <c r="I478" s="40">
        <v>0.375</v>
      </c>
      <c r="J478" s="7" t="s">
        <v>430</v>
      </c>
      <c r="K478" s="7" t="s">
        <v>1615</v>
      </c>
      <c r="L478" s="7" t="s">
        <v>14</v>
      </c>
      <c r="M478" s="7" t="s">
        <v>14</v>
      </c>
    </row>
    <row r="479" spans="1:13" ht="16.2">
      <c r="A479" s="7">
        <v>23092</v>
      </c>
      <c r="B479" s="7" t="s">
        <v>1684</v>
      </c>
      <c r="C479" s="7" t="s">
        <v>284</v>
      </c>
      <c r="D479" s="47">
        <v>43169</v>
      </c>
      <c r="E479" s="7" t="s">
        <v>2127</v>
      </c>
      <c r="F479" s="7" t="s">
        <v>1200</v>
      </c>
      <c r="G479" s="7" t="s">
        <v>1686</v>
      </c>
      <c r="H479" s="46" t="str">
        <f t="shared" si="1"/>
        <v>ADO C2  -  Albatros C4</v>
      </c>
      <c r="I479" s="40">
        <v>0.47916666666666669</v>
      </c>
      <c r="J479" s="7" t="s">
        <v>430</v>
      </c>
      <c r="K479" s="7" t="s">
        <v>1615</v>
      </c>
      <c r="L479" s="7" t="s">
        <v>14</v>
      </c>
      <c r="M479" s="7" t="s">
        <v>14</v>
      </c>
    </row>
    <row r="480" spans="1:13" ht="16.2">
      <c r="A480" s="7">
        <v>19263</v>
      </c>
      <c r="B480" s="7" t="s">
        <v>1113</v>
      </c>
      <c r="C480" s="7" t="s">
        <v>284</v>
      </c>
      <c r="D480" s="47">
        <v>43106</v>
      </c>
      <c r="E480" s="7" t="s">
        <v>1467</v>
      </c>
      <c r="F480" s="7" t="s">
        <v>1200</v>
      </c>
      <c r="G480" s="7" t="s">
        <v>1341</v>
      </c>
      <c r="H480" s="46" t="str">
        <f t="shared" si="1"/>
        <v>ADO A1  -  Albatros A2</v>
      </c>
      <c r="I480" s="40">
        <v>0.41666666666666669</v>
      </c>
      <c r="J480" s="7" t="s">
        <v>430</v>
      </c>
      <c r="K480" s="7" t="s">
        <v>1615</v>
      </c>
      <c r="L480" s="7" t="s">
        <v>14</v>
      </c>
      <c r="M480" s="7" t="s">
        <v>14</v>
      </c>
    </row>
    <row r="481" spans="1:13" ht="16.2">
      <c r="A481" s="7">
        <v>20506</v>
      </c>
      <c r="B481" s="7" t="s">
        <v>1725</v>
      </c>
      <c r="C481" s="7" t="s">
        <v>284</v>
      </c>
      <c r="D481" s="45">
        <v>43050</v>
      </c>
      <c r="E481" s="7" t="s">
        <v>2128</v>
      </c>
      <c r="F481" s="7" t="s">
        <v>1200</v>
      </c>
      <c r="G481" s="7" t="s">
        <v>1398</v>
      </c>
      <c r="H481" s="46" t="str">
        <f t="shared" si="1"/>
        <v>ACKC 3  -  Albatros 7</v>
      </c>
      <c r="I481" s="40">
        <v>0.45833333333333331</v>
      </c>
      <c r="J481" s="7" t="s">
        <v>441</v>
      </c>
      <c r="K481" s="7" t="s">
        <v>1615</v>
      </c>
      <c r="L481" s="7" t="s">
        <v>14</v>
      </c>
      <c r="M481" s="7" t="s">
        <v>14</v>
      </c>
    </row>
    <row r="482" spans="1:13" ht="16.2">
      <c r="A482" s="7">
        <v>32066</v>
      </c>
      <c r="B482" s="7" t="s">
        <v>1733</v>
      </c>
      <c r="C482" s="7" t="s">
        <v>284</v>
      </c>
      <c r="D482" s="45">
        <v>43050</v>
      </c>
      <c r="E482" s="7" t="s">
        <v>2129</v>
      </c>
      <c r="F482" s="7" t="s">
        <v>1200</v>
      </c>
      <c r="G482" s="7" t="s">
        <v>1404</v>
      </c>
      <c r="H482" s="46" t="str">
        <f t="shared" si="1"/>
        <v>ACKC F1  -  Albatros F2</v>
      </c>
      <c r="I482" s="40">
        <v>0.375</v>
      </c>
      <c r="J482" s="7" t="s">
        <v>858</v>
      </c>
      <c r="K482" s="7" t="s">
        <v>1618</v>
      </c>
      <c r="L482" s="7" t="s">
        <v>14</v>
      </c>
      <c r="M482" s="7" t="s">
        <v>14</v>
      </c>
    </row>
    <row r="483" spans="1:13" ht="16.2">
      <c r="A483" s="7">
        <v>28058</v>
      </c>
      <c r="B483" s="7" t="s">
        <v>1763</v>
      </c>
      <c r="C483" s="7" t="s">
        <v>284</v>
      </c>
      <c r="D483" s="47">
        <v>43071</v>
      </c>
      <c r="E483" s="7" t="s">
        <v>2130</v>
      </c>
      <c r="F483" s="7" t="s">
        <v>1200</v>
      </c>
      <c r="G483" s="7" t="s">
        <v>1283</v>
      </c>
      <c r="H483" s="46" t="str">
        <f t="shared" si="1"/>
        <v>ACKC D1  -  Albatros D2</v>
      </c>
      <c r="I483" s="40">
        <v>0.41666666666666669</v>
      </c>
      <c r="J483" s="7" t="s">
        <v>441</v>
      </c>
      <c r="K483" s="7" t="s">
        <v>1615</v>
      </c>
      <c r="L483" s="7" t="s">
        <v>14</v>
      </c>
      <c r="M483" s="7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Alle Thuis wedstrijden</vt:lpstr>
      <vt:lpstr>CHECK</vt:lpstr>
      <vt:lpstr>Alle wedstrijden</vt:lpstr>
      <vt:lpstr>Zaalseizoen totaal</vt:lpstr>
      <vt:lpstr>zaalboek_en_zaalwacht</vt:lpstr>
      <vt:lpstr>Backup</vt:lpstr>
      <vt:lpstr>alle_wedstrijden 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Roeland en Petra Barendregt</dc:creator>
  <cp:lastModifiedBy>Roeland en Petra Barendregt</cp:lastModifiedBy>
  <dcterms:created xsi:type="dcterms:W3CDTF">2022-11-28T08:52:26Z</dcterms:created>
  <dcterms:modified xsi:type="dcterms:W3CDTF">2022-11-28T10:42:52Z</dcterms:modified>
</cp:coreProperties>
</file>